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i.jean-charles\Downloads\"/>
    </mc:Choice>
  </mc:AlternateContent>
  <bookViews>
    <workbookView xWindow="0" yWindow="0" windowWidth="23040" windowHeight="9192" tabRatio="866" firstSheet="1" activeTab="2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5" i="1"/>
  <c r="E14" i="1"/>
  <c r="E13" i="1"/>
  <c r="E12" i="1"/>
  <c r="E11" i="1"/>
  <c r="E10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A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G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EW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S140" i="2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EX155" i="2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AB156" i="2"/>
  <c r="EB156" i="2"/>
  <c r="ED155" i="2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DG160" i="2"/>
  <c r="ED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DI161" i="2"/>
  <c r="EW162" i="2"/>
  <c r="EC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X164" i="2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Y166" i="2"/>
  <c r="EX167" i="2"/>
  <c r="DG167" i="2"/>
  <c r="EA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EW168" i="2"/>
  <c r="HH168" i="2"/>
  <c r="EV168" i="2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W172" i="2"/>
  <c r="HI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D174" i="2"/>
  <c r="EW175" i="2"/>
  <c r="FS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D177" i="2"/>
  <c r="EA178" i="2"/>
  <c r="FQ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HI179" i="2"/>
  <c r="DF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EY184" i="2" s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HI185" i="2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HH190" i="2"/>
  <c r="EB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A192" i="2"/>
  <c r="HI192" i="2"/>
  <c r="EW192" i="2"/>
  <c r="EC192" i="2"/>
  <c r="EV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Y192" i="2"/>
  <c r="DI192" i="2"/>
  <c r="FQ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DH195" i="2"/>
  <c r="EY194" i="2"/>
  <c r="AA195" i="2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EA197" i="2"/>
  <c r="FS197" i="2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A199" i="2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ED200" i="2" s="1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FZ6" i="2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P203" i="2" l="1"/>
  <c r="EI139" i="2" a="1"/>
  <c r="EI139" i="2" s="1"/>
  <c r="EI87" i="2" a="1"/>
  <c r="EI87" i="2" s="1"/>
  <c r="EI153" i="2" a="1"/>
  <c r="EI153" i="2" s="1"/>
  <c r="EI67" i="2" a="1"/>
  <c r="EI67" i="2" s="1"/>
  <c r="EI109" i="2" a="1"/>
  <c r="EI109" i="2" s="1"/>
  <c r="EI166" i="2" a="1"/>
  <c r="EI166" i="2" s="1"/>
  <c r="EI170" i="2" a="1"/>
  <c r="EI170" i="2" s="1"/>
  <c r="EI38" i="2" a="1"/>
  <c r="EI38" i="2" s="1"/>
  <c r="EI198" i="2" a="1"/>
  <c r="EI198" i="2" s="1"/>
  <c r="CS38" i="2" a="1"/>
  <c r="CS38" i="2" s="1"/>
  <c r="CS77" i="2" a="1"/>
  <c r="CS77" i="2" s="1"/>
  <c r="BC7" i="2" a="1"/>
  <c r="BC7" i="2" s="1"/>
  <c r="BC185" i="2" a="1"/>
  <c r="BC185" i="2" s="1"/>
  <c r="BC34" i="2" a="1"/>
  <c r="BC34" i="2" s="1"/>
  <c r="BC143" i="2" a="1"/>
  <c r="BC143" i="2" s="1"/>
  <c r="BC58" i="2" a="1"/>
  <c r="BC58" i="2" s="1"/>
  <c r="BC31" i="2" a="1"/>
  <c r="BC31" i="2" s="1"/>
  <c r="BC117" i="2" a="1"/>
  <c r="BC117" i="2" s="1"/>
  <c r="BC151" i="2" a="1"/>
  <c r="BC151" i="2" s="1"/>
  <c r="BC84" i="2" a="1"/>
  <c r="BC84" i="2" s="1"/>
  <c r="BC181" i="2" a="1"/>
  <c r="BC181" i="2" s="1"/>
  <c r="AH151" i="2" a="1"/>
  <c r="AH151" i="2" s="1"/>
  <c r="AH90" i="2" a="1"/>
  <c r="AH90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Y141" i="2" l="1"/>
  <c r="CY94" i="2"/>
  <c r="CY164" i="2"/>
  <c r="CY24" i="2"/>
  <c r="CY135" i="2"/>
  <c r="CY45" i="2"/>
  <c r="CY197" i="2"/>
  <c r="CY63" i="2"/>
  <c r="CY4" i="2"/>
  <c r="CY147" i="2"/>
  <c r="CY88" i="2"/>
  <c r="CY23" i="2"/>
  <c r="CY9" i="2"/>
  <c r="CY122" i="2"/>
  <c r="CY93" i="2"/>
  <c r="CY124" i="2"/>
  <c r="CY37" i="2"/>
  <c r="CY128" i="2"/>
  <c r="CY166" i="2"/>
  <c r="CY191" i="2"/>
  <c r="CY101" i="2"/>
  <c r="CY69" i="2"/>
  <c r="CY38" i="2"/>
  <c r="CY83" i="2"/>
  <c r="CY139" i="2"/>
  <c r="CY85" i="2"/>
  <c r="CY154" i="2"/>
  <c r="CY183" i="2"/>
  <c r="CY199" i="2"/>
  <c r="CY187" i="2"/>
  <c r="CY110" i="2"/>
  <c r="CY106" i="2"/>
  <c r="CY46" i="2"/>
  <c r="CY59" i="2"/>
  <c r="CY18" i="2"/>
  <c r="CY26" i="2"/>
  <c r="CY41" i="2"/>
  <c r="CY90" i="2"/>
  <c r="CY123" i="2"/>
  <c r="CY53" i="2"/>
  <c r="CY97" i="2"/>
  <c r="CY7" i="2"/>
  <c r="CY188" i="2"/>
  <c r="CY195" i="2"/>
  <c r="CY73" i="2"/>
  <c r="CY169" i="2"/>
  <c r="CY162" i="2"/>
  <c r="CY81" i="2"/>
  <c r="CY74" i="2"/>
  <c r="CY115" i="2"/>
  <c r="CY170" i="2"/>
  <c r="CY133" i="2"/>
  <c r="CY99" i="2"/>
  <c r="CY29" i="2"/>
  <c r="CY108" i="2"/>
  <c r="CY25" i="2"/>
  <c r="CY33" i="2"/>
  <c r="CY182" i="2"/>
  <c r="CY65" i="2"/>
  <c r="CY167" i="2"/>
  <c r="CY58" i="2"/>
  <c r="CY71" i="2"/>
  <c r="CY145" i="2"/>
  <c r="CY49" i="2"/>
  <c r="CY148" i="2"/>
  <c r="CY146" i="2"/>
  <c r="CY61" i="2"/>
  <c r="CY177" i="2"/>
  <c r="CY119" i="2"/>
  <c r="CY52" i="2"/>
  <c r="CY66" i="2"/>
  <c r="CY176" i="2"/>
  <c r="CY54" i="2"/>
  <c r="CY201" i="2"/>
  <c r="CY196" i="2"/>
  <c r="CY64" i="2"/>
  <c r="CY192" i="2"/>
  <c r="CY120" i="2"/>
  <c r="CY118" i="2"/>
  <c r="CY10" i="2"/>
  <c r="CY190" i="2"/>
  <c r="CY150" i="2"/>
  <c r="CY22" i="2"/>
  <c r="CY68" i="2"/>
  <c r="CY16" i="2"/>
  <c r="CY157" i="2"/>
  <c r="CY42" i="2"/>
  <c r="CY104" i="2"/>
  <c r="CY168" i="2"/>
  <c r="CY50" i="2"/>
  <c r="CY132" i="2"/>
  <c r="CY40" i="2"/>
  <c r="CY30" i="2"/>
  <c r="CY160" i="2"/>
  <c r="CY92" i="2"/>
  <c r="CY129" i="2"/>
  <c r="CY153" i="2"/>
  <c r="CY6" i="2"/>
  <c r="CY96" i="2"/>
  <c r="CY28" i="2"/>
  <c r="CY193" i="2"/>
  <c r="CY125" i="2"/>
  <c r="CY13" i="2"/>
  <c r="CY102" i="2"/>
  <c r="CY14" i="2"/>
  <c r="CY184" i="2"/>
  <c r="CY202" i="2"/>
  <c r="CY165" i="2"/>
  <c r="CY186" i="2"/>
  <c r="CY189" i="2"/>
  <c r="CY175" i="2"/>
  <c r="CY82" i="2"/>
  <c r="CY57" i="2"/>
  <c r="CY137" i="2"/>
  <c r="CY143" i="2"/>
  <c r="CY200" i="2"/>
  <c r="CY62" i="2"/>
  <c r="CY198" i="2"/>
  <c r="CY163" i="2"/>
  <c r="CY103" i="2"/>
  <c r="CY112" i="2"/>
  <c r="CY79" i="2"/>
  <c r="CY140" i="2"/>
  <c r="CY138" i="2"/>
  <c r="CY35" i="2"/>
  <c r="CY134" i="2"/>
  <c r="CY75" i="2"/>
  <c r="CY44" i="2"/>
  <c r="CY31" i="2"/>
  <c r="CY121" i="2"/>
  <c r="CY95" i="2"/>
  <c r="CY131" i="2"/>
  <c r="CY181" i="2"/>
  <c r="CY19" i="2"/>
  <c r="CY158" i="2"/>
  <c r="CY12" i="2"/>
  <c r="CY155" i="2"/>
  <c r="CY67" i="2"/>
  <c r="CY111" i="2"/>
  <c r="CY11" i="2"/>
  <c r="CY127" i="2"/>
  <c r="CY87" i="2"/>
  <c r="CY194" i="2"/>
  <c r="CY180" i="2"/>
  <c r="CY185" i="2"/>
  <c r="CY43" i="2"/>
  <c r="CY72" i="2"/>
  <c r="CY203" i="2"/>
  <c r="CY161" i="2"/>
  <c r="CY116" i="2"/>
  <c r="CY20" i="2"/>
  <c r="CY144" i="2"/>
  <c r="CY70" i="2"/>
  <c r="CY39" i="2"/>
  <c r="CY86" i="2"/>
  <c r="CY84" i="2"/>
  <c r="CY27" i="2"/>
  <c r="CY56" i="2"/>
  <c r="CY78" i="2"/>
  <c r="CY151" i="2"/>
  <c r="CY47" i="2"/>
  <c r="CY109" i="2"/>
  <c r="CY156" i="2"/>
  <c r="CY113" i="2"/>
  <c r="CY159" i="2"/>
  <c r="CY8" i="2"/>
  <c r="CY174" i="2"/>
  <c r="CY3" i="2"/>
  <c r="C10" i="4" s="1"/>
  <c r="E10" i="4" s="1"/>
  <c r="F10" i="4" s="1"/>
  <c r="G10" i="4" s="1"/>
  <c r="L10" i="4" s="1"/>
  <c r="CY126" i="2"/>
  <c r="CY179" i="2"/>
  <c r="CY172" i="2"/>
  <c r="CY107" i="2"/>
  <c r="CY91" i="2"/>
  <c r="CY77" i="2"/>
  <c r="CY136" i="2"/>
  <c r="CY152" i="2"/>
  <c r="CY149" i="2"/>
  <c r="CY36" i="2"/>
  <c r="CY178" i="2"/>
  <c r="CY60" i="2"/>
  <c r="CY98" i="2"/>
  <c r="CY76" i="2"/>
  <c r="CY34" i="2"/>
  <c r="CY130" i="2"/>
  <c r="CY15" i="2"/>
  <c r="CY5" i="2"/>
  <c r="CY32" i="2"/>
  <c r="CY114" i="2"/>
  <c r="CY89" i="2"/>
  <c r="CY117" i="2"/>
  <c r="CY80" i="2"/>
  <c r="CY55" i="2"/>
  <c r="CY48" i="2"/>
  <c r="CY173" i="2"/>
  <c r="CY142" i="2"/>
  <c r="CY100" i="2"/>
  <c r="CY105" i="2"/>
  <c r="CY51" i="2"/>
  <c r="CY21" i="2"/>
  <c r="CY171" i="2"/>
  <c r="CY17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>
  <authors>
    <author>tc={032C87F2-0B55-454F-85E6-21B319F269FD}</author>
    <author>tc={F1AC07EF-EE06-44E5-BBE2-47117AB3094A}</author>
    <author>tc={474A2223-7D47-4282-A482-DDDE02BB6B3A}</author>
    <author>tc={B6F42AF1-0FB5-415D-B0C5-731747E3D4DC}</author>
    <author>tc={9AA4C61E-0952-4B6F-8142-2B7D0D88FDD3}</author>
    <author>tc={651CC723-4312-4E02-805D-B8D14EF39F3A}</author>
    <author>tc={78C4A6C3-F913-4EE6-BA10-EB43B6119569}</author>
  </authors>
  <commentList>
    <comment ref="E17" authorId="0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  <comment ref="E48" authorId="1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  <comment ref="E79" authorId="2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  <comment ref="E110" authorId="3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  <comment ref="E141" authorId="4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  <comment ref="E172" authorId="5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  <comment ref="E203" authorId="6" shape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plants</t>
        </r>
      </text>
    </comment>
  </commentList>
</comments>
</file>

<file path=xl/sharedStrings.xml><?xml version="1.0" encoding="utf-8"?>
<sst xmlns="http://schemas.openxmlformats.org/spreadsheetml/2006/main" count="1196" uniqueCount="338">
  <si>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</si>
  <si>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</si>
  <si>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</si>
  <si>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</si>
  <si>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</si>
  <si>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</si>
  <si>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</si>
  <si>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</si>
  <si>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</si>
  <si>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</si>
  <si>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</si>
  <si>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</si>
  <si>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</si>
  <si>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</si>
  <si>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</si>
  <si>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</si>
  <si>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Cèdre de l'Atlas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</si>
  <si>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</si>
  <si>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</si>
  <si>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</si>
  <si>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</si>
  <si>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Douglas</t>
  </si>
  <si>
    <t>Essence 4</t>
  </si>
  <si>
    <t>Mélèze hybride</t>
  </si>
  <si>
    <t>Essence 5</t>
  </si>
  <si>
    <t>Chêne sessile</t>
  </si>
  <si>
    <t>Essence 6</t>
  </si>
  <si>
    <t>Chêne chevelu</t>
  </si>
  <si>
    <t>Essence 7</t>
  </si>
  <si>
    <t>Aulne glutineux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</si>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</sst>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3.6730282214288827</c:v>
                </c:pt>
                <c:pt idx="2">
                  <c:v>5.0830721403463937</c:v>
                </c:pt>
                <c:pt idx="3">
                  <c:v>7.036679533704671</c:v>
                </c:pt>
                <c:pt idx="4">
                  <c:v>9.7442075368743222</c:v>
                </c:pt>
                <c:pt idx="5">
                  <c:v>13.497714670318894</c:v>
                </c:pt>
                <c:pt idx="6">
                  <c:v>18.702798513212141</c:v>
                </c:pt>
                <c:pt idx="7">
                  <c:v>25.92287762963684</c:v>
                </c:pt>
                <c:pt idx="8">
                  <c:v>35.940795178890447</c:v>
                </c:pt>
                <c:pt idx="9">
                  <c:v>49.844538070800986</c:v>
                </c:pt>
                <c:pt idx="10">
                  <c:v>69.146536639181463</c:v>
                </c:pt>
                <c:pt idx="11">
                  <c:v>89.481359471532414</c:v>
                </c:pt>
                <c:pt idx="12">
                  <c:v>109.69969907041973</c:v>
                </c:pt>
                <c:pt idx="13">
                  <c:v>129.82617251251659</c:v>
                </c:pt>
                <c:pt idx="14">
                  <c:v>149.87707112836947</c:v>
                </c:pt>
                <c:pt idx="15">
                  <c:v>169.8639461155727</c:v>
                </c:pt>
                <c:pt idx="16">
                  <c:v>195.22253928938787</c:v>
                </c:pt>
                <c:pt idx="17">
                  <c:v>220.50453226750395</c:v>
                </c:pt>
                <c:pt idx="18">
                  <c:v>245.71994542966834</c:v>
                </c:pt>
                <c:pt idx="19">
                  <c:v>270.87657100003173</c:v>
                </c:pt>
                <c:pt idx="20">
                  <c:v>295.98063417932605</c:v>
                </c:pt>
                <c:pt idx="21">
                  <c:v>197.48280714753739</c:v>
                </c:pt>
                <c:pt idx="22">
                  <c:v>220.50453226750395</c:v>
                </c:pt>
                <c:pt idx="23">
                  <c:v>243.47106182824413</c:v>
                </c:pt>
                <c:pt idx="24">
                  <c:v>266.38833386373528</c:v>
                </c:pt>
                <c:pt idx="25">
                  <c:v>289.26118046969754</c:v>
                </c:pt>
                <c:pt idx="26">
                  <c:v>252.91325418581559</c:v>
                </c:pt>
                <c:pt idx="27">
                  <c:v>274.91455293818166</c:v>
                </c:pt>
                <c:pt idx="28">
                  <c:v>296.87630238617862</c:v>
                </c:pt>
                <c:pt idx="29">
                  <c:v>318.80183833443067</c:v>
                </c:pt>
                <c:pt idx="30">
                  <c:v>340.6940002860228</c:v>
                </c:pt>
                <c:pt idx="31">
                  <c:v>300.90606654813729</c:v>
                </c:pt>
                <c:pt idx="32">
                  <c:v>321.48425180635394</c:v>
                </c:pt>
                <c:pt idx="33">
                  <c:v>342.03330890235503</c:v>
                </c:pt>
                <c:pt idx="34">
                  <c:v>362.55523309892413</c:v>
                </c:pt>
                <c:pt idx="35">
                  <c:v>383.05177541071208</c:v>
                </c:pt>
                <c:pt idx="36">
                  <c:v>342.4797194558883</c:v>
                </c:pt>
                <c:pt idx="37">
                  <c:v>362.10938015631001</c:v>
                </c:pt>
                <c:pt idx="38">
                  <c:v>381.71578669021255</c:v>
                </c:pt>
                <c:pt idx="39">
                  <c:v>401.30030091052237</c:v>
                </c:pt>
                <c:pt idx="40">
                  <c:v>420.864140955106</c:v>
                </c:pt>
                <c:pt idx="41">
                  <c:v>378.59808340312696</c:v>
                </c:pt>
                <c:pt idx="42">
                  <c:v>396.40615590256056</c:v>
                </c:pt>
                <c:pt idx="43">
                  <c:v>414.19690225230175</c:v>
                </c:pt>
                <c:pt idx="44">
                  <c:v>431.97117107689922</c:v>
                </c:pt>
                <c:pt idx="45">
                  <c:v>449.72973549516246</c:v>
                </c:pt>
                <c:pt idx="46">
                  <c:v>408.416756548705</c:v>
                </c:pt>
                <c:pt idx="47">
                  <c:v>424.86338979756653</c:v>
                </c:pt>
                <c:pt idx="48">
                  <c:v>441.29632927906988</c:v>
                </c:pt>
                <c:pt idx="49">
                  <c:v>457.71615652908685</c:v>
                </c:pt>
                <c:pt idx="50">
                  <c:v>474.12340797215165</c:v>
                </c:pt>
                <c:pt idx="51">
                  <c:v>435.52411678963432</c:v>
                </c:pt>
                <c:pt idx="52">
                  <c:v>450.17350463671522</c:v>
                </c:pt>
                <c:pt idx="53">
                  <c:v>464.81269749872439</c:v>
                </c:pt>
                <c:pt idx="54">
                  <c:v>479.44206160972567</c:v>
                </c:pt>
                <c:pt idx="55">
                  <c:v>494.06193903689768</c:v>
                </c:pt>
                <c:pt idx="56">
                  <c:v>456.38529460741091</c:v>
                </c:pt>
                <c:pt idx="57">
                  <c:v>469.69022691951341</c:v>
                </c:pt>
                <c:pt idx="58">
                  <c:v>482.98713293042402</c:v>
                </c:pt>
                <c:pt idx="59">
                  <c:v>496.27626470453976</c:v>
                </c:pt>
                <c:pt idx="60">
                  <c:v>509.55785970842743</c:v>
                </c:pt>
                <c:pt idx="61">
                  <c:v>475.45318983876706</c:v>
                </c:pt>
                <c:pt idx="62">
                  <c:v>487.86070439311379</c:v>
                </c:pt>
                <c:pt idx="63">
                  <c:v>500.26152412217448</c:v>
                </c:pt>
                <c:pt idx="64">
                  <c:v>512.65583834806694</c:v>
                </c:pt>
                <c:pt idx="65">
                  <c:v>525.04382649327351</c:v>
                </c:pt>
                <c:pt idx="66">
                  <c:v>491.84740297234742</c:v>
                </c:pt>
                <c:pt idx="67">
                  <c:v>502.91798999726456</c:v>
                </c:pt>
                <c:pt idx="68">
                  <c:v>513.98342229938953</c:v>
                </c:pt>
                <c:pt idx="69">
                  <c:v>525.04382649327351</c:v>
                </c:pt>
                <c:pt idx="70">
                  <c:v>536.099323424212</c:v>
                </c:pt>
                <c:pt idx="71">
                  <c:v>506.01682508175622</c:v>
                </c:pt>
                <c:pt idx="72">
                  <c:v>515.75342165232314</c:v>
                </c:pt>
                <c:pt idx="73">
                  <c:v>525.48613980439268</c:v>
                </c:pt>
                <c:pt idx="74">
                  <c:v>535.21506150486687</c:v>
                </c:pt>
                <c:pt idx="75">
                  <c:v>544.94026549750731</c:v>
                </c:pt>
                <c:pt idx="76">
                  <c:v>518.4081804575975</c:v>
                </c:pt>
                <c:pt idx="77">
                  <c:v>527.25531469060445</c:v>
                </c:pt>
                <c:pt idx="78">
                  <c:v>536.099323424212</c:v>
                </c:pt>
                <c:pt idx="79">
                  <c:v>544.94026549750731</c:v>
                </c:pt>
                <c:pt idx="80">
                  <c:v>553.77819768444851</c:v>
                </c:pt>
                <c:pt idx="81">
                  <c:v>528.58211378930434</c:v>
                </c:pt>
                <c:pt idx="82">
                  <c:v>536.54144288093755</c:v>
                </c:pt>
                <c:pt idx="83">
                  <c:v>544.49829034246511</c:v>
                </c:pt>
                <c:pt idx="84">
                  <c:v>552.45269756028677</c:v>
                </c:pt>
                <c:pt idx="85">
                  <c:v>560.40470463156919</c:v>
                </c:pt>
                <c:pt idx="86">
                  <c:v>536.099323424212</c:v>
                </c:pt>
                <c:pt idx="87">
                  <c:v>542.7303143394812</c:v>
                </c:pt>
                <c:pt idx="88">
                  <c:v>549.35960435614891</c:v>
                </c:pt>
                <c:pt idx="89">
                  <c:v>555.98721690157754</c:v>
                </c:pt>
                <c:pt idx="90">
                  <c:v>562.61317479886077</c:v>
                </c:pt>
                <c:pt idx="91">
                  <c:v>542.7303143394812</c:v>
                </c:pt>
                <c:pt idx="92">
                  <c:v>549.35960435614891</c:v>
                </c:pt>
                <c:pt idx="93">
                  <c:v>555.98721690157754</c:v>
                </c:pt>
                <c:pt idx="94">
                  <c:v>562.61317479886077</c:v>
                </c:pt>
                <c:pt idx="95">
                  <c:v>569.23750028949542</c:v>
                </c:pt>
                <c:pt idx="96">
                  <c:v>549.35960435614891</c:v>
                </c:pt>
                <c:pt idx="97">
                  <c:v>555.98721690157754</c:v>
                </c:pt>
                <c:pt idx="98">
                  <c:v>562.61317479886077</c:v>
                </c:pt>
                <c:pt idx="99">
                  <c:v>569.23750028949542</c:v>
                </c:pt>
                <c:pt idx="100">
                  <c:v>575.86021505494898</c:v>
                </c:pt>
                <c:pt idx="101">
                  <c:v>549.35960435614891</c:v>
                </c:pt>
                <c:pt idx="102">
                  <c:v>549.35960435614891</c:v>
                </c:pt>
                <c:pt idx="103">
                  <c:v>549.35960435614891</c:v>
                </c:pt>
                <c:pt idx="104">
                  <c:v>549.35960435614891</c:v>
                </c:pt>
                <c:pt idx="105">
                  <c:v>549.35960435614891</c:v>
                </c:pt>
                <c:pt idx="106">
                  <c:v>549.35960435614891</c:v>
                </c:pt>
                <c:pt idx="107">
                  <c:v>549.35960435614891</c:v>
                </c:pt>
                <c:pt idx="108">
                  <c:v>549.35960435614891</c:v>
                </c:pt>
                <c:pt idx="109">
                  <c:v>549.35960435614891</c:v>
                </c:pt>
                <c:pt idx="110">
                  <c:v>549.35960435614891</c:v>
                </c:pt>
                <c:pt idx="111">
                  <c:v>549.35960435614891</c:v>
                </c:pt>
                <c:pt idx="112">
                  <c:v>549.35960435614891</c:v>
                </c:pt>
                <c:pt idx="113">
                  <c:v>549.35960435614891</c:v>
                </c:pt>
                <c:pt idx="114">
                  <c:v>549.35960435614891</c:v>
                </c:pt>
                <c:pt idx="115">
                  <c:v>549.35960435614891</c:v>
                </c:pt>
                <c:pt idx="116">
                  <c:v>549.35960435614891</c:v>
                </c:pt>
                <c:pt idx="117">
                  <c:v>549.35960435614891</c:v>
                </c:pt>
                <c:pt idx="118">
                  <c:v>549.35960435614891</c:v>
                </c:pt>
                <c:pt idx="119">
                  <c:v>549.35960435614891</c:v>
                </c:pt>
                <c:pt idx="120">
                  <c:v>549.35960435614891</c:v>
                </c:pt>
                <c:pt idx="121">
                  <c:v>549.35960435614891</c:v>
                </c:pt>
                <c:pt idx="122">
                  <c:v>549.35960435614891</c:v>
                </c:pt>
                <c:pt idx="123">
                  <c:v>549.35960435614891</c:v>
                </c:pt>
                <c:pt idx="124">
                  <c:v>549.35960435614891</c:v>
                </c:pt>
                <c:pt idx="125">
                  <c:v>549.35960435614891</c:v>
                </c:pt>
                <c:pt idx="126">
                  <c:v>549.35960435614891</c:v>
                </c:pt>
                <c:pt idx="127">
                  <c:v>549.35960435614891</c:v>
                </c:pt>
                <c:pt idx="128">
                  <c:v>549.35960435614891</c:v>
                </c:pt>
                <c:pt idx="129">
                  <c:v>549.35960435614891</c:v>
                </c:pt>
                <c:pt idx="130">
                  <c:v>549.35960435614891</c:v>
                </c:pt>
                <c:pt idx="131">
                  <c:v>549.35960435614891</c:v>
                </c:pt>
                <c:pt idx="132">
                  <c:v>549.35960435614891</c:v>
                </c:pt>
                <c:pt idx="133">
                  <c:v>549.35960435614891</c:v>
                </c:pt>
                <c:pt idx="134">
                  <c:v>549.35960435614891</c:v>
                </c:pt>
                <c:pt idx="135">
                  <c:v>549.35960435614891</c:v>
                </c:pt>
                <c:pt idx="136">
                  <c:v>549.35960435614891</c:v>
                </c:pt>
                <c:pt idx="137">
                  <c:v>549.35960435614891</c:v>
                </c:pt>
                <c:pt idx="138">
                  <c:v>549.35960435614891</c:v>
                </c:pt>
                <c:pt idx="139">
                  <c:v>549.35960435614891</c:v>
                </c:pt>
                <c:pt idx="140">
                  <c:v>549.35960435614891</c:v>
                </c:pt>
                <c:pt idx="141">
                  <c:v>549.35960435614891</c:v>
                </c:pt>
                <c:pt idx="142">
                  <c:v>549.35960435614891</c:v>
                </c:pt>
                <c:pt idx="143">
                  <c:v>549.35960435614891</c:v>
                </c:pt>
                <c:pt idx="144">
                  <c:v>549.35960435614891</c:v>
                </c:pt>
                <c:pt idx="145">
                  <c:v>549.35960435614891</c:v>
                </c:pt>
                <c:pt idx="146">
                  <c:v>549.35960435614891</c:v>
                </c:pt>
                <c:pt idx="147">
                  <c:v>549.35960435614891</c:v>
                </c:pt>
                <c:pt idx="148">
                  <c:v>549.35960435614891</c:v>
                </c:pt>
                <c:pt idx="149">
                  <c:v>549.35960435614891</c:v>
                </c:pt>
                <c:pt idx="150">
                  <c:v>549.35960435614891</c:v>
                </c:pt>
                <c:pt idx="151">
                  <c:v>549.35960435614891</c:v>
                </c:pt>
                <c:pt idx="152">
                  <c:v>549.35960435614891</c:v>
                </c:pt>
                <c:pt idx="153">
                  <c:v>549.35960435614891</c:v>
                </c:pt>
                <c:pt idx="154">
                  <c:v>549.35960435614891</c:v>
                </c:pt>
                <c:pt idx="155">
                  <c:v>549.35960435614891</c:v>
                </c:pt>
                <c:pt idx="156">
                  <c:v>549.35960435614891</c:v>
                </c:pt>
                <c:pt idx="157">
                  <c:v>549.35960435614891</c:v>
                </c:pt>
                <c:pt idx="158">
                  <c:v>549.35960435614891</c:v>
                </c:pt>
                <c:pt idx="159">
                  <c:v>549.35960435614891</c:v>
                </c:pt>
                <c:pt idx="160">
                  <c:v>549.35960435614891</c:v>
                </c:pt>
                <c:pt idx="161">
                  <c:v>549.35960435614891</c:v>
                </c:pt>
                <c:pt idx="162">
                  <c:v>549.35960435614891</c:v>
                </c:pt>
                <c:pt idx="163">
                  <c:v>549.35960435614891</c:v>
                </c:pt>
                <c:pt idx="164">
                  <c:v>549.35960435614891</c:v>
                </c:pt>
                <c:pt idx="165">
                  <c:v>549.35960435614891</c:v>
                </c:pt>
                <c:pt idx="166">
                  <c:v>549.35960435614891</c:v>
                </c:pt>
                <c:pt idx="167">
                  <c:v>549.35960435614891</c:v>
                </c:pt>
                <c:pt idx="168">
                  <c:v>549.35960435614891</c:v>
                </c:pt>
                <c:pt idx="169">
                  <c:v>549.35960435614891</c:v>
                </c:pt>
                <c:pt idx="170">
                  <c:v>549.35960435614891</c:v>
                </c:pt>
                <c:pt idx="171">
                  <c:v>549.35960435614891</c:v>
                </c:pt>
                <c:pt idx="172">
                  <c:v>549.35960435614891</c:v>
                </c:pt>
                <c:pt idx="173">
                  <c:v>549.35960435614891</c:v>
                </c:pt>
                <c:pt idx="174">
                  <c:v>549.35960435614891</c:v>
                </c:pt>
                <c:pt idx="175">
                  <c:v>549.35960435614891</c:v>
                </c:pt>
                <c:pt idx="176">
                  <c:v>549.35960435614891</c:v>
                </c:pt>
                <c:pt idx="177">
                  <c:v>549.35960435614891</c:v>
                </c:pt>
                <c:pt idx="178">
                  <c:v>549.35960435614891</c:v>
                </c:pt>
                <c:pt idx="179">
                  <c:v>549.35960435614891</c:v>
                </c:pt>
                <c:pt idx="180">
                  <c:v>549.35960435614891</c:v>
                </c:pt>
                <c:pt idx="181">
                  <c:v>549.35960435614891</c:v>
                </c:pt>
                <c:pt idx="182">
                  <c:v>549.35960435614891</c:v>
                </c:pt>
                <c:pt idx="183">
                  <c:v>549.35960435614891</c:v>
                </c:pt>
                <c:pt idx="184">
                  <c:v>549.35960435614891</c:v>
                </c:pt>
                <c:pt idx="185">
                  <c:v>549.35960435614891</c:v>
                </c:pt>
                <c:pt idx="186">
                  <c:v>549.35960435614891</c:v>
                </c:pt>
                <c:pt idx="187">
                  <c:v>549.35960435614891</c:v>
                </c:pt>
                <c:pt idx="188">
                  <c:v>549.35960435614891</c:v>
                </c:pt>
                <c:pt idx="189">
                  <c:v>549.35960435614891</c:v>
                </c:pt>
                <c:pt idx="190">
                  <c:v>549.35960435614891</c:v>
                </c:pt>
                <c:pt idx="191">
                  <c:v>549.35960435614891</c:v>
                </c:pt>
                <c:pt idx="192">
                  <c:v>549.35960435614891</c:v>
                </c:pt>
                <c:pt idx="193">
                  <c:v>549.35960435614891</c:v>
                </c:pt>
                <c:pt idx="194">
                  <c:v>549.35960435614891</c:v>
                </c:pt>
                <c:pt idx="195">
                  <c:v>549.35960435614891</c:v>
                </c:pt>
                <c:pt idx="196">
                  <c:v>549.35960435614891</c:v>
                </c:pt>
                <c:pt idx="197">
                  <c:v>549.35960435614891</c:v>
                </c:pt>
                <c:pt idx="198">
                  <c:v>549.35960435614891</c:v>
                </c:pt>
                <c:pt idx="199">
                  <c:v>549.35960435614891</c:v>
                </c:pt>
                <c:pt idx="200">
                  <c:v>549.35960435614891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334.12903710888452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338.32827143043056</c:v>
                </c:pt>
                <c:pt idx="92">
                  <c:v>338.32827143043056</c:v>
                </c:pt>
                <c:pt idx="93">
                  <c:v>338.32827143043056</c:v>
                </c:pt>
                <c:pt idx="94">
                  <c:v>338.32827143043056</c:v>
                </c:pt>
                <c:pt idx="95">
                  <c:v>338.32827143043056</c:v>
                </c:pt>
                <c:pt idx="96">
                  <c:v>338.32827143043056</c:v>
                </c:pt>
                <c:pt idx="97">
                  <c:v>338.32827143043056</c:v>
                </c:pt>
                <c:pt idx="98">
                  <c:v>338.32827143043056</c:v>
                </c:pt>
                <c:pt idx="99">
                  <c:v>338.32827143043056</c:v>
                </c:pt>
                <c:pt idx="100">
                  <c:v>338.32827143043056</c:v>
                </c:pt>
                <c:pt idx="101">
                  <c:v>338.32827143043056</c:v>
                </c:pt>
                <c:pt idx="102">
                  <c:v>338.32827143043056</c:v>
                </c:pt>
                <c:pt idx="103">
                  <c:v>338.32827143043056</c:v>
                </c:pt>
                <c:pt idx="104">
                  <c:v>338.32827143043056</c:v>
                </c:pt>
                <c:pt idx="105">
                  <c:v>338.32827143043056</c:v>
                </c:pt>
                <c:pt idx="106">
                  <c:v>338.32827143043056</c:v>
                </c:pt>
                <c:pt idx="107">
                  <c:v>338.32827143043056</c:v>
                </c:pt>
                <c:pt idx="108">
                  <c:v>338.32827143043056</c:v>
                </c:pt>
                <c:pt idx="109">
                  <c:v>338.32827143043056</c:v>
                </c:pt>
                <c:pt idx="110">
                  <c:v>338.32827143043056</c:v>
                </c:pt>
                <c:pt idx="111">
                  <c:v>338.32827143043056</c:v>
                </c:pt>
                <c:pt idx="112">
                  <c:v>338.32827143043056</c:v>
                </c:pt>
                <c:pt idx="113">
                  <c:v>338.32827143043056</c:v>
                </c:pt>
                <c:pt idx="114">
                  <c:v>338.32827143043056</c:v>
                </c:pt>
                <c:pt idx="115">
                  <c:v>338.32827143043056</c:v>
                </c:pt>
                <c:pt idx="116">
                  <c:v>338.32827143043056</c:v>
                </c:pt>
                <c:pt idx="117">
                  <c:v>338.32827143043056</c:v>
                </c:pt>
                <c:pt idx="118">
                  <c:v>338.32827143043056</c:v>
                </c:pt>
                <c:pt idx="119">
                  <c:v>338.32827143043056</c:v>
                </c:pt>
                <c:pt idx="120">
                  <c:v>338.32827143043056</c:v>
                </c:pt>
                <c:pt idx="121">
                  <c:v>338.32827143043056</c:v>
                </c:pt>
                <c:pt idx="122">
                  <c:v>338.32827143043056</c:v>
                </c:pt>
                <c:pt idx="123">
                  <c:v>338.32827143043056</c:v>
                </c:pt>
                <c:pt idx="124">
                  <c:v>338.32827143043056</c:v>
                </c:pt>
                <c:pt idx="125">
                  <c:v>338.32827143043056</c:v>
                </c:pt>
                <c:pt idx="126">
                  <c:v>338.32827143043056</c:v>
                </c:pt>
                <c:pt idx="127">
                  <c:v>338.32827143043056</c:v>
                </c:pt>
                <c:pt idx="128">
                  <c:v>338.32827143043056</c:v>
                </c:pt>
                <c:pt idx="129">
                  <c:v>338.32827143043056</c:v>
                </c:pt>
                <c:pt idx="130">
                  <c:v>338.32827143043056</c:v>
                </c:pt>
                <c:pt idx="131">
                  <c:v>338.32827143043056</c:v>
                </c:pt>
                <c:pt idx="132">
                  <c:v>338.32827143043056</c:v>
                </c:pt>
                <c:pt idx="133">
                  <c:v>338.32827143043056</c:v>
                </c:pt>
                <c:pt idx="134">
                  <c:v>338.32827143043056</c:v>
                </c:pt>
                <c:pt idx="135">
                  <c:v>338.32827143043056</c:v>
                </c:pt>
                <c:pt idx="136">
                  <c:v>338.32827143043056</c:v>
                </c:pt>
                <c:pt idx="137">
                  <c:v>338.32827143043056</c:v>
                </c:pt>
                <c:pt idx="138">
                  <c:v>338.32827143043056</c:v>
                </c:pt>
                <c:pt idx="139">
                  <c:v>338.32827143043056</c:v>
                </c:pt>
                <c:pt idx="140">
                  <c:v>338.32827143043056</c:v>
                </c:pt>
                <c:pt idx="141">
                  <c:v>338.32827143043056</c:v>
                </c:pt>
                <c:pt idx="142">
                  <c:v>338.32827143043056</c:v>
                </c:pt>
                <c:pt idx="143">
                  <c:v>338.32827143043056</c:v>
                </c:pt>
                <c:pt idx="144">
                  <c:v>338.32827143043056</c:v>
                </c:pt>
                <c:pt idx="145">
                  <c:v>338.32827143043056</c:v>
                </c:pt>
                <c:pt idx="146">
                  <c:v>338.32827143043056</c:v>
                </c:pt>
                <c:pt idx="147">
                  <c:v>338.32827143043056</c:v>
                </c:pt>
                <c:pt idx="148">
                  <c:v>338.32827143043056</c:v>
                </c:pt>
                <c:pt idx="149">
                  <c:v>338.32827143043056</c:v>
                </c:pt>
                <c:pt idx="150">
                  <c:v>338.32827143043056</c:v>
                </c:pt>
                <c:pt idx="151">
                  <c:v>338.32827143043056</c:v>
                </c:pt>
                <c:pt idx="152">
                  <c:v>338.32827143043056</c:v>
                </c:pt>
                <c:pt idx="153">
                  <c:v>338.32827143043056</c:v>
                </c:pt>
                <c:pt idx="154">
                  <c:v>338.32827143043056</c:v>
                </c:pt>
                <c:pt idx="155">
                  <c:v>338.32827143043056</c:v>
                </c:pt>
                <c:pt idx="156">
                  <c:v>338.32827143043056</c:v>
                </c:pt>
                <c:pt idx="157">
                  <c:v>338.32827143043056</c:v>
                </c:pt>
                <c:pt idx="158">
                  <c:v>338.32827143043056</c:v>
                </c:pt>
                <c:pt idx="159">
                  <c:v>338.32827143043056</c:v>
                </c:pt>
                <c:pt idx="160">
                  <c:v>338.32827143043056</c:v>
                </c:pt>
                <c:pt idx="161">
                  <c:v>338.32827143043056</c:v>
                </c:pt>
                <c:pt idx="162">
                  <c:v>338.32827143043056</c:v>
                </c:pt>
                <c:pt idx="163">
                  <c:v>338.32827143043056</c:v>
                </c:pt>
                <c:pt idx="164">
                  <c:v>338.32827143043056</c:v>
                </c:pt>
                <c:pt idx="165">
                  <c:v>338.32827143043056</c:v>
                </c:pt>
                <c:pt idx="166">
                  <c:v>338.32827143043056</c:v>
                </c:pt>
                <c:pt idx="167">
                  <c:v>338.32827143043056</c:v>
                </c:pt>
                <c:pt idx="168">
                  <c:v>338.32827143043056</c:v>
                </c:pt>
                <c:pt idx="169">
                  <c:v>338.32827143043056</c:v>
                </c:pt>
                <c:pt idx="170">
                  <c:v>338.32827143043056</c:v>
                </c:pt>
                <c:pt idx="171">
                  <c:v>338.32827143043056</c:v>
                </c:pt>
                <c:pt idx="172">
                  <c:v>338.32827143043056</c:v>
                </c:pt>
                <c:pt idx="173">
                  <c:v>338.32827143043056</c:v>
                </c:pt>
                <c:pt idx="174">
                  <c:v>338.32827143043056</c:v>
                </c:pt>
                <c:pt idx="175">
                  <c:v>338.32827143043056</c:v>
                </c:pt>
                <c:pt idx="176">
                  <c:v>338.32827143043056</c:v>
                </c:pt>
                <c:pt idx="177">
                  <c:v>338.32827143043056</c:v>
                </c:pt>
                <c:pt idx="178">
                  <c:v>338.32827143043056</c:v>
                </c:pt>
                <c:pt idx="179">
                  <c:v>338.32827143043056</c:v>
                </c:pt>
                <c:pt idx="180">
                  <c:v>338.32827143043056</c:v>
                </c:pt>
                <c:pt idx="181">
                  <c:v>338.32827143043056</c:v>
                </c:pt>
                <c:pt idx="182">
                  <c:v>338.32827143043056</c:v>
                </c:pt>
                <c:pt idx="183">
                  <c:v>338.32827143043056</c:v>
                </c:pt>
                <c:pt idx="184">
                  <c:v>338.32827143043056</c:v>
                </c:pt>
                <c:pt idx="185">
                  <c:v>338.32827143043056</c:v>
                </c:pt>
                <c:pt idx="186">
                  <c:v>338.32827143043056</c:v>
                </c:pt>
                <c:pt idx="187">
                  <c:v>338.32827143043056</c:v>
                </c:pt>
                <c:pt idx="188">
                  <c:v>338.32827143043056</c:v>
                </c:pt>
                <c:pt idx="189">
                  <c:v>338.32827143043056</c:v>
                </c:pt>
                <c:pt idx="190">
                  <c:v>338.32827143043056</c:v>
                </c:pt>
                <c:pt idx="191">
                  <c:v>338.32827143043056</c:v>
                </c:pt>
                <c:pt idx="192">
                  <c:v>338.32827143043056</c:v>
                </c:pt>
                <c:pt idx="193">
                  <c:v>338.32827143043056</c:v>
                </c:pt>
                <c:pt idx="194">
                  <c:v>338.32827143043056</c:v>
                </c:pt>
                <c:pt idx="195">
                  <c:v>338.32827143043056</c:v>
                </c:pt>
                <c:pt idx="196">
                  <c:v>338.32827143043056</c:v>
                </c:pt>
                <c:pt idx="197">
                  <c:v>338.32827143043056</c:v>
                </c:pt>
                <c:pt idx="198">
                  <c:v>338.32827143043056</c:v>
                </c:pt>
                <c:pt idx="199">
                  <c:v>338.32827143043056</c:v>
                </c:pt>
                <c:pt idx="200">
                  <c:v>338.32827143043056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cie CAUCHOIS" id="{CAB2B1D6-E857-4452-A103-6B9CAA4040D3}" userId="S::lucie.cauchois@oklima.fr::673eb329-28ae-4828-a327-67589683f74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4-08-27T14:54:33.30" personId="{CAB2B1D6-E857-4452-A103-6B9CAA4040D3}" id="{032C87F2-0B55-454F-85E6-21B319F269FD}">
    <text>Fourniture des plants</text>
  </threadedComment>
  <threadedComment ref="E48" dT="2024-08-27T14:54:45.02" personId="{CAB2B1D6-E857-4452-A103-6B9CAA4040D3}" id="{F1AC07EF-EE06-44E5-BBE2-47117AB3094A}">
    <text>Fourniture des plants</text>
  </threadedComment>
  <threadedComment ref="E79" dT="2024-08-27T14:54:53.85" personId="{CAB2B1D6-E857-4452-A103-6B9CAA4040D3}" id="{474A2223-7D47-4282-A482-DDDE02BB6B3A}">
    <text>Fourniture des plants</text>
  </threadedComment>
  <threadedComment ref="E110" dT="2024-08-27T14:55:02.49" personId="{CAB2B1D6-E857-4452-A103-6B9CAA4040D3}" id="{B6F42AF1-0FB5-415D-B0C5-731747E3D4DC}">
    <text>Fourniture des plants</text>
  </threadedComment>
  <threadedComment ref="E141" dT="2024-08-27T14:55:10.54" personId="{CAB2B1D6-E857-4452-A103-6B9CAA4040D3}" id="{9AA4C61E-0952-4B6F-8142-2B7D0D88FDD3}">
    <text>Fourniture des plants</text>
  </threadedComment>
  <threadedComment ref="E172" dT="2024-08-27T14:55:19.02" personId="{CAB2B1D6-E857-4452-A103-6B9CAA4040D3}" id="{651CC723-4312-4E02-805D-B8D14EF39F3A}">
    <text>Fourniture des plants</text>
  </threadedComment>
  <threadedComment ref="E203" dT="2024-08-27T14:56:54.54" personId="{CAB2B1D6-E857-4452-A103-6B9CAA4040D3}" id="{78C4A6C3-F913-4EE6-BA10-EB43B6119569}">
    <text>Fourniture des plants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4140625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10" sqref="C10"/>
    </sheetView>
  </sheetViews>
  <sheetFormatPr baseColWidth="10" defaultColWidth="11.44140625" defaultRowHeight="14.4" x14ac:dyDescent="0.3"/>
  <cols>
    <col min="1" max="1" width="13.77734375" style="23" customWidth="1"/>
    <col min="2" max="2" width="36.21875" style="23" customWidth="1"/>
    <col min="3" max="3" width="14.77734375" style="23" bestFit="1" customWidth="1"/>
    <col min="4" max="4" width="16.44140625" style="23" customWidth="1"/>
    <col min="5" max="5" width="23.21875" style="23" customWidth="1"/>
    <col min="6" max="6" width="28.77734375" style="23" bestFit="1" customWidth="1"/>
    <col min="7" max="8" width="14.7773437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13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16</v>
      </c>
      <c r="C9" s="32">
        <v>0.39960000000000001</v>
      </c>
      <c r="D9" s="33">
        <f t="shared" ref="D9:D18" si="0">C9*$C$5</f>
        <v>5.1947999999999999</v>
      </c>
      <c r="E9" s="34">
        <f>MAX(A36:A55)</f>
        <v>105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19</v>
      </c>
      <c r="C10" s="32">
        <v>0.3</v>
      </c>
      <c r="D10" s="33">
        <f t="shared" si="0"/>
        <v>3.9</v>
      </c>
      <c r="E10" s="34">
        <f>MAX(A62:A81)</f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 t="s">
        <v>21</v>
      </c>
      <c r="C11" s="32">
        <v>9.2299999999999993E-2</v>
      </c>
      <c r="D11" s="33">
        <f t="shared" si="0"/>
        <v>1.1999</v>
      </c>
      <c r="E11" s="34">
        <f>MAX(A88:A107)</f>
        <v>54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22</v>
      </c>
      <c r="B12" s="31" t="s">
        <v>23</v>
      </c>
      <c r="C12" s="32">
        <v>9.2299999999999993E-2</v>
      </c>
      <c r="D12" s="33">
        <f t="shared" si="0"/>
        <v>1.1999</v>
      </c>
      <c r="E12" s="34">
        <f>MAX(A114:A133)</f>
        <v>42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24</v>
      </c>
      <c r="B13" s="31" t="s">
        <v>25</v>
      </c>
      <c r="C13" s="32">
        <v>3.85E-2</v>
      </c>
      <c r="D13" s="33">
        <f t="shared" si="0"/>
        <v>0.50049999999999994</v>
      </c>
      <c r="E13" s="34">
        <f>MAX(A140:A159)</f>
        <v>131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26</v>
      </c>
      <c r="B14" s="31" t="s">
        <v>27</v>
      </c>
      <c r="C14" s="32">
        <v>3.85E-2</v>
      </c>
      <c r="D14" s="33">
        <f t="shared" si="0"/>
        <v>0.50049999999999994</v>
      </c>
      <c r="E14" s="34">
        <f>MAX(A166:A185)</f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28</v>
      </c>
      <c r="B15" s="31" t="s">
        <v>29</v>
      </c>
      <c r="C15" s="32">
        <v>3.85E-2</v>
      </c>
      <c r="D15" s="33">
        <f t="shared" si="0"/>
        <v>0.50049999999999994</v>
      </c>
      <c r="E15" s="34">
        <f>MAX(A192:A211)</f>
        <v>90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30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31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32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33</v>
      </c>
      <c r="C19" s="37">
        <f>SUM(C9:C18)</f>
        <v>0.99970000000000003</v>
      </c>
      <c r="D19" s="38">
        <f>SUM(D9:D18)</f>
        <v>12.9961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34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35</v>
      </c>
      <c r="B24" s="42" t="s">
        <v>36</v>
      </c>
      <c r="C24" s="43">
        <v>0</v>
      </c>
      <c r="D24" s="44" t="s">
        <v>37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38</v>
      </c>
      <c r="B25" s="42" t="s">
        <v>39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40</v>
      </c>
      <c r="B26" s="42" t="s">
        <v>41</v>
      </c>
      <c r="C26" s="43">
        <v>0.05</v>
      </c>
      <c r="D26" s="44" t="s">
        <v>42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43</v>
      </c>
      <c r="B27" s="42" t="s">
        <v>44</v>
      </c>
      <c r="C27" s="43">
        <v>0</v>
      </c>
      <c r="D27" s="44" t="s">
        <v>45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46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Cèdre de l'Atlas</v>
      </c>
      <c r="D32" s="229" t="s">
        <v>47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48</v>
      </c>
      <c r="C34" s="258" t="s">
        <v>49</v>
      </c>
      <c r="D34" s="258"/>
      <c r="E34" s="259" t="s">
        <v>50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51</v>
      </c>
      <c r="B35" s="36" t="s">
        <v>52</v>
      </c>
      <c r="C35" s="48" t="s">
        <v>53</v>
      </c>
      <c r="D35" s="48" t="s">
        <v>54</v>
      </c>
      <c r="E35" s="36" t="s">
        <v>55</v>
      </c>
      <c r="F35" s="36" t="s">
        <v>56</v>
      </c>
      <c r="G35" s="36" t="s">
        <v>57</v>
      </c>
      <c r="H35" s="36" t="s">
        <v>58</v>
      </c>
      <c r="I35" s="48" t="s">
        <v>59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30</v>
      </c>
      <c r="B36" s="60">
        <v>216.79230769230767</v>
      </c>
      <c r="C36" s="60" t="s">
        <v>60</v>
      </c>
      <c r="D36" s="60">
        <v>0</v>
      </c>
      <c r="E36" s="51">
        <v>0.7</v>
      </c>
      <c r="F36" s="51">
        <v>0.16800000000000001</v>
      </c>
      <c r="G36" s="51">
        <v>0.13200000000000001</v>
      </c>
      <c r="H36" s="51">
        <v>0</v>
      </c>
      <c r="I36" s="49">
        <f>IFERROR(B36/A36,"")</f>
        <v>7.2264102564102561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42</v>
      </c>
      <c r="B37" s="60">
        <v>410.3692307692308</v>
      </c>
      <c r="C37" s="60">
        <v>1</v>
      </c>
      <c r="D37" s="60">
        <v>179.84615384615384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16.131410256410259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49</v>
      </c>
      <c r="B38" s="60">
        <v>339.85384615384612</v>
      </c>
      <c r="C38" s="60">
        <v>2</v>
      </c>
      <c r="D38" s="60">
        <v>94.476923076923072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15.618681318681309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56</v>
      </c>
      <c r="B39" s="60">
        <v>348.05384615384617</v>
      </c>
      <c r="C39" s="60">
        <v>3</v>
      </c>
      <c r="D39" s="60">
        <v>72.769230769230759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14.668131868131875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63</v>
      </c>
      <c r="B40" s="60">
        <v>375.17692307692306</v>
      </c>
      <c r="C40" s="60">
        <v>4</v>
      </c>
      <c r="D40" s="60">
        <v>71.123076923076923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14.270329670329668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71</v>
      </c>
      <c r="B41" s="60">
        <v>413.95384615384614</v>
      </c>
      <c r="C41" s="60">
        <v>5</v>
      </c>
      <c r="D41" s="60">
        <v>80.399999999999991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13.737499999999997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79</v>
      </c>
      <c r="B42" s="60">
        <v>436.86153846153843</v>
      </c>
      <c r="C42" s="60">
        <v>6</v>
      </c>
      <c r="D42" s="60">
        <v>77.338461538461544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12.913461538461533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87</v>
      </c>
      <c r="B43" s="60">
        <v>456.51538461538462</v>
      </c>
      <c r="C43" s="60">
        <v>7</v>
      </c>
      <c r="D43" s="60">
        <v>77.330769230769235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12.124038461538468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95</v>
      </c>
      <c r="B44" s="60">
        <v>469.12307692307689</v>
      </c>
      <c r="C44" s="60">
        <v>8</v>
      </c>
      <c r="D44" s="60">
        <v>234.42307692307691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11.242307692307691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105</v>
      </c>
      <c r="B45" s="60">
        <v>309.71538461538461</v>
      </c>
      <c r="C45" s="60">
        <v>9</v>
      </c>
      <c r="D45" s="60">
        <v>309.71538461538461</v>
      </c>
      <c r="E45" s="51">
        <v>0.7</v>
      </c>
      <c r="F45" s="51">
        <v>0.16800000000000001</v>
      </c>
      <c r="G45" s="51">
        <v>0.13200000000000001</v>
      </c>
      <c r="H45" s="51">
        <v>0</v>
      </c>
      <c r="I45" s="49">
        <f t="shared" si="1"/>
        <v>7.5015384615384617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Pin laricio</v>
      </c>
      <c r="D58" s="229" t="s">
        <v>47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48</v>
      </c>
      <c r="C60" s="258" t="s">
        <v>49</v>
      </c>
      <c r="D60" s="258"/>
      <c r="E60" s="259" t="s">
        <v>50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51</v>
      </c>
      <c r="B61" s="36" t="s">
        <v>52</v>
      </c>
      <c r="C61" s="48" t="s">
        <v>53</v>
      </c>
      <c r="D61" s="48" t="s">
        <v>54</v>
      </c>
      <c r="E61" s="36" t="s">
        <v>55</v>
      </c>
      <c r="F61" s="36" t="s">
        <v>56</v>
      </c>
      <c r="G61" s="36" t="s">
        <v>57</v>
      </c>
      <c r="H61" s="36" t="s">
        <v>58</v>
      </c>
      <c r="I61" s="48" t="s">
        <v>59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>Douglas</v>
      </c>
      <c r="D84" s="229" t="s">
        <v>47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48</v>
      </c>
      <c r="C86" s="258" t="s">
        <v>49</v>
      </c>
      <c r="D86" s="258"/>
      <c r="E86" s="259" t="s">
        <v>50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51</v>
      </c>
      <c r="B87" s="36" t="s">
        <v>52</v>
      </c>
      <c r="C87" s="48" t="s">
        <v>53</v>
      </c>
      <c r="D87" s="48" t="s">
        <v>54</v>
      </c>
      <c r="E87" s="36" t="s">
        <v>55</v>
      </c>
      <c r="F87" s="36" t="s">
        <v>56</v>
      </c>
      <c r="G87" s="36" t="s">
        <v>57</v>
      </c>
      <c r="H87" s="36" t="s">
        <v>58</v>
      </c>
      <c r="I87" s="48" t="s">
        <v>59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18</v>
      </c>
      <c r="B88" s="60">
        <v>182.89230769230767</v>
      </c>
      <c r="C88" s="60">
        <v>1</v>
      </c>
      <c r="D88" s="60">
        <v>69.284615384615378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10.16068376068376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24</v>
      </c>
      <c r="B89" s="60">
        <v>237.56153846153845</v>
      </c>
      <c r="C89" s="60">
        <v>2</v>
      </c>
      <c r="D89" s="60">
        <v>42.661538461538463</v>
      </c>
      <c r="E89" s="51">
        <v>0.7</v>
      </c>
      <c r="F89" s="51">
        <v>0.16800000000000001</v>
      </c>
      <c r="G89" s="51">
        <v>0.13200000000000001</v>
      </c>
      <c r="H89" s="87">
        <v>0</v>
      </c>
      <c r="I89" s="53">
        <f t="shared" ref="I89:I107" si="3">IF(A89&lt;&gt;0,(B89-(B88-D88))/(A89-A88),"")</f>
        <v>20.658974358974358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331.86923076923074</v>
      </c>
      <c r="C90" s="60">
        <v>3</v>
      </c>
      <c r="D90" s="60">
        <v>65.669230769230765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22.828205128205127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36</v>
      </c>
      <c r="B91" s="60">
        <v>403.50769230769237</v>
      </c>
      <c r="C91" s="60">
        <v>4</v>
      </c>
      <c r="D91" s="60">
        <v>69.3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22.884615384615397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42</v>
      </c>
      <c r="B92" s="60">
        <v>468.72307692307686</v>
      </c>
      <c r="C92" s="60">
        <v>5</v>
      </c>
      <c r="D92" s="60">
        <v>73.392307692307682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22.419230769230751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48</v>
      </c>
      <c r="B93" s="60">
        <v>525.0846153846154</v>
      </c>
      <c r="C93" s="60">
        <v>6</v>
      </c>
      <c r="D93" s="60">
        <v>81.330769230769235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21.625641025641034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54</v>
      </c>
      <c r="B94" s="60">
        <v>566.79999999999995</v>
      </c>
      <c r="C94" s="60">
        <v>7</v>
      </c>
      <c r="D94" s="60">
        <v>566.79999999999995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20.507692307692299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22</v>
      </c>
      <c r="B110" s="52" t="str">
        <f>IF(B12="","",B12)</f>
        <v>Mélèze hybride</v>
      </c>
      <c r="D110" s="229" t="s">
        <v>47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48</v>
      </c>
      <c r="C112" s="258" t="s">
        <v>49</v>
      </c>
      <c r="D112" s="258"/>
      <c r="E112" s="259" t="s">
        <v>50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51</v>
      </c>
      <c r="B113" s="36" t="s">
        <v>52</v>
      </c>
      <c r="C113" s="48" t="s">
        <v>53</v>
      </c>
      <c r="D113" s="48" t="s">
        <v>54</v>
      </c>
      <c r="E113" s="36" t="s">
        <v>55</v>
      </c>
      <c r="F113" s="36" t="s">
        <v>56</v>
      </c>
      <c r="G113" s="36" t="s">
        <v>57</v>
      </c>
      <c r="H113" s="36" t="s">
        <v>58</v>
      </c>
      <c r="I113" s="48" t="s">
        <v>59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12</v>
      </c>
      <c r="B114" s="60">
        <v>116</v>
      </c>
      <c r="C114" s="50">
        <v>1</v>
      </c>
      <c r="D114" s="60">
        <v>21</v>
      </c>
      <c r="E114" s="51">
        <v>0</v>
      </c>
      <c r="F114" s="51">
        <v>0.7</v>
      </c>
      <c r="G114" s="51">
        <v>0</v>
      </c>
      <c r="H114" s="51">
        <v>0.3</v>
      </c>
      <c r="I114" s="53">
        <f>IFERROR(B114/A114,"")</f>
        <v>9.6666666666666661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168</v>
      </c>
      <c r="C115" s="50">
        <v>2</v>
      </c>
      <c r="D115" s="60">
        <v>47</v>
      </c>
      <c r="E115" s="51">
        <v>0</v>
      </c>
      <c r="F115" s="51">
        <v>0.8</v>
      </c>
      <c r="G115" s="51">
        <v>0</v>
      </c>
      <c r="H115" s="51">
        <v>0.2</v>
      </c>
      <c r="I115" s="53">
        <f t="shared" ref="I115:I133" si="4">IF(A115&lt;&gt;0,(B115-(B114-D114))/(A115-A114),"")</f>
        <v>24.333333333333332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18</v>
      </c>
      <c r="B116" s="60">
        <v>185</v>
      </c>
      <c r="C116" s="50">
        <v>3</v>
      </c>
      <c r="D116" s="60">
        <v>61</v>
      </c>
      <c r="E116" s="51">
        <v>0</v>
      </c>
      <c r="F116" s="51">
        <v>0.8</v>
      </c>
      <c r="G116" s="51">
        <v>0</v>
      </c>
      <c r="H116" s="51">
        <v>0.2</v>
      </c>
      <c r="I116" s="53">
        <f t="shared" si="4"/>
        <v>21.333333333333332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24</v>
      </c>
      <c r="B117" s="60">
        <v>239</v>
      </c>
      <c r="C117" s="50">
        <v>4</v>
      </c>
      <c r="D117" s="60">
        <v>84</v>
      </c>
      <c r="E117" s="51">
        <v>0</v>
      </c>
      <c r="F117" s="51">
        <v>0.8</v>
      </c>
      <c r="G117" s="51">
        <v>0</v>
      </c>
      <c r="H117" s="51">
        <v>0.2</v>
      </c>
      <c r="I117" s="53">
        <f t="shared" si="4"/>
        <v>19.166666666666668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255</v>
      </c>
      <c r="C118" s="50">
        <v>5</v>
      </c>
      <c r="D118" s="60">
        <v>76</v>
      </c>
      <c r="E118" s="51">
        <v>0.3</v>
      </c>
      <c r="F118" s="51">
        <v>0.6</v>
      </c>
      <c r="G118" s="51">
        <v>0</v>
      </c>
      <c r="H118" s="51">
        <v>0.1</v>
      </c>
      <c r="I118" s="53">
        <f t="shared" si="4"/>
        <v>16.666666666666668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36</v>
      </c>
      <c r="B119" s="60">
        <v>269</v>
      </c>
      <c r="C119" s="50">
        <v>6</v>
      </c>
      <c r="D119" s="60">
        <v>75</v>
      </c>
      <c r="E119" s="51">
        <v>0.3</v>
      </c>
      <c r="F119" s="51">
        <v>0.6</v>
      </c>
      <c r="G119" s="51">
        <v>0</v>
      </c>
      <c r="H119" s="51">
        <v>0.1</v>
      </c>
      <c r="I119" s="53">
        <f t="shared" si="4"/>
        <v>15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42</v>
      </c>
      <c r="B120" s="60">
        <v>278</v>
      </c>
      <c r="C120" s="60" t="s">
        <v>61</v>
      </c>
      <c r="D120" s="60">
        <v>278</v>
      </c>
      <c r="E120" s="87">
        <v>0.4</v>
      </c>
      <c r="F120" s="87">
        <v>0.6</v>
      </c>
      <c r="G120" s="87">
        <v>0</v>
      </c>
      <c r="H120" s="87">
        <v>0</v>
      </c>
      <c r="I120" s="53">
        <f t="shared" si="4"/>
        <v>14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24</v>
      </c>
      <c r="B136" s="52" t="str">
        <f>IF(B13="","",B13)</f>
        <v>Chêne sessile</v>
      </c>
      <c r="D136" s="229" t="s">
        <v>47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48</v>
      </c>
      <c r="C138" s="258" t="s">
        <v>49</v>
      </c>
      <c r="D138" s="258"/>
      <c r="E138" s="259" t="s">
        <v>50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51</v>
      </c>
      <c r="B139" s="36" t="s">
        <v>52</v>
      </c>
      <c r="C139" s="48" t="s">
        <v>53</v>
      </c>
      <c r="D139" s="48" t="s">
        <v>54</v>
      </c>
      <c r="E139" s="36" t="s">
        <v>55</v>
      </c>
      <c r="F139" s="36" t="s">
        <v>56</v>
      </c>
      <c r="G139" s="36" t="s">
        <v>57</v>
      </c>
      <c r="H139" s="36" t="s">
        <v>58</v>
      </c>
      <c r="I139" s="48" t="s">
        <v>59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121.88461538461537</v>
      </c>
      <c r="C140" s="50" t="s">
        <v>60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4.0628205128205126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35</v>
      </c>
      <c r="B141" s="60">
        <v>162.16666666666669</v>
      </c>
      <c r="C141" s="50">
        <v>1</v>
      </c>
      <c r="D141" s="60">
        <v>60.602564102564102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8.0564102564102633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41</v>
      </c>
      <c r="B142" s="60">
        <v>157.44871794871796</v>
      </c>
      <c r="C142" s="50">
        <v>2</v>
      </c>
      <c r="D142" s="60">
        <v>38.512820512820511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9.3141025641025621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48</v>
      </c>
      <c r="B143" s="60">
        <v>184.35256410256409</v>
      </c>
      <c r="C143" s="50">
        <v>3</v>
      </c>
      <c r="D143" s="60">
        <v>48.025641025641022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9.3452380952380913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55</v>
      </c>
      <c r="B144" s="60">
        <v>198.44230769230768</v>
      </c>
      <c r="C144" s="50">
        <v>4</v>
      </c>
      <c r="D144" s="60">
        <v>45.147435897435898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8.8736263736263741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63</v>
      </c>
      <c r="B145" s="60">
        <v>220.28846153846152</v>
      </c>
      <c r="C145" s="50">
        <v>5</v>
      </c>
      <c r="D145" s="60">
        <v>41.724358974358978</v>
      </c>
      <c r="E145" s="51">
        <v>0.7</v>
      </c>
      <c r="F145" s="51">
        <v>0</v>
      </c>
      <c r="G145" s="51">
        <v>0</v>
      </c>
      <c r="H145" s="51">
        <v>0.3</v>
      </c>
      <c r="I145" s="57">
        <f t="shared" si="5"/>
        <v>8.374198717948719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71</v>
      </c>
      <c r="B146" s="60">
        <v>243.36538461538464</v>
      </c>
      <c r="C146" s="50">
        <v>6</v>
      </c>
      <c r="D146" s="60">
        <v>39.935897435897431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8.1001602564102626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80</v>
      </c>
      <c r="B147" s="60">
        <v>274.01282051282055</v>
      </c>
      <c r="C147" s="50">
        <v>7</v>
      </c>
      <c r="D147" s="60">
        <v>45.608974358974358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7.8425925925925934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89</v>
      </c>
      <c r="B148" s="60">
        <v>295.85897435897436</v>
      </c>
      <c r="C148" s="50">
        <v>8</v>
      </c>
      <c r="D148" s="60">
        <v>49.391025641025635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7.4950142450142421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99</v>
      </c>
      <c r="B149" s="60">
        <v>318.25</v>
      </c>
      <c r="C149" s="50">
        <v>9</v>
      </c>
      <c r="D149" s="60">
        <v>48.019230769230766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7.1782051282051267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109</v>
      </c>
      <c r="B150" s="60">
        <v>340.16666666666663</v>
      </c>
      <c r="C150" s="50">
        <v>10</v>
      </c>
      <c r="D150" s="60">
        <v>51.28846153846154</v>
      </c>
      <c r="E150" s="51">
        <v>0.9</v>
      </c>
      <c r="F150" s="51">
        <v>0</v>
      </c>
      <c r="G150" s="51">
        <v>0</v>
      </c>
      <c r="H150" s="51">
        <v>0.1</v>
      </c>
      <c r="I150" s="57">
        <f t="shared" si="5"/>
        <v>6.9935897435897401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119</v>
      </c>
      <c r="B151" s="60">
        <v>357.33974358974359</v>
      </c>
      <c r="C151" s="50">
        <v>11</v>
      </c>
      <c r="D151" s="60">
        <v>150.02564102564102</v>
      </c>
      <c r="E151" s="51">
        <v>0.9</v>
      </c>
      <c r="F151" s="51">
        <v>0</v>
      </c>
      <c r="G151" s="51">
        <v>0</v>
      </c>
      <c r="H151" s="51">
        <v>0.1</v>
      </c>
      <c r="I151" s="57">
        <f t="shared" si="5"/>
        <v>6.8461538461538511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123</v>
      </c>
      <c r="B152" s="60">
        <v>222.63461538461539</v>
      </c>
      <c r="C152" s="50">
        <v>12</v>
      </c>
      <c r="D152" s="60">
        <v>77.17307692307692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3.8301282051282044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127</v>
      </c>
      <c r="B153" s="60">
        <v>154.80128205128204</v>
      </c>
      <c r="C153" s="50">
        <v>13</v>
      </c>
      <c r="D153" s="60">
        <v>49.916666666666671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2.3349358974358978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131</v>
      </c>
      <c r="B154" s="56">
        <v>110.91025641025641</v>
      </c>
      <c r="C154" s="50">
        <v>14</v>
      </c>
      <c r="D154" s="50">
        <v>110.91025641025641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1.5064102564102591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26</v>
      </c>
      <c r="B162" s="52" t="str">
        <f>IF(B14="","",B14)</f>
        <v>Chêne chevelu</v>
      </c>
      <c r="D162" s="229" t="s">
        <v>47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48</v>
      </c>
      <c r="C164" s="258" t="s">
        <v>49</v>
      </c>
      <c r="D164" s="258"/>
      <c r="E164" s="259" t="s">
        <v>50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51</v>
      </c>
      <c r="B165" s="36" t="s">
        <v>52</v>
      </c>
      <c r="C165" s="48" t="s">
        <v>53</v>
      </c>
      <c r="D165" s="48" t="s">
        <v>54</v>
      </c>
      <c r="E165" s="36" t="s">
        <v>55</v>
      </c>
      <c r="F165" s="36" t="s">
        <v>56</v>
      </c>
      <c r="G165" s="36" t="s">
        <v>57</v>
      </c>
      <c r="H165" s="36" t="s">
        <v>58</v>
      </c>
      <c r="I165" s="48" t="s">
        <v>59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29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73</v>
      </c>
      <c r="C167" s="60">
        <v>0</v>
      </c>
      <c r="D167" s="60">
        <v>0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8.8000000000000007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129</v>
      </c>
      <c r="C168" s="60">
        <v>1</v>
      </c>
      <c r="D168" s="60" t="s">
        <v>62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11.2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126</v>
      </c>
      <c r="C169" s="60">
        <v>2</v>
      </c>
      <c r="D169" s="60" t="s">
        <v>63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10.199999999999999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149</v>
      </c>
      <c r="C170" s="60">
        <v>3</v>
      </c>
      <c r="D170" s="60" t="s">
        <v>64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9.8000000000000007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168</v>
      </c>
      <c r="C171" s="60">
        <v>4</v>
      </c>
      <c r="D171" s="60" t="s">
        <v>64</v>
      </c>
      <c r="E171" s="51">
        <v>0</v>
      </c>
      <c r="F171" s="51">
        <v>0.5</v>
      </c>
      <c r="G171" s="51">
        <v>0</v>
      </c>
      <c r="H171" s="51">
        <v>0.5</v>
      </c>
      <c r="I171" s="49">
        <f t="shared" si="6"/>
        <v>9.1999999999999993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185</v>
      </c>
      <c r="C172" s="60">
        <v>5</v>
      </c>
      <c r="D172" s="60" t="s">
        <v>64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8.8000000000000007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198</v>
      </c>
      <c r="C173" s="50">
        <v>6</v>
      </c>
      <c r="D173" s="50" t="s">
        <v>63</v>
      </c>
      <c r="E173" s="51">
        <v>0.4</v>
      </c>
      <c r="F173" s="51">
        <v>0.4</v>
      </c>
      <c r="G173" s="51">
        <v>0</v>
      </c>
      <c r="H173" s="51">
        <v>0.2</v>
      </c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209</v>
      </c>
      <c r="C174" s="50">
        <v>7</v>
      </c>
      <c r="D174" s="50" t="s">
        <v>65</v>
      </c>
      <c r="E174" s="51">
        <v>0.4</v>
      </c>
      <c r="F174" s="51">
        <v>0.4</v>
      </c>
      <c r="G174" s="51">
        <v>0</v>
      </c>
      <c r="H174" s="51">
        <v>0.2</v>
      </c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218</v>
      </c>
      <c r="C175" s="50">
        <v>8</v>
      </c>
      <c r="D175" s="50" t="s">
        <v>66</v>
      </c>
      <c r="E175" s="51">
        <v>0.4</v>
      </c>
      <c r="F175" s="51">
        <v>0.4</v>
      </c>
      <c r="G175" s="51">
        <v>0</v>
      </c>
      <c r="H175" s="51">
        <v>0.2</v>
      </c>
      <c r="I175" s="49">
        <f t="shared" si="6"/>
        <v>6.6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225</v>
      </c>
      <c r="C176" s="50">
        <v>9</v>
      </c>
      <c r="D176" s="50" t="s">
        <v>67</v>
      </c>
      <c r="E176" s="51">
        <v>0.5</v>
      </c>
      <c r="F176" s="51">
        <v>0.4</v>
      </c>
      <c r="G176" s="51">
        <v>0</v>
      </c>
      <c r="H176" s="51">
        <v>0.1</v>
      </c>
      <c r="I176" s="49">
        <f t="shared" si="6"/>
        <v>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232</v>
      </c>
      <c r="C177" s="50">
        <v>10</v>
      </c>
      <c r="D177" s="50" t="s">
        <v>68</v>
      </c>
      <c r="E177" s="51">
        <v>0.5</v>
      </c>
      <c r="F177" s="51">
        <v>0.4</v>
      </c>
      <c r="G177" s="51">
        <v>0</v>
      </c>
      <c r="H177" s="51">
        <v>0.1</v>
      </c>
      <c r="I177" s="49">
        <f t="shared" si="6"/>
        <v>5.6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237</v>
      </c>
      <c r="C178" s="50">
        <v>11</v>
      </c>
      <c r="D178" s="50" t="s">
        <v>69</v>
      </c>
      <c r="E178" s="51">
        <v>0.5</v>
      </c>
      <c r="F178" s="51">
        <v>0.4</v>
      </c>
      <c r="G178" s="51">
        <v>0</v>
      </c>
      <c r="H178" s="51">
        <v>0.1</v>
      </c>
      <c r="I178" s="49">
        <f t="shared" si="6"/>
        <v>5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241</v>
      </c>
      <c r="C179" s="50">
        <v>12</v>
      </c>
      <c r="D179" s="50" t="s">
        <v>70</v>
      </c>
      <c r="E179" s="51">
        <v>0.6</v>
      </c>
      <c r="F179" s="51">
        <v>0.3</v>
      </c>
      <c r="G179" s="51">
        <v>0</v>
      </c>
      <c r="H179" s="51">
        <v>0.1</v>
      </c>
      <c r="I179" s="49">
        <f t="shared" si="6"/>
        <v>4.4000000000000004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245</v>
      </c>
      <c r="C180" s="50">
        <v>13</v>
      </c>
      <c r="D180" s="50" t="s">
        <v>71</v>
      </c>
      <c r="E180" s="51">
        <v>0.6</v>
      </c>
      <c r="F180" s="51">
        <v>0.3</v>
      </c>
      <c r="G180" s="51">
        <v>0</v>
      </c>
      <c r="H180" s="51">
        <v>0.1</v>
      </c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248</v>
      </c>
      <c r="C181" s="50">
        <v>14</v>
      </c>
      <c r="D181" s="50" t="s">
        <v>72</v>
      </c>
      <c r="E181" s="51">
        <v>0.6</v>
      </c>
      <c r="F181" s="51">
        <v>0.3</v>
      </c>
      <c r="G181" s="51">
        <v>0</v>
      </c>
      <c r="H181" s="51">
        <v>0.1</v>
      </c>
      <c r="I181" s="49">
        <f t="shared" si="6"/>
        <v>3.6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249</v>
      </c>
      <c r="C182" s="50">
        <v>15</v>
      </c>
      <c r="D182" s="50" t="s">
        <v>73</v>
      </c>
      <c r="E182" s="51">
        <v>0.6</v>
      </c>
      <c r="F182" s="51">
        <v>0.3</v>
      </c>
      <c r="G182" s="51">
        <v>0</v>
      </c>
      <c r="H182" s="51">
        <v>0.1</v>
      </c>
      <c r="I182" s="49">
        <f t="shared" si="6"/>
        <v>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95</v>
      </c>
      <c r="B183" s="50">
        <v>252</v>
      </c>
      <c r="C183" s="50">
        <v>16</v>
      </c>
      <c r="D183" s="50" t="s">
        <v>73</v>
      </c>
      <c r="E183" s="51">
        <v>0.7</v>
      </c>
      <c r="F183" s="51">
        <v>0.2</v>
      </c>
      <c r="G183" s="51">
        <v>0</v>
      </c>
      <c r="H183" s="51">
        <v>0.1</v>
      </c>
      <c r="I183" s="49">
        <f t="shared" si="6"/>
        <v>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100</v>
      </c>
      <c r="B184" s="50">
        <v>255</v>
      </c>
      <c r="C184" s="50">
        <v>17</v>
      </c>
      <c r="D184" s="50" t="s">
        <v>73</v>
      </c>
      <c r="E184" s="51">
        <v>0.7</v>
      </c>
      <c r="F184" s="51">
        <v>0.2</v>
      </c>
      <c r="G184" s="51">
        <v>0</v>
      </c>
      <c r="H184" s="51">
        <v>0.1</v>
      </c>
      <c r="I184" s="49">
        <f t="shared" si="6"/>
        <v>3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28</v>
      </c>
      <c r="B188" s="52" t="str">
        <f>IF(B15="","",B15)</f>
        <v>Aulne glutineux</v>
      </c>
      <c r="D188" s="229" t="s">
        <v>47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48</v>
      </c>
      <c r="C190" s="258" t="s">
        <v>49</v>
      </c>
      <c r="D190" s="258"/>
      <c r="E190" s="259" t="s">
        <v>50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51</v>
      </c>
      <c r="B191" s="36" t="s">
        <v>52</v>
      </c>
      <c r="C191" s="48" t="s">
        <v>53</v>
      </c>
      <c r="D191" s="48" t="s">
        <v>54</v>
      </c>
      <c r="E191" s="36" t="s">
        <v>55</v>
      </c>
      <c r="F191" s="36" t="s">
        <v>56</v>
      </c>
      <c r="G191" s="36" t="s">
        <v>57</v>
      </c>
      <c r="H191" s="36" t="s">
        <v>58</v>
      </c>
      <c r="I191" s="48" t="s">
        <v>59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>
        <v>1</v>
      </c>
      <c r="D192" s="60">
        <v>1</v>
      </c>
      <c r="E192" s="51">
        <v>0</v>
      </c>
      <c r="F192" s="51">
        <v>0.1</v>
      </c>
      <c r="G192" s="51">
        <v>0.3</v>
      </c>
      <c r="H192" s="51">
        <v>0.6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44</v>
      </c>
      <c r="C193" s="60">
        <v>2</v>
      </c>
      <c r="D193" s="60">
        <v>4</v>
      </c>
      <c r="E193" s="51">
        <v>0</v>
      </c>
      <c r="F193" s="51">
        <v>0.1</v>
      </c>
      <c r="G193" s="51">
        <v>0.3</v>
      </c>
      <c r="H193" s="51">
        <v>0.6</v>
      </c>
      <c r="I193" s="49">
        <f t="shared" ref="I193:I211" si="7">IF(A193&lt;&gt;0,(B193-(B192-D192))/(A193-A192),"")</f>
        <v>6.8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100</v>
      </c>
      <c r="C194" s="60">
        <v>3</v>
      </c>
      <c r="D194" s="60">
        <v>10</v>
      </c>
      <c r="E194" s="51">
        <v>0</v>
      </c>
      <c r="F194" s="51">
        <v>0.1</v>
      </c>
      <c r="G194" s="51">
        <v>0.3</v>
      </c>
      <c r="H194" s="51">
        <v>0.6</v>
      </c>
      <c r="I194" s="49">
        <f t="shared" si="7"/>
        <v>12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138</v>
      </c>
      <c r="C195" s="60">
        <v>4</v>
      </c>
      <c r="D195" s="60">
        <v>21</v>
      </c>
      <c r="E195" s="51">
        <v>0</v>
      </c>
      <c r="F195" s="51">
        <v>0.1</v>
      </c>
      <c r="G195" s="51">
        <v>0.3</v>
      </c>
      <c r="H195" s="51">
        <v>0.6</v>
      </c>
      <c r="I195" s="49">
        <f t="shared" si="7"/>
        <v>9.6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161</v>
      </c>
      <c r="C196" s="60">
        <v>5</v>
      </c>
      <c r="D196" s="60">
        <v>23</v>
      </c>
      <c r="E196" s="51">
        <v>0</v>
      </c>
      <c r="F196" s="51">
        <v>0.1</v>
      </c>
      <c r="G196" s="51">
        <v>0.3</v>
      </c>
      <c r="H196" s="51">
        <v>0.6</v>
      </c>
      <c r="I196" s="49">
        <f t="shared" si="7"/>
        <v>8.8000000000000007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181</v>
      </c>
      <c r="C197" s="60">
        <v>6</v>
      </c>
      <c r="D197" s="60">
        <v>25</v>
      </c>
      <c r="E197" s="51">
        <v>0</v>
      </c>
      <c r="F197" s="51">
        <v>0.1</v>
      </c>
      <c r="G197" s="51">
        <v>0.3</v>
      </c>
      <c r="H197" s="51">
        <v>0.6</v>
      </c>
      <c r="I197" s="49">
        <f t="shared" si="7"/>
        <v>8.6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195</v>
      </c>
      <c r="C198" s="60">
        <v>7</v>
      </c>
      <c r="D198" s="60">
        <v>25</v>
      </c>
      <c r="E198" s="51">
        <v>0</v>
      </c>
      <c r="F198" s="51">
        <v>0.1</v>
      </c>
      <c r="G198" s="51">
        <v>0.3</v>
      </c>
      <c r="H198" s="51">
        <v>0.6</v>
      </c>
      <c r="I198" s="49">
        <f t="shared" si="7"/>
        <v>7.8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207</v>
      </c>
      <c r="C199" s="50">
        <v>8</v>
      </c>
      <c r="D199" s="50">
        <v>25</v>
      </c>
      <c r="E199" s="51">
        <v>0</v>
      </c>
      <c r="F199" s="51">
        <v>0.3</v>
      </c>
      <c r="G199" s="51">
        <v>0.3</v>
      </c>
      <c r="H199" s="51">
        <v>0.4</v>
      </c>
      <c r="I199" s="49">
        <f t="shared" si="7"/>
        <v>7.4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215</v>
      </c>
      <c r="C200" s="50">
        <v>9</v>
      </c>
      <c r="D200" s="50">
        <v>24</v>
      </c>
      <c r="E200" s="51">
        <v>0</v>
      </c>
      <c r="F200" s="51">
        <v>0.3</v>
      </c>
      <c r="G200" s="51">
        <v>0.3</v>
      </c>
      <c r="H200" s="51">
        <v>0.4</v>
      </c>
      <c r="I200" s="49">
        <f t="shared" si="7"/>
        <v>6.6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223</v>
      </c>
      <c r="C201" s="50">
        <v>10</v>
      </c>
      <c r="D201" s="50">
        <v>23</v>
      </c>
      <c r="E201" s="51">
        <v>0</v>
      </c>
      <c r="F201" s="51">
        <v>0.3</v>
      </c>
      <c r="G201" s="51">
        <v>0.3</v>
      </c>
      <c r="H201" s="51">
        <v>0.4</v>
      </c>
      <c r="I201" s="49">
        <f t="shared" si="7"/>
        <v>6.4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229</v>
      </c>
      <c r="C202" s="50">
        <v>11</v>
      </c>
      <c r="D202" s="50">
        <v>22</v>
      </c>
      <c r="E202" s="51">
        <v>0</v>
      </c>
      <c r="F202" s="51">
        <v>0.3</v>
      </c>
      <c r="G202" s="51">
        <v>0.3</v>
      </c>
      <c r="H202" s="51">
        <v>0.4</v>
      </c>
      <c r="I202" s="49">
        <f t="shared" si="7"/>
        <v>5.8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233</v>
      </c>
      <c r="C203" s="50">
        <v>12</v>
      </c>
      <c r="D203" s="50">
        <v>20</v>
      </c>
      <c r="E203" s="51">
        <v>0.1</v>
      </c>
      <c r="F203" s="51">
        <v>0.4</v>
      </c>
      <c r="G203" s="51">
        <v>0.3</v>
      </c>
      <c r="H203" s="51">
        <v>0.2</v>
      </c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237</v>
      </c>
      <c r="C204" s="50">
        <v>13</v>
      </c>
      <c r="D204" s="50">
        <v>19</v>
      </c>
      <c r="E204" s="51">
        <v>0.1</v>
      </c>
      <c r="F204" s="51">
        <v>0.4</v>
      </c>
      <c r="G204" s="51">
        <v>0.3</v>
      </c>
      <c r="H204" s="51">
        <v>0.2</v>
      </c>
      <c r="I204" s="49">
        <f t="shared" si="7"/>
        <v>4.8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241</v>
      </c>
      <c r="C205" s="50">
        <v>14</v>
      </c>
      <c r="D205" s="50">
        <v>18</v>
      </c>
      <c r="E205" s="51">
        <v>0.1</v>
      </c>
      <c r="F205" s="51">
        <v>0.4</v>
      </c>
      <c r="G205" s="51">
        <v>0.3</v>
      </c>
      <c r="H205" s="51">
        <v>0.2</v>
      </c>
      <c r="I205" s="49">
        <f t="shared" si="7"/>
        <v>4.5999999999999996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244</v>
      </c>
      <c r="C206" s="50">
        <v>15</v>
      </c>
      <c r="D206" s="50">
        <v>16</v>
      </c>
      <c r="E206" s="51">
        <v>0.2</v>
      </c>
      <c r="F206" s="51">
        <v>0.5</v>
      </c>
      <c r="G206" s="51">
        <v>0.2</v>
      </c>
      <c r="H206" s="51">
        <v>0.1</v>
      </c>
      <c r="I206" s="49">
        <f t="shared" si="7"/>
        <v>4.2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85</v>
      </c>
      <c r="B207" s="50">
        <v>247</v>
      </c>
      <c r="C207" s="50">
        <v>16</v>
      </c>
      <c r="D207" s="50">
        <v>15</v>
      </c>
      <c r="E207" s="51">
        <v>0.2</v>
      </c>
      <c r="F207" s="51">
        <v>0.5</v>
      </c>
      <c r="G207" s="51">
        <v>0.2</v>
      </c>
      <c r="H207" s="51">
        <v>0.1</v>
      </c>
      <c r="I207" s="49">
        <f t="shared" si="7"/>
        <v>3.8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90</v>
      </c>
      <c r="B208" s="50">
        <v>250</v>
      </c>
      <c r="C208" s="50">
        <v>17</v>
      </c>
      <c r="D208" s="50">
        <v>14</v>
      </c>
      <c r="E208" s="51">
        <v>0.2</v>
      </c>
      <c r="F208" s="51">
        <v>0.5</v>
      </c>
      <c r="G208" s="51">
        <v>0.2</v>
      </c>
      <c r="H208" s="51">
        <v>0.1</v>
      </c>
      <c r="I208" s="49">
        <f t="shared" si="7"/>
        <v>3.6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30</v>
      </c>
      <c r="B214" s="52" t="str">
        <f>IF(B16="","",B16)</f>
        <v/>
      </c>
      <c r="D214" s="229" t="s">
        <v>47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48</v>
      </c>
      <c r="C216" s="258" t="s">
        <v>49</v>
      </c>
      <c r="D216" s="258"/>
      <c r="E216" s="259" t="s">
        <v>50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51</v>
      </c>
      <c r="B217" s="36" t="s">
        <v>52</v>
      </c>
      <c r="C217" s="48" t="s">
        <v>53</v>
      </c>
      <c r="D217" s="48" t="s">
        <v>54</v>
      </c>
      <c r="E217" s="36" t="s">
        <v>55</v>
      </c>
      <c r="F217" s="36" t="s">
        <v>56</v>
      </c>
      <c r="G217" s="36" t="s">
        <v>57</v>
      </c>
      <c r="H217" s="36" t="s">
        <v>58</v>
      </c>
      <c r="I217" s="48" t="s">
        <v>59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31</v>
      </c>
      <c r="B240" s="52" t="str">
        <f>IF(B17="","",B17)</f>
        <v/>
      </c>
      <c r="D240" s="229" t="s">
        <v>47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48</v>
      </c>
      <c r="C242" s="258" t="s">
        <v>49</v>
      </c>
      <c r="D242" s="258"/>
      <c r="E242" s="259" t="s">
        <v>50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51</v>
      </c>
      <c r="B243" s="36" t="s">
        <v>52</v>
      </c>
      <c r="C243" s="48" t="s">
        <v>53</v>
      </c>
      <c r="D243" s="48" t="s">
        <v>54</v>
      </c>
      <c r="E243" s="36" t="s">
        <v>55</v>
      </c>
      <c r="F243" s="36" t="s">
        <v>56</v>
      </c>
      <c r="G243" s="36" t="s">
        <v>57</v>
      </c>
      <c r="H243" s="36" t="s">
        <v>58</v>
      </c>
      <c r="I243" s="48" t="s">
        <v>59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32</v>
      </c>
      <c r="B266" s="52" t="str">
        <f>IF(B18="","",B18)</f>
        <v/>
      </c>
      <c r="D266" s="229" t="s">
        <v>47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48</v>
      </c>
      <c r="C268" s="258" t="s">
        <v>49</v>
      </c>
      <c r="D268" s="258"/>
      <c r="E268" s="259" t="s">
        <v>50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51</v>
      </c>
      <c r="B269" s="36" t="s">
        <v>52</v>
      </c>
      <c r="C269" s="48" t="s">
        <v>53</v>
      </c>
      <c r="D269" s="48" t="s">
        <v>54</v>
      </c>
      <c r="E269" s="36" t="s">
        <v>55</v>
      </c>
      <c r="F269" s="36" t="s">
        <v>56</v>
      </c>
      <c r="G269" s="36" t="s">
        <v>57</v>
      </c>
      <c r="H269" s="36" t="s">
        <v>58</v>
      </c>
      <c r="I269" s="48" t="s">
        <v>59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G1" zoomScale="90" zoomScaleNormal="90" workbookViewId="0">
      <selection activeCell="L7" sqref="L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4" t="s">
        <v>293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294</v>
      </c>
      <c r="B5" s="139" t="s">
        <v>295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296</v>
      </c>
      <c r="F5" s="140" t="s">
        <v>297</v>
      </c>
      <c r="G5" s="140" t="s">
        <v>298</v>
      </c>
      <c r="H5" s="141" t="s">
        <v>299</v>
      </c>
      <c r="I5" s="142" t="s">
        <v>300</v>
      </c>
      <c r="J5" s="143" t="s">
        <v>301</v>
      </c>
      <c r="K5" s="144" t="s">
        <v>302</v>
      </c>
      <c r="L5" s="84" t="s">
        <v>303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5.1947999999999999</v>
      </c>
      <c r="C6" s="147">
        <f ca="1">IF(OR('Données projet'!B9="",'Données projet'!C9="",'Données projet'!C9=0%),0,Calculateur!S3)</f>
        <v>205.73717397588365</v>
      </c>
      <c r="D6" s="147">
        <f>IF(OR('Données projet'!B9="",'Données projet'!C9="",'Données projet'!C9=0%),0,Calculateur!T3)</f>
        <v>190.64998698136026</v>
      </c>
      <c r="E6" s="147">
        <f ca="1">MIN(C6,D6)</f>
        <v>190.64998698136026</v>
      </c>
      <c r="F6" s="147">
        <f ca="1">E6*B6</f>
        <v>990.38855237077019</v>
      </c>
      <c r="G6" s="147">
        <f ca="1">F6*(100%-'Données projet'!$C$24)*(100%-'Données projet'!$C$25)*(100%-'Données projet'!$C$26)*(100%-'Données projet'!$C$27)</f>
        <v>846.78221227700851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846.78221227700851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3.9</v>
      </c>
      <c r="C7" s="147">
        <f ca="1">IF(OR('Données projet'!B10="",'Données projet'!C10="",'Données projet'!C10=0%),0,Calculateur!AN3)</f>
        <v>283.73369613548124</v>
      </c>
      <c r="D7" s="147">
        <f>IF(OR('Données projet'!B10="",'Données projet'!C10="",'Données projet'!C10=0%),0,Calculateur!AO3)</f>
        <v>249.77804091581208</v>
      </c>
      <c r="E7" s="147">
        <f t="shared" ref="E7:E15" ca="1" si="0">MIN(C7,D7)</f>
        <v>249.77804091581208</v>
      </c>
      <c r="F7" s="147">
        <f t="shared" ref="F7:F15" ca="1" si="1">E7*B7</f>
        <v>974.13435957166712</v>
      </c>
      <c r="G7" s="147">
        <f ca="1">F7*(100%-'Données projet'!$C$24)*(100%-'Données projet'!$C$25)*(100%-'Données projet'!$C$26)*(100%-'Données projet'!$C$27)</f>
        <v>832.88487743377539</v>
      </c>
      <c r="H7" s="155">
        <f>IF(OR('Données projet'!B10="",'Données projet'!C10="",'Données projet'!C10=0%),0,AVERAGE(Calculateur!$AX$3:$AX$33)*B7)</f>
        <v>32.494002018134495</v>
      </c>
      <c r="I7" s="149">
        <f>H7*(100%-'Données projet'!$C$24)*(100%-'Données projet'!$C$25)*(100%-'Données projet'!$C$26)*(100%-'Données projet'!$C$27)</f>
        <v>27.782371725504994</v>
      </c>
      <c r="J7" s="150">
        <f>IF(OR('Données projet'!B10="",'Données projet'!C10="",'Données projet'!C10=0%),0,SUM(Calculateur!$AQ$3:$AQ$33)*VLOOKUP('Données projet'!$B$10,Paramètres!$A$1:$I$89,9,0)*B7)</f>
        <v>239.51429999999996</v>
      </c>
      <c r="K7" s="151">
        <f>J7*(100%-'Données projet'!$C$24)*(100%-'Données projet'!$C$25)*(100%-'Données projet'!$C$26)*(100%-'Données projet'!$C$27)</f>
        <v>204.78472649999998</v>
      </c>
      <c r="L7" s="152">
        <f t="shared" ref="L7:L15" ca="1" si="2">G7+I7+K7</f>
        <v>1065.4519756592804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Douglas</v>
      </c>
      <c r="B8" s="154">
        <f>'Données projet'!D11</f>
        <v>1.1999</v>
      </c>
      <c r="C8" s="147">
        <f ca="1">IF(OR('Données projet'!B11="",'Données projet'!C11="",'Données projet'!C11=0%),0,Calculateur!BI3)</f>
        <v>278.5296012747549</v>
      </c>
      <c r="D8" s="147">
        <f>IF(OR('Données projet'!B11="",'Données projet'!C11="",'Données projet'!C11=0%),0,Calculateur!BJ3)</f>
        <v>370.55343097937077</v>
      </c>
      <c r="E8" s="147">
        <f t="shared" ca="1" si="0"/>
        <v>278.5296012747549</v>
      </c>
      <c r="F8" s="147">
        <f t="shared" ca="1" si="1"/>
        <v>334.2076685695784</v>
      </c>
      <c r="G8" s="147">
        <f ca="1">F8*(100%-'Données projet'!$C$24)*(100%-'Données projet'!$C$25)*(100%-'Données projet'!$C$26)*(100%-'Données projet'!$C$27)</f>
        <v>285.74755662698954</v>
      </c>
      <c r="H8" s="155">
        <f>IF(OR('Données projet'!B11="",'Données projet'!C11="",'Données projet'!C11=0%),0,AVERAGE(Calculateur!$BS$3:$BS$33)*B8)</f>
        <v>14.653655378147239</v>
      </c>
      <c r="I8" s="149">
        <f>H8*(100%-'Données projet'!$C$24)*(100%-'Données projet'!$C$25)*(100%-'Données projet'!$C$26)*(100%-'Données projet'!$C$27)</f>
        <v>12.528875348315889</v>
      </c>
      <c r="J8" s="150">
        <f>IF(OR('Données projet'!B11="",'Données projet'!C11="",'Données projet'!C11=0%),0,SUM(Calculateur!$BL$3:$BL$33)*VLOOKUP('Données projet'!$B$11,Paramètres!$A$1:$I$89,9,0)*B8)</f>
        <v>91.641900999999976</v>
      </c>
      <c r="K8" s="151">
        <f>J8*(100%-'Données projet'!$C$24)*(100%-'Données projet'!$C$25)*(100%-'Données projet'!$C$26)*(100%-'Données projet'!$C$27)</f>
        <v>78.353825354999969</v>
      </c>
      <c r="L8" s="152">
        <f t="shared" ca="1" si="2"/>
        <v>376.63025733030537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Mélèze hybride</v>
      </c>
      <c r="B9" s="154">
        <f>'Données projet'!D12</f>
        <v>1.1999</v>
      </c>
      <c r="C9" s="147">
        <f ca="1">IF(OR('Données projet'!B12="",'Données projet'!C12="",'Données projet'!C12=0%),0,Calculateur!CD3)</f>
        <v>159.92263609041913</v>
      </c>
      <c r="D9" s="147">
        <f>IF(OR('Données projet'!B12="",'Données projet'!C12="",'Données projet'!C12=0%),0,Calculateur!CE3)</f>
        <v>271.78119133009307</v>
      </c>
      <c r="E9" s="147">
        <f t="shared" ca="1" si="0"/>
        <v>159.92263609041913</v>
      </c>
      <c r="F9" s="147">
        <f t="shared" ca="1" si="1"/>
        <v>191.89117104489392</v>
      </c>
      <c r="G9" s="147">
        <f ca="1">F9*(100%-'Données projet'!$C$24)*(100%-'Données projet'!$C$25)*(100%-'Données projet'!$C$26)*(100%-'Données projet'!$C$27)</f>
        <v>164.0669512433843</v>
      </c>
      <c r="H9" s="155">
        <f>IF(OR('Données projet'!B12="",'Données projet'!C12="",'Données projet'!C12=0%),0,AVERAGE(Calculateur!$CN$3:$CN$33)*B9)</f>
        <v>29.402753666356812</v>
      </c>
      <c r="I9" s="149">
        <f>H9*(100%-'Données projet'!$C$24)*(100%-'Données projet'!$C$25)*(100%-'Données projet'!$C$26)*(100%-'Données projet'!$C$27)</f>
        <v>25.139354384735071</v>
      </c>
      <c r="J9" s="150">
        <f>IF(OR('Données projet'!B12="",'Données projet'!C12="",'Données projet'!C12=0%),0,SUM(Calculateur!$CG$3:$CG$33)*VLOOKUP('Données projet'!$B$12,Paramètres!$A$1:$I$89,9,0)*B9)</f>
        <v>149.11157299999999</v>
      </c>
      <c r="K9" s="151">
        <f>J9*(100%-'Données projet'!$C$24)*(100%-'Données projet'!$C$25)*(100%-'Données projet'!$C$26)*(100%-'Données projet'!$C$27)</f>
        <v>127.490394915</v>
      </c>
      <c r="L9" s="152">
        <f t="shared" ca="1" si="2"/>
        <v>316.69670054311939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sessile</v>
      </c>
      <c r="B10" s="154">
        <f>'Données projet'!D13</f>
        <v>0.50049999999999994</v>
      </c>
      <c r="C10" s="147">
        <f ca="1">IF(OR('Données projet'!B13="",'Données projet'!C13="",'Données projet'!C13=0%),0,Calculateur!CY3)</f>
        <v>280.25710840677186</v>
      </c>
      <c r="D10" s="147">
        <f>IF(OR('Données projet'!B13="",'Données projet'!C13="",'Données projet'!C13=0%),0,Calculateur!CZ3)</f>
        <v>209.65224013288037</v>
      </c>
      <c r="E10" s="147">
        <f t="shared" ca="1" si="0"/>
        <v>209.65224013288037</v>
      </c>
      <c r="F10" s="147">
        <f t="shared" ca="1" si="1"/>
        <v>104.93094618650662</v>
      </c>
      <c r="G10" s="147">
        <f ca="1">F10*(100%-'Données projet'!$C$24)*(100%-'Données projet'!$C$25)*(100%-'Données projet'!$C$26)*(100%-'Données projet'!$C$27)</f>
        <v>89.715958989463161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89.715958989463161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chevelu</v>
      </c>
      <c r="B11" s="154">
        <f>'Données projet'!D14</f>
        <v>0.50049999999999994</v>
      </c>
      <c r="C11" s="147">
        <f ca="1">IF(OR('Données projet'!B14="",'Données projet'!C14="",'Données projet'!C14=0%),0,Calculateur!DT3)</f>
        <v>330.14201227773452</v>
      </c>
      <c r="D11" s="147">
        <f>IF(OR('Données projet'!B14="",'Données projet'!C14="",'Données projet'!C14=0%),0,Calculateur!DU3)</f>
        <v>307.07297894926467</v>
      </c>
      <c r="E11" s="147">
        <f t="shared" ca="1" si="0"/>
        <v>307.07297894926467</v>
      </c>
      <c r="F11" s="147">
        <f t="shared" ca="1" si="1"/>
        <v>153.69002596410695</v>
      </c>
      <c r="G11" s="147">
        <f ca="1">F11*(100%-'Données projet'!$C$24)*(100%-'Données projet'!$C$25)*(100%-'Données projet'!$C$26)*(100%-'Données projet'!$C$27)</f>
        <v>131.40497219931143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131.40497219931143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Aulne glutineux</v>
      </c>
      <c r="B12" s="154">
        <f>'Données projet'!D15</f>
        <v>0.50049999999999994</v>
      </c>
      <c r="C12" s="147">
        <f ca="1">IF(OR('Données projet'!B15="",'Données projet'!C15="",'Données projet'!C15=0%),0,Calculateur!EO3)</f>
        <v>183.30081488041924</v>
      </c>
      <c r="D12" s="147">
        <f>IF(OR('Données projet'!B15="",'Données projet'!C15="",'Données projet'!C15=0%),0,Calculateur!EP3)</f>
        <v>199.33099759570928</v>
      </c>
      <c r="E12" s="147">
        <f t="shared" ca="1" si="0"/>
        <v>183.30081488041924</v>
      </c>
      <c r="F12" s="147">
        <f t="shared" ca="1" si="1"/>
        <v>91.742057847649818</v>
      </c>
      <c r="G12" s="147">
        <f ca="1">F12*(100%-'Données projet'!$C$24)*(100%-'Données projet'!$C$25)*(100%-'Données projet'!$C$26)*(100%-'Données projet'!$C$27)</f>
        <v>78.43945945974059</v>
      </c>
      <c r="H12" s="155">
        <f>IF(OR('Données projet'!B15="",'Données projet'!C15="",'Données projet'!C15=0%),0,AVERAGE(Calculateur!$EY$3:$EY$33)*B12)</f>
        <v>0.56058834597569429</v>
      </c>
      <c r="I12" s="149">
        <f>H12*(100%-'Données projet'!$C$24)*(100%-'Données projet'!$C$25)*(100%-'Données projet'!$C$26)*(100%-'Données projet'!$C$27)</f>
        <v>0.47930303580921857</v>
      </c>
      <c r="J12" s="150">
        <f>IF(OR('Données projet'!B15="",'Données projet'!C15="",'Données projet'!C15=0%),0,SUM(Calculateur!$ER$3:$ER$33)*VLOOKUP('Données projet'!$B$15,Paramètres!$A$1:$I$89,9,0)*B12)</f>
        <v>7.3823749999999988</v>
      </c>
      <c r="K12" s="151">
        <f>J12*(100%-'Données projet'!$C$24)*(100%-'Données projet'!$C$25)*(100%-'Données projet'!$C$26)*(100%-'Données projet'!$C$27)</f>
        <v>6.3119306249999987</v>
      </c>
      <c r="L12" s="152">
        <f t="shared" ca="1" si="2"/>
        <v>85.230693120549816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2840.9847815551734</v>
      </c>
      <c r="G16" s="166">
        <f t="shared" ca="1" si="3"/>
        <v>2429.0419882296728</v>
      </c>
      <c r="H16" s="167">
        <f t="shared" si="3"/>
        <v>77.110999408614234</v>
      </c>
      <c r="I16" s="167">
        <f t="shared" si="3"/>
        <v>65.929904494365175</v>
      </c>
      <c r="J16" s="168">
        <f t="shared" si="3"/>
        <v>487.65014899999994</v>
      </c>
      <c r="K16" s="168">
        <f t="shared" si="3"/>
        <v>416.94087739499997</v>
      </c>
      <c r="L16" s="169">
        <f t="shared" ca="1" si="3"/>
        <v>2911.9127701190382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71" t="s">
        <v>304</v>
      </c>
      <c r="G17" s="272"/>
      <c r="H17" s="272"/>
      <c r="I17" s="272"/>
      <c r="J17" s="272"/>
      <c r="K17" s="272"/>
      <c r="L17" s="27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chevelu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Aulne glutineux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6" sqref="G16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4" t="s">
        <v>74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75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76</v>
      </c>
      <c r="C7" s="100" t="s">
        <v>77</v>
      </c>
      <c r="D7" s="215"/>
      <c r="E7" s="101"/>
      <c r="F7" s="26" t="s">
        <v>76</v>
      </c>
      <c r="G7" s="100" t="s">
        <v>78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79</v>
      </c>
      <c r="D8" s="23"/>
      <c r="E8" s="105">
        <v>4</v>
      </c>
      <c r="F8" s="61">
        <v>1</v>
      </c>
      <c r="G8" s="102" t="s">
        <v>80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81</v>
      </c>
      <c r="D9" s="23"/>
      <c r="E9" s="105">
        <v>5</v>
      </c>
      <c r="F9" s="61">
        <v>0</v>
      </c>
      <c r="G9" s="103" t="s">
        <v>82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83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84</v>
      </c>
      <c r="D13" s="216"/>
      <c r="E13" s="99"/>
      <c r="F13" s="107"/>
      <c r="G13" s="98" t="s">
        <v>85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86</v>
      </c>
      <c r="D14" s="216"/>
      <c r="E14" s="99"/>
      <c r="F14" s="107"/>
      <c r="G14" s="98" t="s">
        <v>87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76</v>
      </c>
      <c r="C15" s="4"/>
      <c r="D15" s="23"/>
      <c r="E15" s="4"/>
      <c r="F15" s="4"/>
      <c r="G15" s="2" t="s">
        <v>88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89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90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91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5546875" style="4" customWidth="1"/>
    <col min="6" max="7" width="11.44140625" style="4"/>
    <col min="8" max="8" width="10.777343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77734375" style="4" bestFit="1" customWidth="1"/>
    <col min="25" max="25" width="14.5546875" style="4" bestFit="1" customWidth="1"/>
    <col min="26" max="26" width="12.44140625" style="4" bestFit="1" customWidth="1"/>
    <col min="27" max="27" width="9.777343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21875" style="4" bestFit="1" customWidth="1"/>
    <col min="45" max="45" width="11.77734375" style="4" bestFit="1" customWidth="1"/>
    <col min="46" max="46" width="8.44140625" style="4" bestFit="1" customWidth="1"/>
    <col min="47" max="47" width="9.44140625" style="4" bestFit="1" customWidth="1"/>
    <col min="48" max="48" width="9.777343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2187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21875" style="4" bestFit="1" customWidth="1"/>
    <col min="66" max="66" width="11.77734375" style="4" bestFit="1" customWidth="1"/>
    <col min="67" max="67" width="8.44140625" style="4" bestFit="1" customWidth="1"/>
    <col min="68" max="68" width="9.44140625" style="4" bestFit="1" customWidth="1"/>
    <col min="69" max="69" width="9.777343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777343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21875" style="4" bestFit="1" customWidth="1"/>
    <col min="87" max="87" width="11.77734375" style="4" bestFit="1" customWidth="1"/>
    <col min="88" max="88" width="8.44140625" style="4" bestFit="1" customWidth="1"/>
    <col min="89" max="89" width="9.44140625" style="4" bestFit="1" customWidth="1"/>
    <col min="90" max="90" width="9.777343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21875" style="4" bestFit="1" customWidth="1"/>
    <col min="108" max="108" width="11.77734375" style="4" bestFit="1" customWidth="1"/>
    <col min="109" max="109" width="8.44140625" style="4" bestFit="1" customWidth="1"/>
    <col min="110" max="110" width="9.44140625" style="4" bestFit="1" customWidth="1"/>
    <col min="111" max="111" width="9.777343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2187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21875" style="4" bestFit="1" customWidth="1"/>
    <col min="129" max="129" width="11.77734375" style="4" bestFit="1" customWidth="1"/>
    <col min="130" max="130" width="8.44140625" style="4" bestFit="1" customWidth="1"/>
    <col min="131" max="131" width="9.44140625" style="4" bestFit="1" customWidth="1"/>
    <col min="132" max="132" width="9.777343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21875" style="4" bestFit="1" customWidth="1"/>
    <col min="150" max="150" width="11.77734375" style="4" bestFit="1" customWidth="1"/>
    <col min="151" max="151" width="8.44140625" style="4" bestFit="1" customWidth="1"/>
    <col min="152" max="152" width="9.44140625" style="4" bestFit="1" customWidth="1"/>
    <col min="153" max="153" width="9.777343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21875" style="4" bestFit="1" customWidth="1"/>
    <col min="171" max="171" width="11.77734375" style="4" bestFit="1" customWidth="1"/>
    <col min="172" max="172" width="8.21875" style="4" bestFit="1" customWidth="1"/>
    <col min="173" max="173" width="9.44140625" style="4" bestFit="1" customWidth="1"/>
    <col min="174" max="174" width="9.777343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2187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777343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2187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21875" style="4" bestFit="1" customWidth="1"/>
    <col min="213" max="213" width="11.77734375" style="4" bestFit="1" customWidth="1"/>
    <col min="214" max="214" width="8.44140625" style="4" bestFit="1" customWidth="1"/>
    <col min="215" max="215" width="9.44140625" style="4" bestFit="1" customWidth="1"/>
    <col min="216" max="216" width="9.777343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0" t="s">
        <v>92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Cèdre de l'Atlas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Pin laricio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Douglas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Mélèze hybride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Chêne sessile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Chêne chevelu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Aulne glutineux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2" thickBot="1" x14ac:dyDescent="0.35">
      <c r="A2" s="71" t="s">
        <v>93</v>
      </c>
      <c r="B2" s="72" t="s">
        <v>94</v>
      </c>
      <c r="C2" s="5" t="s">
        <v>95</v>
      </c>
      <c r="D2" s="5" t="s">
        <v>96</v>
      </c>
      <c r="E2" s="5" t="s">
        <v>97</v>
      </c>
      <c r="F2" s="5" t="s">
        <v>98</v>
      </c>
      <c r="G2" s="5" t="s">
        <v>99</v>
      </c>
      <c r="H2" s="66" t="s">
        <v>100</v>
      </c>
      <c r="I2" s="68" t="s">
        <v>97</v>
      </c>
      <c r="J2" s="69" t="s">
        <v>98</v>
      </c>
      <c r="K2" s="6" t="s">
        <v>101</v>
      </c>
      <c r="L2" s="6" t="s">
        <v>102</v>
      </c>
      <c r="M2" s="6" t="s">
        <v>102</v>
      </c>
      <c r="N2" s="6" t="s">
        <v>103</v>
      </c>
      <c r="O2" s="6" t="s">
        <v>104</v>
      </c>
      <c r="P2" s="6" t="s">
        <v>105</v>
      </c>
      <c r="Q2" s="6" t="s">
        <v>99</v>
      </c>
      <c r="R2" s="6" t="s">
        <v>106</v>
      </c>
      <c r="S2" s="6" t="s">
        <v>107</v>
      </c>
      <c r="T2" s="6" t="s">
        <v>108</v>
      </c>
      <c r="U2" s="7" t="s">
        <v>109</v>
      </c>
      <c r="V2" s="8" t="s">
        <v>110</v>
      </c>
      <c r="W2" s="7" t="s">
        <v>55</v>
      </c>
      <c r="X2" s="7" t="s">
        <v>56</v>
      </c>
      <c r="Y2" s="7" t="s">
        <v>111</v>
      </c>
      <c r="Z2" s="8" t="s">
        <v>112</v>
      </c>
      <c r="AA2" s="8" t="s">
        <v>113</v>
      </c>
      <c r="AB2" s="8" t="s">
        <v>114</v>
      </c>
      <c r="AC2" s="9" t="s">
        <v>115</v>
      </c>
      <c r="AD2" s="69" t="s">
        <v>97</v>
      </c>
      <c r="AE2" s="69" t="s">
        <v>98</v>
      </c>
      <c r="AF2" s="6" t="s">
        <v>101</v>
      </c>
      <c r="AG2" s="6" t="s">
        <v>102</v>
      </c>
      <c r="AH2" s="6" t="s">
        <v>102</v>
      </c>
      <c r="AI2" s="6" t="s">
        <v>103</v>
      </c>
      <c r="AJ2" s="6" t="s">
        <v>104</v>
      </c>
      <c r="AK2" s="6" t="s">
        <v>105</v>
      </c>
      <c r="AL2" s="6" t="s">
        <v>99</v>
      </c>
      <c r="AM2" s="6" t="s">
        <v>106</v>
      </c>
      <c r="AN2" s="6" t="s">
        <v>107</v>
      </c>
      <c r="AO2" s="6" t="s">
        <v>108</v>
      </c>
      <c r="AP2" s="7" t="s">
        <v>109</v>
      </c>
      <c r="AQ2" s="8" t="s">
        <v>110</v>
      </c>
      <c r="AR2" s="7" t="s">
        <v>55</v>
      </c>
      <c r="AS2" s="7" t="s">
        <v>56</v>
      </c>
      <c r="AT2" s="8" t="s">
        <v>116</v>
      </c>
      <c r="AU2" s="8" t="s">
        <v>112</v>
      </c>
      <c r="AV2" s="8" t="s">
        <v>113</v>
      </c>
      <c r="AW2" s="8" t="s">
        <v>114</v>
      </c>
      <c r="AX2" s="8" t="s">
        <v>115</v>
      </c>
      <c r="AY2" s="68" t="s">
        <v>97</v>
      </c>
      <c r="AZ2" s="69" t="s">
        <v>98</v>
      </c>
      <c r="BA2" s="6" t="s">
        <v>101</v>
      </c>
      <c r="BB2" s="6" t="s">
        <v>102</v>
      </c>
      <c r="BC2" s="6" t="s">
        <v>102</v>
      </c>
      <c r="BD2" s="6" t="s">
        <v>103</v>
      </c>
      <c r="BE2" s="6" t="s">
        <v>104</v>
      </c>
      <c r="BF2" s="6" t="s">
        <v>105</v>
      </c>
      <c r="BG2" s="6" t="s">
        <v>99</v>
      </c>
      <c r="BH2" s="6" t="s">
        <v>106</v>
      </c>
      <c r="BI2" s="6" t="s">
        <v>107</v>
      </c>
      <c r="BJ2" s="6" t="s">
        <v>108</v>
      </c>
      <c r="BK2" s="7" t="s">
        <v>109</v>
      </c>
      <c r="BL2" s="8" t="s">
        <v>110</v>
      </c>
      <c r="BM2" s="7" t="s">
        <v>55</v>
      </c>
      <c r="BN2" s="7" t="s">
        <v>56</v>
      </c>
      <c r="BO2" s="8" t="s">
        <v>116</v>
      </c>
      <c r="BP2" s="8" t="s">
        <v>112</v>
      </c>
      <c r="BQ2" s="8" t="s">
        <v>113</v>
      </c>
      <c r="BR2" s="8" t="s">
        <v>114</v>
      </c>
      <c r="BS2" s="9" t="s">
        <v>115</v>
      </c>
      <c r="BT2" s="68" t="s">
        <v>97</v>
      </c>
      <c r="BU2" s="69" t="s">
        <v>98</v>
      </c>
      <c r="BV2" s="6" t="s">
        <v>101</v>
      </c>
      <c r="BW2" s="6" t="s">
        <v>102</v>
      </c>
      <c r="BX2" s="6" t="s">
        <v>102</v>
      </c>
      <c r="BY2" s="6" t="s">
        <v>103</v>
      </c>
      <c r="BZ2" s="6" t="s">
        <v>104</v>
      </c>
      <c r="CA2" s="6" t="s">
        <v>105</v>
      </c>
      <c r="CB2" s="6" t="s">
        <v>99</v>
      </c>
      <c r="CC2" s="6" t="s">
        <v>106</v>
      </c>
      <c r="CD2" s="6" t="s">
        <v>107</v>
      </c>
      <c r="CE2" s="6" t="s">
        <v>108</v>
      </c>
      <c r="CF2" s="7" t="s">
        <v>109</v>
      </c>
      <c r="CG2" s="8" t="s">
        <v>110</v>
      </c>
      <c r="CH2" s="7" t="s">
        <v>55</v>
      </c>
      <c r="CI2" s="7" t="s">
        <v>56</v>
      </c>
      <c r="CJ2" s="8" t="s">
        <v>116</v>
      </c>
      <c r="CK2" s="8" t="s">
        <v>112</v>
      </c>
      <c r="CL2" s="8" t="s">
        <v>113</v>
      </c>
      <c r="CM2" s="8" t="s">
        <v>114</v>
      </c>
      <c r="CN2" s="9" t="s">
        <v>115</v>
      </c>
      <c r="CO2" s="68" t="s">
        <v>97</v>
      </c>
      <c r="CP2" s="69" t="s">
        <v>98</v>
      </c>
      <c r="CQ2" s="6" t="s">
        <v>101</v>
      </c>
      <c r="CR2" s="6" t="s">
        <v>102</v>
      </c>
      <c r="CS2" s="6" t="s">
        <v>102</v>
      </c>
      <c r="CT2" s="6" t="s">
        <v>103</v>
      </c>
      <c r="CU2" s="6" t="s">
        <v>104</v>
      </c>
      <c r="CV2" s="6" t="s">
        <v>105</v>
      </c>
      <c r="CW2" s="6" t="s">
        <v>99</v>
      </c>
      <c r="CX2" s="6" t="s">
        <v>106</v>
      </c>
      <c r="CY2" s="6" t="s">
        <v>107</v>
      </c>
      <c r="CZ2" s="6" t="s">
        <v>108</v>
      </c>
      <c r="DA2" s="7" t="s">
        <v>109</v>
      </c>
      <c r="DB2" s="8" t="s">
        <v>110</v>
      </c>
      <c r="DC2" s="7" t="s">
        <v>55</v>
      </c>
      <c r="DD2" s="7" t="s">
        <v>56</v>
      </c>
      <c r="DE2" s="8" t="s">
        <v>116</v>
      </c>
      <c r="DF2" s="8" t="s">
        <v>112</v>
      </c>
      <c r="DG2" s="8" t="s">
        <v>113</v>
      </c>
      <c r="DH2" s="8" t="s">
        <v>114</v>
      </c>
      <c r="DI2" s="9" t="s">
        <v>115</v>
      </c>
      <c r="DJ2" s="68" t="s">
        <v>97</v>
      </c>
      <c r="DK2" s="69" t="s">
        <v>98</v>
      </c>
      <c r="DL2" s="6" t="s">
        <v>101</v>
      </c>
      <c r="DM2" s="6" t="s">
        <v>102</v>
      </c>
      <c r="DN2" s="6" t="s">
        <v>102</v>
      </c>
      <c r="DO2" s="6" t="s">
        <v>103</v>
      </c>
      <c r="DP2" s="6" t="s">
        <v>104</v>
      </c>
      <c r="DQ2" s="6" t="s">
        <v>105</v>
      </c>
      <c r="DR2" s="6" t="s">
        <v>99</v>
      </c>
      <c r="DS2" s="6" t="s">
        <v>106</v>
      </c>
      <c r="DT2" s="6" t="s">
        <v>107</v>
      </c>
      <c r="DU2" s="6" t="s">
        <v>108</v>
      </c>
      <c r="DV2" s="7" t="s">
        <v>109</v>
      </c>
      <c r="DW2" s="8" t="s">
        <v>110</v>
      </c>
      <c r="DX2" s="7" t="s">
        <v>55</v>
      </c>
      <c r="DY2" s="7" t="s">
        <v>56</v>
      </c>
      <c r="DZ2" s="8" t="s">
        <v>116</v>
      </c>
      <c r="EA2" s="8" t="s">
        <v>112</v>
      </c>
      <c r="EB2" s="8" t="s">
        <v>113</v>
      </c>
      <c r="EC2" s="8" t="s">
        <v>114</v>
      </c>
      <c r="ED2" s="9" t="s">
        <v>115</v>
      </c>
      <c r="EE2" s="68" t="s">
        <v>97</v>
      </c>
      <c r="EF2" s="69" t="s">
        <v>98</v>
      </c>
      <c r="EG2" s="6" t="s">
        <v>101</v>
      </c>
      <c r="EH2" s="6" t="s">
        <v>102</v>
      </c>
      <c r="EI2" s="6" t="s">
        <v>102</v>
      </c>
      <c r="EJ2" s="6" t="s">
        <v>103</v>
      </c>
      <c r="EK2" s="6" t="s">
        <v>104</v>
      </c>
      <c r="EL2" s="6" t="s">
        <v>105</v>
      </c>
      <c r="EM2" s="6" t="s">
        <v>99</v>
      </c>
      <c r="EN2" s="6" t="s">
        <v>106</v>
      </c>
      <c r="EO2" s="6" t="s">
        <v>107</v>
      </c>
      <c r="EP2" s="6" t="s">
        <v>108</v>
      </c>
      <c r="EQ2" s="7" t="s">
        <v>109</v>
      </c>
      <c r="ER2" s="8" t="s">
        <v>110</v>
      </c>
      <c r="ES2" s="7" t="s">
        <v>55</v>
      </c>
      <c r="ET2" s="7" t="s">
        <v>56</v>
      </c>
      <c r="EU2" s="8" t="s">
        <v>116</v>
      </c>
      <c r="EV2" s="8" t="s">
        <v>112</v>
      </c>
      <c r="EW2" s="8" t="s">
        <v>113</v>
      </c>
      <c r="EX2" s="8" t="s">
        <v>114</v>
      </c>
      <c r="EY2" s="9" t="s">
        <v>115</v>
      </c>
      <c r="EZ2" s="68" t="s">
        <v>97</v>
      </c>
      <c r="FA2" s="69" t="s">
        <v>98</v>
      </c>
      <c r="FB2" s="6" t="s">
        <v>101</v>
      </c>
      <c r="FC2" s="6" t="s">
        <v>102</v>
      </c>
      <c r="FD2" s="6" t="s">
        <v>102</v>
      </c>
      <c r="FE2" s="6" t="s">
        <v>103</v>
      </c>
      <c r="FF2" s="6" t="s">
        <v>104</v>
      </c>
      <c r="FG2" s="6" t="s">
        <v>105</v>
      </c>
      <c r="FH2" s="6" t="s">
        <v>99</v>
      </c>
      <c r="FI2" s="6" t="s">
        <v>106</v>
      </c>
      <c r="FJ2" s="6" t="s">
        <v>107</v>
      </c>
      <c r="FK2" s="6" t="s">
        <v>108</v>
      </c>
      <c r="FL2" s="7" t="s">
        <v>109</v>
      </c>
      <c r="FM2" s="8" t="s">
        <v>110</v>
      </c>
      <c r="FN2" s="7" t="s">
        <v>55</v>
      </c>
      <c r="FO2" s="7" t="s">
        <v>56</v>
      </c>
      <c r="FP2" s="8" t="s">
        <v>117</v>
      </c>
      <c r="FQ2" s="8" t="s">
        <v>112</v>
      </c>
      <c r="FR2" s="8" t="s">
        <v>113</v>
      </c>
      <c r="FS2" s="8" t="s">
        <v>114</v>
      </c>
      <c r="FT2" s="9" t="s">
        <v>115</v>
      </c>
      <c r="FU2" s="68" t="s">
        <v>97</v>
      </c>
      <c r="FV2" s="69" t="s">
        <v>98</v>
      </c>
      <c r="FW2" s="6" t="s">
        <v>101</v>
      </c>
      <c r="FX2" s="6" t="s">
        <v>102</v>
      </c>
      <c r="FY2" s="6" t="s">
        <v>102</v>
      </c>
      <c r="FZ2" s="6" t="s">
        <v>103</v>
      </c>
      <c r="GA2" s="6" t="s">
        <v>104</v>
      </c>
      <c r="GB2" s="6" t="s">
        <v>105</v>
      </c>
      <c r="GC2" s="6" t="s">
        <v>99</v>
      </c>
      <c r="GD2" s="6" t="s">
        <v>106</v>
      </c>
      <c r="GE2" s="6" t="s">
        <v>107</v>
      </c>
      <c r="GF2" s="6" t="s">
        <v>108</v>
      </c>
      <c r="GG2" s="7" t="s">
        <v>109</v>
      </c>
      <c r="GH2" s="8" t="s">
        <v>110</v>
      </c>
      <c r="GI2" s="7" t="s">
        <v>55</v>
      </c>
      <c r="GJ2" s="7" t="s">
        <v>56</v>
      </c>
      <c r="GK2" s="8" t="s">
        <v>116</v>
      </c>
      <c r="GL2" s="8" t="s">
        <v>112</v>
      </c>
      <c r="GM2" s="8" t="s">
        <v>113</v>
      </c>
      <c r="GN2" s="8" t="s">
        <v>114</v>
      </c>
      <c r="GO2" s="8" t="s">
        <v>115</v>
      </c>
      <c r="GP2" s="68" t="s">
        <v>97</v>
      </c>
      <c r="GQ2" s="69" t="s">
        <v>98</v>
      </c>
      <c r="GR2" s="6" t="s">
        <v>101</v>
      </c>
      <c r="GS2" s="6" t="s">
        <v>102</v>
      </c>
      <c r="GT2" s="6" t="s">
        <v>102</v>
      </c>
      <c r="GU2" s="6" t="s">
        <v>103</v>
      </c>
      <c r="GV2" s="6" t="s">
        <v>104</v>
      </c>
      <c r="GW2" s="6" t="s">
        <v>105</v>
      </c>
      <c r="GX2" s="6" t="s">
        <v>99</v>
      </c>
      <c r="GY2" s="6" t="s">
        <v>106</v>
      </c>
      <c r="GZ2" s="6" t="s">
        <v>107</v>
      </c>
      <c r="HA2" s="6" t="s">
        <v>108</v>
      </c>
      <c r="HB2" s="7" t="s">
        <v>109</v>
      </c>
      <c r="HC2" s="8" t="s">
        <v>110</v>
      </c>
      <c r="HD2" s="7" t="s">
        <v>55</v>
      </c>
      <c r="HE2" s="7" t="s">
        <v>56</v>
      </c>
      <c r="HF2" s="8" t="s">
        <v>116</v>
      </c>
      <c r="HG2" s="8" t="s">
        <v>112</v>
      </c>
      <c r="HH2" s="8" t="s">
        <v>113</v>
      </c>
      <c r="HI2" s="8" t="s">
        <v>114</v>
      </c>
      <c r="HJ2" s="9" t="s">
        <v>115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205.73717397588365</v>
      </c>
      <c r="T3" s="59">
        <f>IF('Données projet'!E9&gt;30,$R$33-$H$33,LOOKUP('Données projet'!$E$9,$A$3:$A$203,R3:R203)-LOOKUP('Données projet'!$E$9,$A$3:$A$203,$H$3:$H$203))</f>
        <v>190.64998698136026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283.73369613548124</v>
      </c>
      <c r="AO3" s="59">
        <f>IF('Données projet'!E10&gt;30,$AM$33-$H$33,LOOKUP('Données projet'!$E$10,$A$3:$A$203,AM3:AM203)-LOOKUP('Données projet'!$E$10,$A$3:$A$203,$H$3:$H$203))</f>
        <v>249.77804091581208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278.5296012747549</v>
      </c>
      <c r="BJ3" s="59">
        <f>IF('Données projet'!E11&gt;30,$BH$33-$H$33,LOOKUP('Données projet'!$E$11,$A$3:$A$203,BH3:BH203)-LOOKUP('Données projet'!$E$11,$A$3:$A$203,$H$3:$H$203))</f>
        <v>370.55343097937077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159.92263609041913</v>
      </c>
      <c r="CE3" s="59">
        <f>IF('Données projet'!E12&gt;30,$CC$33-$H$33,LOOKUP('Données projet'!$E$12,$A$3:$A$203,CC3:CC203)-LOOKUP('Données projet'!$E$12,$A$3:$A$203,$H$3:$H$203))</f>
        <v>271.78119133009307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280.25710840677186</v>
      </c>
      <c r="CZ3" s="59">
        <f>IF('Données projet'!E13&gt;30,$CX$33-$H$33,LOOKUP('Données projet'!$E$13,$A$3:$A$203,CX3:CX203)-LOOKUP('Données projet'!$E$13,$A$3:$A$203,$H$3:$H$203))</f>
        <v>209.65224013288037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330.14201227773452</v>
      </c>
      <c r="DU3" s="59">
        <f>IF('Données projet'!E14&gt;30,$DS$33-$H$33,LOOKUP('Données projet'!$E$14,$A$3:$A$203,DS3:DS203)-LOOKUP('Données projet'!$E$14,$A$3:$A$203,$H$3:$H$203))</f>
        <v>307.07297894926467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183.30081488041924</v>
      </c>
      <c r="EP3" s="59">
        <f>IF('Données projet'!E15&gt;30,$EN$33-$H$33,LOOKUP('Données projet'!$E$15,$A$3:$A$203,EN3:EN203)-LOOKUP('Données projet'!$E$15,$A$3:$A$203,$H$3:$H$203))</f>
        <v>199.33099759570928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7.2264102564102561</v>
      </c>
      <c r="N4" s="13">
        <f>IF('Données projet'!$A$36&gt;35,N3+M4-V3,IF(A4&lt;'Données projet'!$A$36,$K$205^A4,IF(A4='Données projet'!$A$36,'Données projet'!$B$36,N3+M4-V3)))</f>
        <v>1.1963772029987372</v>
      </c>
      <c r="O4" s="13">
        <f>N4*VLOOKUP('Données projet'!$B$9,Paramètres!$A$1:$I$89,3,0)*VLOOKUP('Données projet'!$B$9,Paramètres!$A$1:$I$89,5,0)</f>
        <v>0.55990453100340898</v>
      </c>
      <c r="P4" s="13">
        <f>EXP(-1.0587+0.8836*LN(O4)+0.284)</f>
        <v>0.2760486193577778</v>
      </c>
      <c r="Q4" s="20">
        <f t="shared" ref="Q4:Q34" si="2">(O4+P4)*0.475*44/12</f>
        <v>1.4559517368790669</v>
      </c>
      <c r="R4" s="59">
        <f t="shared" si="0"/>
        <v>294.78928507021237</v>
      </c>
      <c r="S4" s="59">
        <f ca="1">AVERAGE(OFFSET($R$3,0,0,'Données projet'!$E$9+1,1))-AVERAGE(OFFSET($H$3,0,0,'Données projet'!$E$9+1,1))</f>
        <v>205.73717397588365</v>
      </c>
      <c r="T4" s="59">
        <f>$T$3</f>
        <v>190.64998698136026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283.73369613548124</v>
      </c>
      <c r="AO4" s="59">
        <f>$AO$3</f>
        <v>249.77804091581208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10.16068376068376</v>
      </c>
      <c r="BD4" s="12">
        <f>IF('Données projet'!$A$88&gt;35,BD3+BC4-BL3,IF(A4&lt;'Données projet'!$A$88,$BA$205^A4,IF(A4='Données projet'!$A$88,'Données projet'!$B$88,BD3+BC4-BL3)))</f>
        <v>1.3356034260773062</v>
      </c>
      <c r="BE4" s="13">
        <f>BD4*VLOOKUP('Données projet'!$B$11,Paramètres!$A$1:$I$89,3,0)*VLOOKUP('Données projet'!$B$11,Paramètres!$A$1:$I$89,5,0)</f>
        <v>0.7466023151772142</v>
      </c>
      <c r="BF4" s="13">
        <f>EXP(-1.0587+0.8836*LN(BE4)+0.284)</f>
        <v>0.35597032812689977</v>
      </c>
      <c r="BG4" s="20">
        <f t="shared" ref="BG4:BG67" si="7">(BE4+BF4)*0.475*44/12</f>
        <v>1.9203140204213316</v>
      </c>
      <c r="BH4" s="59">
        <f t="shared" ref="BH4:BH67" si="8">BG4+(AY4+AZ4)*44/12</f>
        <v>295.25364735375467</v>
      </c>
      <c r="BI4" s="59">
        <f ca="1">AVERAGE(OFFSET($BH$3,0,0,'Données projet'!$E$11+1,1))-AVERAGE(OFFSET($H$3,0,0,'Données projet'!$E$11+1,1))</f>
        <v>278.5296012747549</v>
      </c>
      <c r="BJ4" s="59">
        <f>$BJ$3</f>
        <v>370.55343097937077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9.6666666666666661</v>
      </c>
      <c r="BY4" s="12">
        <f>IF('Données projet'!$A$114&gt;35,BY3+BX4-CG3,IF(A4&lt;'Données projet'!$A$114,$BV$205^A4,IF(A4='Données projet'!$A$114,'Données projet'!$B$114,BY3+BX4-CG3)))</f>
        <v>1.4860662319460807</v>
      </c>
      <c r="BZ4" s="13">
        <f>BY4*VLOOKUP('Données projet'!$B$12,Paramètres!$A$1:$I$89,3,0)*VLOOKUP('Données projet'!$B$12,Paramètres!$A$1:$I$89,5,0)</f>
        <v>0.81139216264255998</v>
      </c>
      <c r="CA4" s="13">
        <f>EXP(-1.0587+0.8836*LN(BZ4)+0.284)</f>
        <v>0.38313198283208655</v>
      </c>
      <c r="CB4" s="20">
        <f t="shared" ref="CB4:CB67" si="10">(BZ4+CA4)*0.475*44/12</f>
        <v>2.0804628867016759</v>
      </c>
      <c r="CC4" s="59">
        <f t="shared" ref="CC4:CC67" si="11">CB4+(BT4+BU4)*44/12</f>
        <v>295.41379622003501</v>
      </c>
      <c r="CD4" s="59">
        <f ca="1">AVERAGE(OFFSET($CC$3,0,0,'Données projet'!$E$12+1,1))-AVERAGE(OFFSET($H$3,0,0,'Données projet'!$E$12+1,1))</f>
        <v>159.92263609041913</v>
      </c>
      <c r="CE4" s="59">
        <f>$CE$3</f>
        <v>271.78119133009307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4.0628205128205126</v>
      </c>
      <c r="CT4" s="12">
        <f>IF('Données projet'!$A$140&gt;35,CT3+CS4-DB3,IF(A4&lt;'Données projet'!$A$140,$CQ$205^A4,IF(A4='Données projet'!$A$140,'Données projet'!$B$140,CT3+CS4-DB3)))</f>
        <v>1.1736311550444201</v>
      </c>
      <c r="CU4" s="17">
        <f>CT4*VLOOKUP('Données projet'!$B$13,Paramètres!$A$1:$I$89,3,0)*VLOOKUP('Données projet'!$B$13,Paramètres!$A$1:$I$89,5,0)</f>
        <v>1.0619014690841913</v>
      </c>
      <c r="CV4" s="13">
        <f>EXP(-1.0587+0.8836*LN(CU4)+0.284)</f>
        <v>0.48595950732890802</v>
      </c>
      <c r="CW4" s="20">
        <f t="shared" ref="CW4:CW67" si="13">(CU4+CV4)*0.475*44/12</f>
        <v>2.6958578672528142</v>
      </c>
      <c r="CX4" s="59">
        <f t="shared" ref="CX4:CX67" si="14">CW4+(CO4+CP4)*44/12</f>
        <v>296.02919120058613</v>
      </c>
      <c r="CY4" s="59">
        <f ca="1">AVERAGE(OFFSET($CX$3,0,0,'Données projet'!$E$13+1,1))-AVERAGE(OFFSET($H$3,0,0,'Données projet'!$E$13+1,1))</f>
        <v>280.25710840677186</v>
      </c>
      <c r="CZ4" s="59">
        <f>$CZ$3</f>
        <v>209.65224013288037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</v>
      </c>
      <c r="DO4" s="12">
        <f>IF('Données projet'!$A$166&gt;35,DO3+DN4-DW3,IF(A4&lt;'Données projet'!$A$166,$DL$205^A4,IF(A4='Données projet'!$A$166,'Données projet'!$B$166,DO3+DN4-DW3)))</f>
        <v>1.4003603312913959</v>
      </c>
      <c r="DP4" s="17">
        <f>DO4*VLOOKUP('Données projet'!$B$14,Paramètres!$A$1:$I$89,3,0)*VLOOKUP('Données projet'!$B$14,Paramètres!$A$1:$I$89,5,0)</f>
        <v>1.4636566182657671</v>
      </c>
      <c r="DQ4" s="13">
        <f>EXP(-1.0587+0.8836*LN(DP4)+0.284)</f>
        <v>0.64525910695655797</v>
      </c>
      <c r="DR4" s="20">
        <f t="shared" ref="DR4:DR67" si="16">(DP4+DQ4)*0.475*44/12</f>
        <v>3.6730282214288827</v>
      </c>
      <c r="DS4" s="59">
        <f t="shared" ref="DS4:DS67" si="17">DR4+(DJ4+DK4)*44/12</f>
        <v>297.00636155476218</v>
      </c>
      <c r="DT4" s="59">
        <f ca="1">AVERAGE(OFFSET($DS$3,0,0,'Données projet'!$E$14+1,1))-AVERAGE(OFFSET($H$3,0,0,'Données projet'!$E$14+1,1))</f>
        <v>330.14201227773452</v>
      </c>
      <c r="DU4" s="59">
        <f>$DU$3</f>
        <v>307.07297894926467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0.83274715428568413</v>
      </c>
      <c r="EL4" s="13">
        <f>EXP(-1.0587+0.8836*LN(EK4)+0.284)</f>
        <v>0.39202836439738087</v>
      </c>
      <c r="EM4" s="20">
        <f t="shared" ref="EM4:EM67" si="19">(EK4+EL4)*0.475*44/12</f>
        <v>2.1331506950396717</v>
      </c>
      <c r="EN4" s="59">
        <f t="shared" ref="EN4:EN67" si="20">EM4+(EE4+EF4)*44/12</f>
        <v>295.46648402837297</v>
      </c>
      <c r="EO4" s="59">
        <f ca="1">AVERAGE(OFFSET($EN$3,0,0,'Données projet'!$E$15+1,1))-AVERAGE(OFFSET($H$3,0,0,'Données projet'!$E$15+1,1))</f>
        <v>183.30081488041924</v>
      </c>
      <c r="EP4" s="59">
        <f>$EP$3</f>
        <v>199.33099759570928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7.2264102564102561</v>
      </c>
      <c r="N5" s="13">
        <f>IF('Données projet'!$A$36&gt;35,N4+M5-V4,IF(A5&lt;'Données projet'!$A$36,$K$205^A5,IF(A5='Données projet'!$A$36,'Données projet'!$B$36,N4+M5-V4)))</f>
        <v>1.4313184118550817</v>
      </c>
      <c r="O5" s="13">
        <f>N5*VLOOKUP('Données projet'!$B$9,Paramètres!$A$1:$I$89,3,0)*VLOOKUP('Données projet'!$B$9,Paramètres!$A$1:$I$89,5,0)</f>
        <v>0.66985701674817832</v>
      </c>
      <c r="P5" s="13">
        <f t="shared" ref="P5:P68" si="33">EXP(-1.0587+0.8836*LN(O5)+0.284)</f>
        <v>0.32343711768198868</v>
      </c>
      <c r="Q5" s="20">
        <f t="shared" si="2"/>
        <v>1.729987284132541</v>
      </c>
      <c r="R5" s="59">
        <f t="shared" si="0"/>
        <v>295.06332061746588</v>
      </c>
      <c r="S5" s="59">
        <f ca="1">AVERAGE(OFFSET($R$3,0,0,'Données projet'!$E$9+1,1))-AVERAGE(OFFSET($H$3,0,0,'Données projet'!$E$9+1,1))</f>
        <v>205.73717397588365</v>
      </c>
      <c r="T5" s="59">
        <f t="shared" ref="T5:T68" si="34">$T$3</f>
        <v>190.64998698136026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283.73369613548124</v>
      </c>
      <c r="AO5" s="59">
        <f t="shared" ref="AO5:AO68" si="36">$AO$3</f>
        <v>249.77804091581208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10.16068376068376</v>
      </c>
      <c r="BD5" s="12">
        <f>IF('Données projet'!$A$88&gt;35,BD4+BC5-BL4,IF(A5&lt;'Données projet'!$A$88,$BA$205^A5,IF(A5='Données projet'!$A$88,'Données projet'!$B$88,BD4+BC5-BL4)))</f>
        <v>1.7838365117494384</v>
      </c>
      <c r="BE5" s="13">
        <f>BD5*VLOOKUP('Données projet'!$B$11,Paramètres!$A$1:$I$89,3,0)*VLOOKUP('Données projet'!$B$11,Paramètres!$A$1:$I$89,5,0)</f>
        <v>0.99716461006793611</v>
      </c>
      <c r="BF5" s="13">
        <f t="shared" ref="BF5:BF68" si="37">EXP(-1.0587+0.8836*LN(BE5)+0.284)</f>
        <v>0.4596872513511342</v>
      </c>
      <c r="BG5" s="20">
        <f t="shared" si="7"/>
        <v>2.5373503253048804</v>
      </c>
      <c r="BH5" s="59">
        <f t="shared" si="8"/>
        <v>295.8706836586382</v>
      </c>
      <c r="BI5" s="59">
        <f ca="1">AVERAGE(OFFSET($BH$3,0,0,'Données projet'!$E$11+1,1))-AVERAGE(OFFSET($H$3,0,0,'Données projet'!$E$11+1,1))</f>
        <v>278.5296012747549</v>
      </c>
      <c r="BJ5" s="59">
        <f t="shared" ref="BJ5:BJ68" si="38">$BJ$3</f>
        <v>370.55343097937077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9.6666666666666661</v>
      </c>
      <c r="BY5" s="12">
        <f>IF('Données projet'!$A$114&gt;35,BY4+BX5-CG4,IF(A5&lt;'Données projet'!$A$114,$BV$205^A5,IF(A5='Données projet'!$A$114,'Données projet'!$B$114,BY4+BX5-CG4)))</f>
        <v>2.2083928457304225</v>
      </c>
      <c r="BZ5" s="13">
        <f>BY5*VLOOKUP('Données projet'!$B$12,Paramètres!$A$1:$I$89,3,0)*VLOOKUP('Données projet'!$B$12,Paramètres!$A$1:$I$89,5,0)</f>
        <v>1.2057824937688106</v>
      </c>
      <c r="CA5" s="13">
        <f t="shared" ref="CA5:CA68" si="39">EXP(-1.0587+0.8836*LN(BZ5)+0.284)</f>
        <v>0.54370250071771287</v>
      </c>
      <c r="CB5" s="20">
        <f t="shared" si="10"/>
        <v>3.0470196987306952</v>
      </c>
      <c r="CC5" s="59">
        <f t="shared" si="11"/>
        <v>296.38035303206402</v>
      </c>
      <c r="CD5" s="59">
        <f ca="1">AVERAGE(OFFSET($CC$3,0,0,'Données projet'!$E$12+1,1))-AVERAGE(OFFSET($H$3,0,0,'Données projet'!$E$12+1,1))</f>
        <v>159.92263609041913</v>
      </c>
      <c r="CE5" s="59">
        <f t="shared" ref="CE5:CE68" si="40">$CE$3</f>
        <v>271.78119133009307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4.0628205128205126</v>
      </c>
      <c r="CT5" s="12">
        <f>IF('Données projet'!$A$140&gt;35,CT4+CS5-DB4,IF(A5&lt;'Données projet'!$A$140,$CQ$205^A5,IF(A5='Données projet'!$A$140,'Données projet'!$B$140,CT4+CS5-DB4)))</f>
        <v>1.3774100880908995</v>
      </c>
      <c r="CU5" s="17">
        <f>CT5*VLOOKUP('Données projet'!$B$13,Paramètres!$A$1:$I$89,3,0)*VLOOKUP('Données projet'!$B$13,Paramètres!$A$1:$I$89,5,0)</f>
        <v>1.2462806477046457</v>
      </c>
      <c r="CV5" s="13">
        <f t="shared" ref="CV5:CV68" si="41">EXP(-1.0587+0.8836*LN(CU5)+0.284)</f>
        <v>0.55980687933617612</v>
      </c>
      <c r="CW5" s="20">
        <f t="shared" si="13"/>
        <v>3.1456024429294316</v>
      </c>
      <c r="CX5" s="59">
        <f t="shared" si="14"/>
        <v>296.47893577626274</v>
      </c>
      <c r="CY5" s="59">
        <f ca="1">AVERAGE(OFFSET($CX$3,0,0,'Données projet'!$E$13+1,1))-AVERAGE(OFFSET($H$3,0,0,'Données projet'!$E$13+1,1))</f>
        <v>280.25710840677186</v>
      </c>
      <c r="CZ5" s="59">
        <f t="shared" ref="CZ5:CZ68" si="42">$CZ$3</f>
        <v>209.65224013288037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</v>
      </c>
      <c r="DO5" s="12">
        <f>IF('Données projet'!$A$166&gt;35,DO4+DN5-DW4,IF(A5&lt;'Données projet'!$A$166,$DL$205^A5,IF(A5='Données projet'!$A$166,'Données projet'!$B$166,DO4+DN5-DW4)))</f>
        <v>1.9610090574545482</v>
      </c>
      <c r="DP5" s="17">
        <f>DO5*VLOOKUP('Données projet'!$B$14,Paramètres!$A$1:$I$89,3,0)*VLOOKUP('Données projet'!$B$14,Paramètres!$A$1:$I$89,5,0)</f>
        <v>2.0496466668514941</v>
      </c>
      <c r="DQ5" s="13">
        <f t="shared" ref="DQ5:DQ68" si="43">EXP(-1.0587+0.8836*LN(DP5)+0.284)</f>
        <v>0.86886365296461709</v>
      </c>
      <c r="DR5" s="20">
        <f t="shared" si="16"/>
        <v>5.0830721403463937</v>
      </c>
      <c r="DS5" s="59">
        <f t="shared" si="17"/>
        <v>298.41640547367973</v>
      </c>
      <c r="DT5" s="59">
        <f ca="1">AVERAGE(OFFSET($DS$3,0,0,'Données projet'!$E$14+1,1))-AVERAGE(OFFSET($H$3,0,0,'Données projet'!$E$14+1,1))</f>
        <v>330.14201227773452</v>
      </c>
      <c r="DU5" s="59">
        <f t="shared" ref="DU5:DU68" si="44">$DU$3</f>
        <v>307.07297894926467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1.0584063232156671</v>
      </c>
      <c r="EL5" s="13">
        <f t="shared" ref="EL5:EL68" si="45">EXP(-1.0587+0.8836*LN(EK5)+0.284)</f>
        <v>0.48454592807852009</v>
      </c>
      <c r="EM5" s="20">
        <f t="shared" si="19"/>
        <v>2.6873085043373757</v>
      </c>
      <c r="EN5" s="59">
        <f t="shared" si="20"/>
        <v>296.02064183767067</v>
      </c>
      <c r="EO5" s="59">
        <f ca="1">AVERAGE(OFFSET($EN$3,0,0,'Données projet'!$E$15+1,1))-AVERAGE(OFFSET($H$3,0,0,'Données projet'!$E$15+1,1))</f>
        <v>183.30081488041924</v>
      </c>
      <c r="EP5" s="59">
        <f t="shared" ref="EP5:EP68" si="46">$EP$3</f>
        <v>199.33099759570928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7.2264102564102561</v>
      </c>
      <c r="N6" s="13">
        <f>IF('Données projet'!$A$36&gt;35,N5+M6-V5,IF(A6&lt;'Données projet'!$A$36,$K$205^A6,IF(A6='Données projet'!$A$36,'Données projet'!$B$36,N5+M6-V5)))</f>
        <v>1.7123967181757771</v>
      </c>
      <c r="O6" s="13">
        <f>N6*VLOOKUP('Données projet'!$B$9,Paramètres!$A$1:$I$89,3,0)*VLOOKUP('Données projet'!$B$9,Paramètres!$A$1:$I$89,5,0)</f>
        <v>0.80140166410626379</v>
      </c>
      <c r="P6" s="13">
        <f t="shared" si="33"/>
        <v>0.37896066764546593</v>
      </c>
      <c r="Q6" s="20">
        <f t="shared" si="2"/>
        <v>2.0557977278009294</v>
      </c>
      <c r="R6" s="59">
        <f t="shared" si="0"/>
        <v>295.38913106113426</v>
      </c>
      <c r="S6" s="59">
        <f ca="1">AVERAGE(OFFSET($R$3,0,0,'Données projet'!$E$9+1,1))-AVERAGE(OFFSET($H$3,0,0,'Données projet'!$E$9+1,1))</f>
        <v>205.73717397588365</v>
      </c>
      <c r="T6" s="59">
        <f t="shared" si="34"/>
        <v>190.64998698136026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283.73369613548124</v>
      </c>
      <c r="AO6" s="59">
        <f t="shared" si="36"/>
        <v>249.77804091581208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10.16068376068376</v>
      </c>
      <c r="BD6" s="12">
        <f>IF('Données projet'!$A$88&gt;35,BD5+BC6-BL5,IF(A6&lt;'Données projet'!$A$88,$BA$205^A6,IF(A6='Données projet'!$A$88,'Données projet'!$B$88,BD5+BC6-BL5)))</f>
        <v>2.3824981566543406</v>
      </c>
      <c r="BE6" s="13">
        <f>BD6*VLOOKUP('Données projet'!$B$11,Paramètres!$A$1:$I$89,3,0)*VLOOKUP('Données projet'!$B$11,Paramètres!$A$1:$I$89,5,0)</f>
        <v>1.3318164695697763</v>
      </c>
      <c r="BF6" s="13">
        <f t="shared" si="37"/>
        <v>0.59362354768914927</v>
      </c>
      <c r="BG6" s="20">
        <f t="shared" si="7"/>
        <v>3.3534746967259621</v>
      </c>
      <c r="BH6" s="59">
        <f t="shared" si="8"/>
        <v>296.6868080300593</v>
      </c>
      <c r="BI6" s="59">
        <f ca="1">AVERAGE(OFFSET($BH$3,0,0,'Données projet'!$E$11+1,1))-AVERAGE(OFFSET($H$3,0,0,'Données projet'!$E$11+1,1))</f>
        <v>278.5296012747549</v>
      </c>
      <c r="BJ6" s="59">
        <f t="shared" si="38"/>
        <v>370.55343097937077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9.6666666666666661</v>
      </c>
      <c r="BY6" s="12">
        <f>IF('Données projet'!$A$114&gt;35,BY5+BX6-CG5,IF(A6&lt;'Données projet'!$A$114,$BV$205^A6,IF(A6='Données projet'!$A$114,'Données projet'!$B$114,BY5+BX6-CG5)))</f>
        <v>3.2818180349112911</v>
      </c>
      <c r="BZ6" s="13">
        <f>BY6*VLOOKUP('Données projet'!$B$12,Paramètres!$A$1:$I$89,3,0)*VLOOKUP('Données projet'!$B$12,Paramètres!$A$1:$I$89,5,0)</f>
        <v>1.7918726470615651</v>
      </c>
      <c r="CA6" s="13">
        <f t="shared" si="39"/>
        <v>0.77156808236563035</v>
      </c>
      <c r="CB6" s="20">
        <f t="shared" si="10"/>
        <v>4.4646592704190313</v>
      </c>
      <c r="CC6" s="59">
        <f t="shared" si="11"/>
        <v>297.79799260375233</v>
      </c>
      <c r="CD6" s="59">
        <f ca="1">AVERAGE(OFFSET($CC$3,0,0,'Données projet'!$E$12+1,1))-AVERAGE(OFFSET($H$3,0,0,'Données projet'!$E$12+1,1))</f>
        <v>159.92263609041913</v>
      </c>
      <c r="CE6" s="59">
        <f t="shared" si="40"/>
        <v>271.78119133009307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4.0628205128205126</v>
      </c>
      <c r="CT6" s="12">
        <f>IF('Données projet'!$A$140&gt;35,CT5+CS6-DB5,IF(A6&lt;'Données projet'!$A$140,$CQ$205^A6,IF(A6='Données projet'!$A$140,'Données projet'!$B$140,CT5+CS6-DB5)))</f>
        <v>1.6165713926559588</v>
      </c>
      <c r="CU6" s="17">
        <f>CT6*VLOOKUP('Données projet'!$B$13,Paramètres!$A$1:$I$89,3,0)*VLOOKUP('Données projet'!$B$13,Paramètres!$A$1:$I$89,5,0)</f>
        <v>1.4626737960751115</v>
      </c>
      <c r="CV6" s="13">
        <f t="shared" si="41"/>
        <v>0.64487624467855742</v>
      </c>
      <c r="CW6" s="20">
        <f t="shared" si="13"/>
        <v>3.6706496543126392</v>
      </c>
      <c r="CX6" s="59">
        <f t="shared" si="14"/>
        <v>297.00398298764594</v>
      </c>
      <c r="CY6" s="59">
        <f ca="1">AVERAGE(OFFSET($CX$3,0,0,'Données projet'!$E$13+1,1))-AVERAGE(OFFSET($H$3,0,0,'Données projet'!$E$13+1,1))</f>
        <v>280.25710840677186</v>
      </c>
      <c r="CZ6" s="59">
        <f t="shared" si="42"/>
        <v>209.65224013288037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</v>
      </c>
      <c r="DO6" s="12">
        <f>IF('Données projet'!$A$166&gt;35,DO5+DN6-DW5,IF(A6&lt;'Données projet'!$A$166,$DL$205^A6,IF(A6='Données projet'!$A$166,'Données projet'!$B$166,DO5+DN6-DW5)))</f>
        <v>2.7461192933624794</v>
      </c>
      <c r="DP6" s="17">
        <f>DO6*VLOOKUP('Données projet'!$B$14,Paramètres!$A$1:$I$89,3,0)*VLOOKUP('Données projet'!$B$14,Paramètres!$A$1:$I$89,5,0)</f>
        <v>2.8702438854224637</v>
      </c>
      <c r="DQ6" s="13">
        <f t="shared" si="43"/>
        <v>1.1699548899103622</v>
      </c>
      <c r="DR6" s="20">
        <f t="shared" si="16"/>
        <v>7.036679533704671</v>
      </c>
      <c r="DS6" s="59">
        <f t="shared" si="17"/>
        <v>300.37001286703799</v>
      </c>
      <c r="DT6" s="59">
        <f ca="1">AVERAGE(OFFSET($DS$3,0,0,'Données projet'!$E$14+1,1))-AVERAGE(OFFSET($H$3,0,0,'Données projet'!$E$14+1,1))</f>
        <v>330.14201227773452</v>
      </c>
      <c r="DU6" s="59">
        <f t="shared" si="44"/>
        <v>307.07297894926467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1.3452149782292753</v>
      </c>
      <c r="EL6" s="13">
        <f t="shared" si="45"/>
        <v>0.59889737003693966</v>
      </c>
      <c r="EM6" s="20">
        <f t="shared" si="19"/>
        <v>3.3859956732303242</v>
      </c>
      <c r="EN6" s="59">
        <f t="shared" si="20"/>
        <v>296.71932900656361</v>
      </c>
      <c r="EO6" s="59">
        <f ca="1">AVERAGE(OFFSET($EN$3,0,0,'Données projet'!$E$15+1,1))-AVERAGE(OFFSET($H$3,0,0,'Données projet'!$E$15+1,1))</f>
        <v>183.30081488041924</v>
      </c>
      <c r="EP6" s="59">
        <f t="shared" si="46"/>
        <v>199.33099759570928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7.2264102564102561</v>
      </c>
      <c r="N7" s="13">
        <f>IF('Données projet'!$A$36&gt;35,N6+M7-V6,IF(A7&lt;'Données projet'!$A$36,$K$205^A7,IF(A7='Données projet'!$A$36,'Données projet'!$B$36,N6+M7-V6)))</f>
        <v>2.0486723961153532</v>
      </c>
      <c r="O7" s="13">
        <f>N7*VLOOKUP('Données projet'!$B$9,Paramètres!$A$1:$I$89,3,0)*VLOOKUP('Données projet'!$B$9,Paramètres!$A$1:$I$89,5,0)</f>
        <v>0.95877868138198519</v>
      </c>
      <c r="P7" s="13">
        <f t="shared" si="33"/>
        <v>0.44401579092570115</v>
      </c>
      <c r="Q7" s="20">
        <f t="shared" si="2"/>
        <v>2.4432003726025537</v>
      </c>
      <c r="R7" s="59">
        <f t="shared" si="0"/>
        <v>295.77653370593589</v>
      </c>
      <c r="S7" s="59">
        <f ca="1">AVERAGE(OFFSET($R$3,0,0,'Données projet'!$E$9+1,1))-AVERAGE(OFFSET($H$3,0,0,'Données projet'!$E$9+1,1))</f>
        <v>205.73717397588365</v>
      </c>
      <c r="T7" s="59">
        <f t="shared" si="34"/>
        <v>190.64998698136026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283.73369613548124</v>
      </c>
      <c r="AO7" s="59">
        <f t="shared" si="36"/>
        <v>249.77804091581208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10.16068376068376</v>
      </c>
      <c r="BD7" s="12">
        <f>IF('Données projet'!$A$88&gt;35,BD6+BC7-BL6,IF(A7&lt;'Données projet'!$A$88,$BA$205^A7,IF(A7='Données projet'!$A$88,'Données projet'!$B$88,BD6+BC7-BL6)))</f>
        <v>3.1820727006504042</v>
      </c>
      <c r="BE7" s="13">
        <f>BD7*VLOOKUP('Données projet'!$B$11,Paramètres!$A$1:$I$89,3,0)*VLOOKUP('Données projet'!$B$11,Paramètres!$A$1:$I$89,5,0)</f>
        <v>1.7787786396635761</v>
      </c>
      <c r="BF7" s="13">
        <f t="shared" si="37"/>
        <v>0.76658405325641277</v>
      </c>
      <c r="BG7" s="20">
        <f t="shared" si="7"/>
        <v>4.4331733568356464</v>
      </c>
      <c r="BH7" s="59">
        <f t="shared" si="8"/>
        <v>297.76650669016897</v>
      </c>
      <c r="BI7" s="59">
        <f ca="1">AVERAGE(OFFSET($BH$3,0,0,'Données projet'!$E$11+1,1))-AVERAGE(OFFSET($H$3,0,0,'Données projet'!$E$11+1,1))</f>
        <v>278.5296012747549</v>
      </c>
      <c r="BJ7" s="59">
        <f t="shared" si="38"/>
        <v>370.55343097937077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9.6666666666666661</v>
      </c>
      <c r="BY7" s="12">
        <f>IF('Données projet'!$A$114&gt;35,BY6+BX7-CG6,IF(A7&lt;'Données projet'!$A$114,$BV$205^A7,IF(A7='Données projet'!$A$114,'Données projet'!$B$114,BY6+BX7-CG6)))</f>
        <v>4.8769989610733138</v>
      </c>
      <c r="BZ7" s="13">
        <f>BY7*VLOOKUP('Données projet'!$B$12,Paramètres!$A$1:$I$89,3,0)*VLOOKUP('Données projet'!$B$12,Paramètres!$A$1:$I$89,5,0)</f>
        <v>2.6628414327460295</v>
      </c>
      <c r="CA7" s="13">
        <f t="shared" si="39"/>
        <v>1.0949320721157787</v>
      </c>
      <c r="CB7" s="20">
        <f t="shared" si="10"/>
        <v>6.5447888543009825</v>
      </c>
      <c r="CC7" s="59">
        <f t="shared" si="11"/>
        <v>299.87812218763429</v>
      </c>
      <c r="CD7" s="59">
        <f ca="1">AVERAGE(OFFSET($CC$3,0,0,'Données projet'!$E$12+1,1))-AVERAGE(OFFSET($H$3,0,0,'Données projet'!$E$12+1,1))</f>
        <v>159.92263609041913</v>
      </c>
      <c r="CE7" s="59">
        <f t="shared" si="40"/>
        <v>271.78119133009307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4.0628205128205126</v>
      </c>
      <c r="CT7" s="12">
        <f>IF('Données projet'!$A$140&gt;35,CT6+CS7-DB6,IF(A7&lt;'Données projet'!$A$140,$CQ$205^A7,IF(A7='Données projet'!$A$140,'Données projet'!$B$140,CT6+CS7-DB6)))</f>
        <v>1.8972585507745794</v>
      </c>
      <c r="CU7" s="17">
        <f>CT7*VLOOKUP('Données projet'!$B$13,Paramètres!$A$1:$I$89,3,0)*VLOOKUP('Données projet'!$B$13,Paramètres!$A$1:$I$89,5,0)</f>
        <v>1.7166395367408394</v>
      </c>
      <c r="CV7" s="13">
        <f t="shared" si="41"/>
        <v>0.74287291975378222</v>
      </c>
      <c r="CW7" s="20">
        <f t="shared" si="13"/>
        <v>4.283650861728133</v>
      </c>
      <c r="CX7" s="59">
        <f t="shared" si="14"/>
        <v>297.61698419506143</v>
      </c>
      <c r="CY7" s="59">
        <f ca="1">AVERAGE(OFFSET($CX$3,0,0,'Données projet'!$E$13+1,1))-AVERAGE(OFFSET($H$3,0,0,'Données projet'!$E$13+1,1))</f>
        <v>280.25710840677186</v>
      </c>
      <c r="CZ7" s="59">
        <f t="shared" si="42"/>
        <v>209.65224013288037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</v>
      </c>
      <c r="DO7" s="12">
        <f>IF('Données projet'!$A$166&gt;35,DO6+DN7-DW6,IF(A7&lt;'Données projet'!$A$166,$DL$205^A7,IF(A7='Données projet'!$A$166,'Données projet'!$B$166,DO6+DN7-DW6)))</f>
        <v>3.8455565234187756</v>
      </c>
      <c r="DP7" s="17">
        <f>DO7*VLOOKUP('Données projet'!$B$14,Paramètres!$A$1:$I$89,3,0)*VLOOKUP('Données projet'!$B$14,Paramètres!$A$1:$I$89,5,0)</f>
        <v>4.0193756782773047</v>
      </c>
      <c r="DQ7" s="13">
        <f t="shared" si="43"/>
        <v>1.5753846299758951</v>
      </c>
      <c r="DR7" s="20">
        <f t="shared" si="16"/>
        <v>9.7442075368743222</v>
      </c>
      <c r="DS7" s="59">
        <f t="shared" si="17"/>
        <v>303.07754087020766</v>
      </c>
      <c r="DT7" s="59">
        <f ca="1">AVERAGE(OFFSET($DS$3,0,0,'Données projet'!$E$14+1,1))-AVERAGE(OFFSET($H$3,0,0,'Données projet'!$E$14+1,1))</f>
        <v>330.14201227773452</v>
      </c>
      <c r="DU7" s="59">
        <f t="shared" si="44"/>
        <v>307.07297894926467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1.7097435058347183</v>
      </c>
      <c r="EL7" s="13">
        <f t="shared" si="45"/>
        <v>0.74023542259349984</v>
      </c>
      <c r="EM7" s="20">
        <f t="shared" si="19"/>
        <v>4.2670466336791462</v>
      </c>
      <c r="EN7" s="59">
        <f t="shared" si="20"/>
        <v>297.60037996701249</v>
      </c>
      <c r="EO7" s="59">
        <f ca="1">AVERAGE(OFFSET($EN$3,0,0,'Données projet'!$E$15+1,1))-AVERAGE(OFFSET($H$3,0,0,'Données projet'!$E$15+1,1))</f>
        <v>183.30081488041924</v>
      </c>
      <c r="EP7" s="59">
        <f t="shared" si="46"/>
        <v>199.33099759570928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7.2264102564102561</v>
      </c>
      <c r="N8" s="13">
        <f>IF('Données projet'!$A$36&gt;35,N7+M8-V7,IF(A8&lt;'Données projet'!$A$36,$K$205^A8,IF(A8='Données projet'!$A$36,'Données projet'!$B$36,N7+M8-V7)))</f>
        <v>2.4509849511252071</v>
      </c>
      <c r="O8" s="13">
        <f>N8*VLOOKUP('Données projet'!$B$9,Paramètres!$A$1:$I$89,3,0)*VLOOKUP('Données projet'!$B$9,Paramètres!$A$1:$I$89,5,0)</f>
        <v>1.1470609571265968</v>
      </c>
      <c r="P8" s="13">
        <f t="shared" si="33"/>
        <v>0.52023874619045773</v>
      </c>
      <c r="Q8" s="20">
        <f t="shared" si="2"/>
        <v>2.9038803166105365</v>
      </c>
      <c r="R8" s="59">
        <f t="shared" si="0"/>
        <v>296.23721364994384</v>
      </c>
      <c r="S8" s="59">
        <f ca="1">AVERAGE(OFFSET($R$3,0,0,'Données projet'!$E$9+1,1))-AVERAGE(OFFSET($H$3,0,0,'Données projet'!$E$9+1,1))</f>
        <v>205.73717397588365</v>
      </c>
      <c r="T8" s="59">
        <f t="shared" si="34"/>
        <v>190.64998698136026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283.73369613548124</v>
      </c>
      <c r="AO8" s="59">
        <f t="shared" si="36"/>
        <v>249.77804091581208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10.16068376068376</v>
      </c>
      <c r="BD8" s="12">
        <f>IF('Données projet'!$A$88&gt;35,BD7+BC8-BL7,IF(A8&lt;'Données projet'!$A$88,$BA$205^A8,IF(A8='Données projet'!$A$88,'Données projet'!$B$88,BD7+BC8-BL7)))</f>
        <v>4.2499872010157462</v>
      </c>
      <c r="BE8" s="13">
        <f>BD8*VLOOKUP('Données projet'!$B$11,Paramètres!$A$1:$I$89,3,0)*VLOOKUP('Données projet'!$B$11,Paramètres!$A$1:$I$89,5,0)</f>
        <v>2.3757428453678022</v>
      </c>
      <c r="BF8" s="13">
        <f t="shared" si="37"/>
        <v>0.98993901605593615</v>
      </c>
      <c r="BG8" s="20">
        <f t="shared" si="7"/>
        <v>5.8618959086463436</v>
      </c>
      <c r="BH8" s="59">
        <f t="shared" si="8"/>
        <v>299.19522924197963</v>
      </c>
      <c r="BI8" s="59">
        <f ca="1">AVERAGE(OFFSET($BH$3,0,0,'Données projet'!$E$11+1,1))-AVERAGE(OFFSET($H$3,0,0,'Données projet'!$E$11+1,1))</f>
        <v>278.5296012747549</v>
      </c>
      <c r="BJ8" s="59">
        <f t="shared" si="38"/>
        <v>370.55343097937077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9.6666666666666661</v>
      </c>
      <c r="BY8" s="12">
        <f>IF('Données projet'!$A$114&gt;35,BY7+BX8-CG7,IF(A8&lt;'Données projet'!$A$114,$BV$205^A8,IF(A8='Données projet'!$A$114,'Données projet'!$B$114,BY7+BX8-CG7)))</f>
        <v>7.2475434692871694</v>
      </c>
      <c r="BZ8" s="13">
        <f>BY8*VLOOKUP('Données projet'!$B$12,Paramètres!$A$1:$I$89,3,0)*VLOOKUP('Données projet'!$B$12,Paramètres!$A$1:$I$89,5,0)</f>
        <v>3.9571587342307946</v>
      </c>
      <c r="CA8" s="13">
        <f t="shared" si="39"/>
        <v>1.5538178288453746</v>
      </c>
      <c r="CB8" s="20">
        <f t="shared" si="10"/>
        <v>9.5982841806909942</v>
      </c>
      <c r="CC8" s="59">
        <f t="shared" si="11"/>
        <v>302.93161751402431</v>
      </c>
      <c r="CD8" s="59">
        <f ca="1">AVERAGE(OFFSET($CC$3,0,0,'Données projet'!$E$12+1,1))-AVERAGE(OFFSET($H$3,0,0,'Données projet'!$E$12+1,1))</f>
        <v>159.92263609041913</v>
      </c>
      <c r="CE8" s="59">
        <f t="shared" si="40"/>
        <v>271.78119133009307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4.0628205128205126</v>
      </c>
      <c r="CT8" s="12">
        <f>IF('Données projet'!$A$140&gt;35,CT7+CS8-DB7,IF(A8&lt;'Données projet'!$A$140,$CQ$205^A8,IF(A8='Données projet'!$A$140,'Données projet'!$B$140,CT7+CS8-DB7)))</f>
        <v>2.2266817443634719</v>
      </c>
      <c r="CU8" s="17">
        <f>CT8*VLOOKUP('Données projet'!$B$13,Paramètres!$A$1:$I$89,3,0)*VLOOKUP('Données projet'!$B$13,Paramètres!$A$1:$I$89,5,0)</f>
        <v>2.0147016423000692</v>
      </c>
      <c r="CV8" s="13">
        <f t="shared" si="41"/>
        <v>0.85576136422669402</v>
      </c>
      <c r="CW8" s="20">
        <f t="shared" si="13"/>
        <v>4.999389736367446</v>
      </c>
      <c r="CX8" s="59">
        <f t="shared" si="14"/>
        <v>298.33272306970076</v>
      </c>
      <c r="CY8" s="59">
        <f ca="1">AVERAGE(OFFSET($CX$3,0,0,'Données projet'!$E$13+1,1))-AVERAGE(OFFSET($H$3,0,0,'Données projet'!$E$13+1,1))</f>
        <v>280.25710840677186</v>
      </c>
      <c r="CZ8" s="59">
        <f t="shared" si="42"/>
        <v>209.65224013288037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</v>
      </c>
      <c r="DO8" s="12">
        <f>IF('Données projet'!$A$166&gt;35,DO7+DN8-DW7,IF(A8&lt;'Données projet'!$A$166,$DL$205^A8,IF(A8='Données projet'!$A$166,'Données projet'!$B$166,DO7+DN8-DW7)))</f>
        <v>5.3851648071345055</v>
      </c>
      <c r="DP8" s="17">
        <f>DO8*VLOOKUP('Données projet'!$B$14,Paramètres!$A$1:$I$89,3,0)*VLOOKUP('Données projet'!$B$14,Paramètres!$A$1:$I$89,5,0)</f>
        <v>5.6285742564169858</v>
      </c>
      <c r="DQ8" s="13">
        <f t="shared" si="43"/>
        <v>2.1213097648187431</v>
      </c>
      <c r="DR8" s="20">
        <f t="shared" si="16"/>
        <v>13.497714670318894</v>
      </c>
      <c r="DS8" s="59">
        <f t="shared" si="17"/>
        <v>306.8310480036522</v>
      </c>
      <c r="DT8" s="59">
        <f ca="1">AVERAGE(OFFSET($DS$3,0,0,'Données projet'!$E$14+1,1))-AVERAGE(OFFSET($H$3,0,0,'Données projet'!$E$14+1,1))</f>
        <v>330.14201227773452</v>
      </c>
      <c r="DU8" s="59">
        <f t="shared" si="44"/>
        <v>307.07297894926467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2.173052562640859</v>
      </c>
      <c r="EL8" s="13">
        <f t="shared" si="45"/>
        <v>0.91492884804015795</v>
      </c>
      <c r="EM8" s="20">
        <f t="shared" si="19"/>
        <v>5.3782342902694369</v>
      </c>
      <c r="EN8" s="59">
        <f t="shared" si="20"/>
        <v>298.71156762360278</v>
      </c>
      <c r="EO8" s="59">
        <f ca="1">AVERAGE(OFFSET($EN$3,0,0,'Données projet'!$E$15+1,1))-AVERAGE(OFFSET($H$3,0,0,'Données projet'!$E$15+1,1))</f>
        <v>183.30081488041924</v>
      </c>
      <c r="EP8" s="59">
        <f t="shared" si="46"/>
        <v>199.33099759570928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7.2264102564102561</v>
      </c>
      <c r="N9" s="13">
        <f>IF('Données projet'!$A$36&gt;35,N8+M9-V8,IF(A9&lt;'Données projet'!$A$36,$K$205^A9,IF(A9='Données projet'!$A$36,'Données projet'!$B$36,N8+M9-V8)))</f>
        <v>2.9323025204191722</v>
      </c>
      <c r="O9" s="13">
        <f>N9*VLOOKUP('Données projet'!$B$9,Paramètres!$A$1:$I$89,3,0)*VLOOKUP('Données projet'!$B$9,Paramètres!$A$1:$I$89,5,0)</f>
        <v>1.3723175795561726</v>
      </c>
      <c r="P9" s="13">
        <f t="shared" si="33"/>
        <v>0.60954668407977464</v>
      </c>
      <c r="Q9" s="20">
        <f t="shared" si="2"/>
        <v>3.4517469258326074</v>
      </c>
      <c r="R9" s="59">
        <f t="shared" si="0"/>
        <v>296.78508025916591</v>
      </c>
      <c r="S9" s="59">
        <f ca="1">AVERAGE(OFFSET($R$3,0,0,'Données projet'!$E$9+1,1))-AVERAGE(OFFSET($H$3,0,0,'Données projet'!$E$9+1,1))</f>
        <v>205.73717397588365</v>
      </c>
      <c r="T9" s="59">
        <f t="shared" si="34"/>
        <v>190.64998698136026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283.73369613548124</v>
      </c>
      <c r="AO9" s="59">
        <f t="shared" si="36"/>
        <v>249.77804091581208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10.16068376068376</v>
      </c>
      <c r="BD9" s="12">
        <f>IF('Données projet'!$A$88&gt;35,BD8+BC9-BL8,IF(A9&lt;'Données projet'!$A$88,$BA$205^A9,IF(A9='Données projet'!$A$88,'Données projet'!$B$88,BD8+BC9-BL8)))</f>
        <v>5.6762974664613317</v>
      </c>
      <c r="BE9" s="13">
        <f>BD9*VLOOKUP('Données projet'!$B$11,Paramètres!$A$1:$I$89,3,0)*VLOOKUP('Données projet'!$B$11,Paramètres!$A$1:$I$89,5,0)</f>
        <v>3.1730502837518846</v>
      </c>
      <c r="BF9" s="13">
        <f t="shared" si="37"/>
        <v>1.27837156453606</v>
      </c>
      <c r="BG9" s="20">
        <f t="shared" si="7"/>
        <v>7.7528930524348363</v>
      </c>
      <c r="BH9" s="59">
        <f t="shared" si="8"/>
        <v>301.08622638576816</v>
      </c>
      <c r="BI9" s="59">
        <f ca="1">AVERAGE(OFFSET($BH$3,0,0,'Données projet'!$E$11+1,1))-AVERAGE(OFFSET($H$3,0,0,'Données projet'!$E$11+1,1))</f>
        <v>278.5296012747549</v>
      </c>
      <c r="BJ9" s="59">
        <f t="shared" si="38"/>
        <v>370.55343097937077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9.6666666666666661</v>
      </c>
      <c r="BY9" s="12">
        <f>IF('Données projet'!$A$114&gt;35,BY8+BX9-CG8,IF(A9&lt;'Données projet'!$A$114,$BV$205^A9,IF(A9='Données projet'!$A$114,'Données projet'!$B$114,BY8+BX9-CG8)))</f>
        <v>10.770329614269009</v>
      </c>
      <c r="BZ9" s="13">
        <f>BY9*VLOOKUP('Données projet'!$B$12,Paramètres!$A$1:$I$89,3,0)*VLOOKUP('Données projet'!$B$12,Paramètres!$A$1:$I$89,5,0)</f>
        <v>5.8805999693908788</v>
      </c>
      <c r="CA9" s="13">
        <f t="shared" si="39"/>
        <v>2.2050224910961043</v>
      </c>
      <c r="CB9" s="20">
        <f t="shared" si="10"/>
        <v>14.082459118681493</v>
      </c>
      <c r="CC9" s="59">
        <f t="shared" si="11"/>
        <v>307.41579245201478</v>
      </c>
      <c r="CD9" s="59">
        <f ca="1">AVERAGE(OFFSET($CC$3,0,0,'Données projet'!$E$12+1,1))-AVERAGE(OFFSET($H$3,0,0,'Données projet'!$E$12+1,1))</f>
        <v>159.92263609041913</v>
      </c>
      <c r="CE9" s="59">
        <f t="shared" si="40"/>
        <v>271.78119133009307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4.0628205128205126</v>
      </c>
      <c r="CT9" s="12">
        <f>IF('Données projet'!$A$140&gt;35,CT8+CS9-DB8,IF(A9&lt;'Données projet'!$A$140,$CQ$205^A9,IF(A9='Données projet'!$A$140,'Données projet'!$B$140,CT8+CS9-DB8)))</f>
        <v>2.6133030675536255</v>
      </c>
      <c r="CU9" s="17">
        <f>CT9*VLOOKUP('Données projet'!$B$13,Paramètres!$A$1:$I$89,3,0)*VLOOKUP('Données projet'!$B$13,Paramètres!$A$1:$I$89,5,0)</f>
        <v>2.3645166155225201</v>
      </c>
      <c r="CV9" s="13">
        <f t="shared" si="41"/>
        <v>0.98580456095486013</v>
      </c>
      <c r="CW9" s="20">
        <f t="shared" si="13"/>
        <v>5.8351427156981037</v>
      </c>
      <c r="CX9" s="59">
        <f t="shared" si="14"/>
        <v>299.16847604903143</v>
      </c>
      <c r="CY9" s="59">
        <f ca="1">AVERAGE(OFFSET($CX$3,0,0,'Données projet'!$E$13+1,1))-AVERAGE(OFFSET($H$3,0,0,'Données projet'!$E$13+1,1))</f>
        <v>280.25710840677186</v>
      </c>
      <c r="CZ9" s="59">
        <f t="shared" si="42"/>
        <v>209.65224013288037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</v>
      </c>
      <c r="DO9" s="12">
        <f>IF('Données projet'!$A$166&gt;35,DO8+DN9-DW8,IF(A9&lt;'Données projet'!$A$166,$DL$205^A9,IF(A9='Données projet'!$A$166,'Données projet'!$B$166,DO8+DN9-DW8)))</f>
        <v>7.5411711733776423</v>
      </c>
      <c r="DP9" s="17">
        <f>DO9*VLOOKUP('Données projet'!$B$14,Paramètres!$A$1:$I$89,3,0)*VLOOKUP('Données projet'!$B$14,Paramètres!$A$1:$I$89,5,0)</f>
        <v>7.882032110414313</v>
      </c>
      <c r="DQ9" s="13">
        <f t="shared" si="43"/>
        <v>2.8564167966931366</v>
      </c>
      <c r="DR9" s="20">
        <f t="shared" si="16"/>
        <v>18.702798513212141</v>
      </c>
      <c r="DS9" s="59">
        <f t="shared" si="17"/>
        <v>312.03613184654546</v>
      </c>
      <c r="DT9" s="59">
        <f ca="1">AVERAGE(OFFSET($DS$3,0,0,'Données projet'!$E$14+1,1))-AVERAGE(OFFSET($H$3,0,0,'Données projet'!$E$14+1,1))</f>
        <v>330.14201227773452</v>
      </c>
      <c r="DU9" s="59">
        <f t="shared" si="44"/>
        <v>307.07297894926467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2.7619098560018145</v>
      </c>
      <c r="EL9" s="13">
        <f t="shared" si="45"/>
        <v>1.1308494182070246</v>
      </c>
      <c r="EM9" s="20">
        <f t="shared" si="19"/>
        <v>6.7798890692470613</v>
      </c>
      <c r="EN9" s="59">
        <f t="shared" si="20"/>
        <v>300.11322240258039</v>
      </c>
      <c r="EO9" s="59">
        <f ca="1">AVERAGE(OFFSET($EN$3,0,0,'Données projet'!$E$15+1,1))-AVERAGE(OFFSET($H$3,0,0,'Données projet'!$E$15+1,1))</f>
        <v>183.30081488041924</v>
      </c>
      <c r="EP9" s="59">
        <f t="shared" si="46"/>
        <v>199.33099759570928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7.2264102564102561</v>
      </c>
      <c r="N10" s="13">
        <f>IF('Données projet'!$A$36&gt;35,N9+M10-V9,IF(A10&lt;'Données projet'!$A$36,$K$205^A10,IF(A10='Données projet'!$A$36,'Données projet'!$B$36,N9+M10-V9)))</f>
        <v>3.5081398877252363</v>
      </c>
      <c r="O10" s="13">
        <f>N10*VLOOKUP('Données projet'!$B$9,Paramètres!$A$1:$I$89,3,0)*VLOOKUP('Données projet'!$B$9,Paramètres!$A$1:$I$89,5,0)</f>
        <v>1.6418094674554107</v>
      </c>
      <c r="P10" s="13">
        <f t="shared" si="33"/>
        <v>0.71418586714920729</v>
      </c>
      <c r="Q10" s="20">
        <f t="shared" si="2"/>
        <v>4.1033585411030424</v>
      </c>
      <c r="R10" s="59">
        <f t="shared" si="0"/>
        <v>297.43669187443635</v>
      </c>
      <c r="S10" s="59">
        <f ca="1">AVERAGE(OFFSET($R$3,0,0,'Données projet'!$E$9+1,1))-AVERAGE(OFFSET($H$3,0,0,'Données projet'!$E$9+1,1))</f>
        <v>205.73717397588365</v>
      </c>
      <c r="T10" s="59">
        <f t="shared" si="34"/>
        <v>190.64998698136026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283.73369613548124</v>
      </c>
      <c r="AO10" s="59">
        <f t="shared" si="36"/>
        <v>249.77804091581208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10.16068376068376</v>
      </c>
      <c r="BD10" s="12">
        <f>IF('Données projet'!$A$88&gt;35,BD9+BC10-BL9,IF(A10&lt;'Données projet'!$A$88,$BA$205^A10,IF(A10='Données projet'!$A$88,'Données projet'!$B$88,BD9+BC10-BL9)))</f>
        <v>7.5812823436396872</v>
      </c>
      <c r="BE10" s="13">
        <f>BD10*VLOOKUP('Données projet'!$B$11,Paramètres!$A$1:$I$89,3,0)*VLOOKUP('Données projet'!$B$11,Paramètres!$A$1:$I$89,5,0)</f>
        <v>4.2379368300945854</v>
      </c>
      <c r="BF10" s="13">
        <f t="shared" si="37"/>
        <v>1.6508429615446465</v>
      </c>
      <c r="BG10" s="20">
        <f t="shared" si="7"/>
        <v>10.256291470438329</v>
      </c>
      <c r="BH10" s="59">
        <f t="shared" si="8"/>
        <v>303.58962480377164</v>
      </c>
      <c r="BI10" s="59">
        <f ca="1">AVERAGE(OFFSET($BH$3,0,0,'Données projet'!$E$11+1,1))-AVERAGE(OFFSET($H$3,0,0,'Données projet'!$E$11+1,1))</f>
        <v>278.5296012747549</v>
      </c>
      <c r="BJ10" s="59">
        <f t="shared" si="38"/>
        <v>370.55343097937077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9.6666666666666661</v>
      </c>
      <c r="BY10" s="12">
        <f>IF('Données projet'!$A$114&gt;35,BY9+BX10-CG9,IF(A10&lt;'Données projet'!$A$114,$BV$205^A10,IF(A10='Données projet'!$A$114,'Données projet'!$B$114,BY9+BX10-CG9)))</f>
        <v>16.005423146694032</v>
      </c>
      <c r="BZ10" s="13">
        <f>BY10*VLOOKUP('Données projet'!$B$12,Paramètres!$A$1:$I$89,3,0)*VLOOKUP('Données projet'!$B$12,Paramètres!$A$1:$I$89,5,0)</f>
        <v>8.7389610380949421</v>
      </c>
      <c r="CA10" s="13">
        <f t="shared" si="39"/>
        <v>3.1291468639233355</v>
      </c>
      <c r="CB10" s="20">
        <f t="shared" si="10"/>
        <v>20.6702879293485</v>
      </c>
      <c r="CC10" s="59">
        <f t="shared" si="11"/>
        <v>314.0036212626818</v>
      </c>
      <c r="CD10" s="59">
        <f ca="1">AVERAGE(OFFSET($CC$3,0,0,'Données projet'!$E$12+1,1))-AVERAGE(OFFSET($H$3,0,0,'Données projet'!$E$12+1,1))</f>
        <v>159.92263609041913</v>
      </c>
      <c r="CE10" s="59">
        <f t="shared" si="40"/>
        <v>271.78119133009307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4.0628205128205126</v>
      </c>
      <c r="CT10" s="12">
        <f>IF('Données projet'!$A$140&gt;35,CT9+CS10-DB9,IF(A10&lt;'Données projet'!$A$140,$CQ$205^A10,IF(A10='Données projet'!$A$140,'Données projet'!$B$140,CT9+CS10-DB9)))</f>
        <v>3.067053897654088</v>
      </c>
      <c r="CU10" s="17">
        <f>CT10*VLOOKUP('Données projet'!$B$13,Paramètres!$A$1:$I$89,3,0)*VLOOKUP('Données projet'!$B$13,Paramètres!$A$1:$I$89,5,0)</f>
        <v>2.775070366597419</v>
      </c>
      <c r="CV10" s="13">
        <f t="shared" si="41"/>
        <v>1.1356093801659046</v>
      </c>
      <c r="CW10" s="20">
        <f t="shared" si="13"/>
        <v>6.811100558946122</v>
      </c>
      <c r="CX10" s="59">
        <f t="shared" si="14"/>
        <v>300.14443389227944</v>
      </c>
      <c r="CY10" s="59">
        <f ca="1">AVERAGE(OFFSET($CX$3,0,0,'Données projet'!$E$13+1,1))-AVERAGE(OFFSET($H$3,0,0,'Données projet'!$E$13+1,1))</f>
        <v>280.25710840677186</v>
      </c>
      <c r="CZ10" s="59">
        <f t="shared" si="42"/>
        <v>209.65224013288037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</v>
      </c>
      <c r="DO10" s="12">
        <f>IF('Données projet'!$A$166&gt;35,DO9+DN10-DW9,IF(A10&lt;'Données projet'!$A$166,$DL$205^A10,IF(A10='Données projet'!$A$166,'Données projet'!$B$166,DO9+DN10-DW9)))</f>
        <v>10.560356962676241</v>
      </c>
      <c r="DP10" s="17">
        <f>DO10*VLOOKUP('Données projet'!$B$14,Paramètres!$A$1:$I$89,3,0)*VLOOKUP('Données projet'!$B$14,Paramètres!$A$1:$I$89,5,0)</f>
        <v>11.037685097389209</v>
      </c>
      <c r="DQ10" s="13">
        <f t="shared" si="43"/>
        <v>3.8462637808711757</v>
      </c>
      <c r="DR10" s="20">
        <f t="shared" si="16"/>
        <v>25.92287762963684</v>
      </c>
      <c r="DS10" s="59">
        <f t="shared" si="17"/>
        <v>319.25621096297016</v>
      </c>
      <c r="DT10" s="59">
        <f ca="1">AVERAGE(OFFSET($DS$3,0,0,'Données projet'!$E$14+1,1))-AVERAGE(OFFSET($H$3,0,0,'Données projet'!$E$14+1,1))</f>
        <v>330.14201227773452</v>
      </c>
      <c r="DU10" s="59">
        <f t="shared" si="44"/>
        <v>307.07297894926467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3.510336649845994</v>
      </c>
      <c r="EL10" s="13">
        <f t="shared" si="45"/>
        <v>1.397726620379814</v>
      </c>
      <c r="EM10" s="20">
        <f t="shared" si="19"/>
        <v>8.5482101956432839</v>
      </c>
      <c r="EN10" s="59">
        <f t="shared" si="20"/>
        <v>301.88154352897658</v>
      </c>
      <c r="EO10" s="59">
        <f ca="1">AVERAGE(OFFSET($EN$3,0,0,'Données projet'!$E$15+1,1))-AVERAGE(OFFSET($H$3,0,0,'Données projet'!$E$15+1,1))</f>
        <v>183.30081488041924</v>
      </c>
      <c r="EP10" s="59">
        <f t="shared" si="46"/>
        <v>199.33099759570928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7.2264102564102561</v>
      </c>
      <c r="N11" s="13">
        <f>IF('Données projet'!$A$36&gt;35,N10+M11-V10,IF(A11&lt;'Données projet'!$A$36,$K$205^A11,IF(A11='Données projet'!$A$36,'Données projet'!$B$36,N10+M11-V10)))</f>
        <v>4.1970585866050225</v>
      </c>
      <c r="O11" s="13">
        <f>N11*VLOOKUP('Données projet'!$B$9,Paramètres!$A$1:$I$89,3,0)*VLOOKUP('Données projet'!$B$9,Paramètres!$A$1:$I$89,5,0)</f>
        <v>1.9642234185311505</v>
      </c>
      <c r="P11" s="13">
        <f t="shared" si="33"/>
        <v>0.83678816759654573</v>
      </c>
      <c r="Q11" s="20">
        <f t="shared" si="2"/>
        <v>4.8784285125057369</v>
      </c>
      <c r="R11" s="59">
        <f t="shared" si="0"/>
        <v>298.21176184583908</v>
      </c>
      <c r="S11" s="59">
        <f ca="1">AVERAGE(OFFSET($R$3,0,0,'Données projet'!$E$9+1,1))-AVERAGE(OFFSET($H$3,0,0,'Données projet'!$E$9+1,1))</f>
        <v>205.73717397588365</v>
      </c>
      <c r="T11" s="59">
        <f t="shared" si="34"/>
        <v>190.64998698136026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283.73369613548124</v>
      </c>
      <c r="AO11" s="59">
        <f t="shared" si="36"/>
        <v>249.77804091581208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10.16068376068376</v>
      </c>
      <c r="BD11" s="12">
        <f>IF('Données projet'!$A$88&gt;35,BD10+BC11-BL10,IF(A11&lt;'Données projet'!$A$88,$BA$205^A11,IF(A11='Données projet'!$A$88,'Données projet'!$B$88,BD10+BC11-BL10)))</f>
        <v>10.125586672224557</v>
      </c>
      <c r="BE11" s="13">
        <f>BD11*VLOOKUP('Données projet'!$B$11,Paramètres!$A$1:$I$89,3,0)*VLOOKUP('Données projet'!$B$11,Paramètres!$A$1:$I$89,5,0)</f>
        <v>5.6602029497735273</v>
      </c>
      <c r="BF11" s="13">
        <f t="shared" si="37"/>
        <v>2.1318390984944533</v>
      </c>
      <c r="BG11" s="20">
        <f t="shared" si="7"/>
        <v>13.571139900733398</v>
      </c>
      <c r="BH11" s="59">
        <f t="shared" si="8"/>
        <v>306.9044732340667</v>
      </c>
      <c r="BI11" s="59">
        <f ca="1">AVERAGE(OFFSET($BH$3,0,0,'Données projet'!$E$11+1,1))-AVERAGE(OFFSET($H$3,0,0,'Données projet'!$E$11+1,1))</f>
        <v>278.5296012747549</v>
      </c>
      <c r="BJ11" s="59">
        <f t="shared" si="38"/>
        <v>370.55343097937077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9.6666666666666661</v>
      </c>
      <c r="BY11" s="12">
        <f>IF('Données projet'!$A$114&gt;35,BY10+BX11-CG10,IF(A11&lt;'Données projet'!$A$114,$BV$205^A11,IF(A11='Données projet'!$A$114,'Données projet'!$B$114,BY10+BX11-CG10)))</f>
        <v>23.785118866310182</v>
      </c>
      <c r="BZ11" s="13">
        <f>BY11*VLOOKUP('Données projet'!$B$12,Paramètres!$A$1:$I$89,3,0)*VLOOKUP('Données projet'!$B$12,Paramètres!$A$1:$I$89,5,0)</f>
        <v>12.98667490100536</v>
      </c>
      <c r="CA11" s="13">
        <f t="shared" si="39"/>
        <v>4.4405715295601897</v>
      </c>
      <c r="CB11" s="20">
        <f t="shared" si="10"/>
        <v>30.352454199901668</v>
      </c>
      <c r="CC11" s="59">
        <f t="shared" si="11"/>
        <v>323.68578753323499</v>
      </c>
      <c r="CD11" s="59">
        <f ca="1">AVERAGE(OFFSET($CC$3,0,0,'Données projet'!$E$12+1,1))-AVERAGE(OFFSET($H$3,0,0,'Données projet'!$E$12+1,1))</f>
        <v>159.92263609041913</v>
      </c>
      <c r="CE11" s="59">
        <f t="shared" si="40"/>
        <v>271.78119133009307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4.0628205128205126</v>
      </c>
      <c r="CT11" s="12">
        <f>IF('Données projet'!$A$140&gt;35,CT10+CS11-DB10,IF(A11&lt;'Données projet'!$A$140,$CQ$205^A11,IF(A11='Données projet'!$A$140,'Données projet'!$B$140,CT10+CS11-DB10)))</f>
        <v>3.5995900084872572</v>
      </c>
      <c r="CU11" s="17">
        <f>CT11*VLOOKUP('Données projet'!$B$13,Paramètres!$A$1:$I$89,3,0)*VLOOKUP('Données projet'!$B$13,Paramètres!$A$1:$I$89,5,0)</f>
        <v>3.2569090396792704</v>
      </c>
      <c r="CV11" s="13">
        <f t="shared" si="41"/>
        <v>1.3081788372653314</v>
      </c>
      <c r="CW11" s="20">
        <f t="shared" si="13"/>
        <v>7.9508613856785146</v>
      </c>
      <c r="CX11" s="59">
        <f t="shared" si="14"/>
        <v>301.28419471901185</v>
      </c>
      <c r="CY11" s="59">
        <f ca="1">AVERAGE(OFFSET($CX$3,0,0,'Données projet'!$E$13+1,1))-AVERAGE(OFFSET($H$3,0,0,'Données projet'!$E$13+1,1))</f>
        <v>280.25710840677186</v>
      </c>
      <c r="CZ11" s="59">
        <f t="shared" si="42"/>
        <v>209.65224013288037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</v>
      </c>
      <c r="DO11" s="12">
        <f>IF('Données projet'!$A$166&gt;35,DO10+DN11-DW10,IF(A11&lt;'Données projet'!$A$166,$DL$205^A11,IF(A11='Données projet'!$A$166,'Données projet'!$B$166,DO10+DN11-DW10)))</f>
        <v>14.7883049748087</v>
      </c>
      <c r="DP11" s="17">
        <f>DO11*VLOOKUP('Données projet'!$B$14,Paramètres!$A$1:$I$89,3,0)*VLOOKUP('Données projet'!$B$14,Paramètres!$A$1:$I$89,5,0)</f>
        <v>15.456736359670055</v>
      </c>
      <c r="DQ11" s="13">
        <f t="shared" si="43"/>
        <v>5.1791269009368985</v>
      </c>
      <c r="DR11" s="20">
        <f t="shared" si="16"/>
        <v>35.940795178890447</v>
      </c>
      <c r="DS11" s="59">
        <f t="shared" si="17"/>
        <v>329.27412851222374</v>
      </c>
      <c r="DT11" s="59">
        <f ca="1">AVERAGE(OFFSET($DS$3,0,0,'Données projet'!$E$14+1,1))-AVERAGE(OFFSET($H$3,0,0,'Données projet'!$E$14+1,1))</f>
        <v>330.14201227773452</v>
      </c>
      <c r="DU11" s="59">
        <f t="shared" si="44"/>
        <v>307.07297894926467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4.4615733451526163</v>
      </c>
      <c r="EL11" s="13">
        <f t="shared" si="45"/>
        <v>1.7275860727911023</v>
      </c>
      <c r="EM11" s="20">
        <f t="shared" si="19"/>
        <v>10.779452652918643</v>
      </c>
      <c r="EN11" s="59">
        <f t="shared" si="20"/>
        <v>304.11278598625194</v>
      </c>
      <c r="EO11" s="59">
        <f ca="1">AVERAGE(OFFSET($EN$3,0,0,'Données projet'!$E$15+1,1))-AVERAGE(OFFSET($H$3,0,0,'Données projet'!$E$15+1,1))</f>
        <v>183.30081488041924</v>
      </c>
      <c r="EP11" s="59">
        <f t="shared" si="46"/>
        <v>199.33099759570928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7.2264102564102561</v>
      </c>
      <c r="N12" s="13">
        <f>IF('Données projet'!$A$36&gt;35,N11+M12-V11,IF(A12&lt;'Données projet'!$A$36,$K$205^A12,IF(A12='Données projet'!$A$36,'Données projet'!$B$36,N11+M12-V11)))</f>
        <v>5.0212652126643498</v>
      </c>
      <c r="O12" s="13">
        <f>N12*VLOOKUP('Données projet'!$B$9,Paramètres!$A$1:$I$89,3,0)*VLOOKUP('Données projet'!$B$9,Paramètres!$A$1:$I$89,5,0)</f>
        <v>2.349952119526916</v>
      </c>
      <c r="P12" s="13">
        <f t="shared" si="33"/>
        <v>0.98043726379605944</v>
      </c>
      <c r="Q12" s="20">
        <f t="shared" si="2"/>
        <v>5.8004281759541811</v>
      </c>
      <c r="R12" s="59">
        <f t="shared" si="0"/>
        <v>299.13376150928752</v>
      </c>
      <c r="S12" s="59">
        <f ca="1">AVERAGE(OFFSET($R$3,0,0,'Données projet'!$E$9+1,1))-AVERAGE(OFFSET($H$3,0,0,'Données projet'!$E$9+1,1))</f>
        <v>205.73717397588365</v>
      </c>
      <c r="T12" s="59">
        <f t="shared" si="34"/>
        <v>190.64998698136026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283.73369613548124</v>
      </c>
      <c r="AO12" s="59">
        <f t="shared" si="36"/>
        <v>249.77804091581208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10.16068376068376</v>
      </c>
      <c r="BD12" s="12">
        <f>IF('Données projet'!$A$88&gt;35,BD11+BC12-BL11,IF(A12&lt;'Données projet'!$A$88,$BA$205^A12,IF(A12='Données projet'!$A$88,'Données projet'!$B$88,BD11+BC12-BL11)))</f>
        <v>13.523768250465828</v>
      </c>
      <c r="BE12" s="13">
        <f>BD12*VLOOKUP('Données projet'!$B$11,Paramètres!$A$1:$I$89,3,0)*VLOOKUP('Données projet'!$B$11,Paramètres!$A$1:$I$89,5,0)</f>
        <v>7.5597864520103979</v>
      </c>
      <c r="BF12" s="13">
        <f t="shared" si="37"/>
        <v>2.7529801730003816</v>
      </c>
      <c r="BG12" s="20">
        <f t="shared" si="7"/>
        <v>17.961401871893774</v>
      </c>
      <c r="BH12" s="59">
        <f t="shared" si="8"/>
        <v>311.29473520522708</v>
      </c>
      <c r="BI12" s="59">
        <f ca="1">AVERAGE(OFFSET($BH$3,0,0,'Données projet'!$E$11+1,1))-AVERAGE(OFFSET($H$3,0,0,'Données projet'!$E$11+1,1))</f>
        <v>278.5296012747549</v>
      </c>
      <c r="BJ12" s="59">
        <f t="shared" si="38"/>
        <v>370.55343097937077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9.6666666666666661</v>
      </c>
      <c r="BY12" s="12">
        <f>IF('Données projet'!$A$114&gt;35,BY11+BX12-CG11,IF(A12&lt;'Données projet'!$A$114,$BV$205^A12,IF(A12='Données projet'!$A$114,'Données projet'!$B$114,BY11+BX12-CG11)))</f>
        <v>35.346261970047209</v>
      </c>
      <c r="BZ12" s="13">
        <f>BY12*VLOOKUP('Données projet'!$B$12,Paramètres!$A$1:$I$89,3,0)*VLOOKUP('Données projet'!$B$12,Paramètres!$A$1:$I$89,5,0)</f>
        <v>19.299059035645776</v>
      </c>
      <c r="CA12" s="13">
        <f t="shared" si="39"/>
        <v>6.301613943558138</v>
      </c>
      <c r="CB12" s="20">
        <f t="shared" si="10"/>
        <v>44.587838772113486</v>
      </c>
      <c r="CC12" s="59">
        <f t="shared" si="11"/>
        <v>337.92117210544677</v>
      </c>
      <c r="CD12" s="59">
        <f ca="1">AVERAGE(OFFSET($CC$3,0,0,'Données projet'!$E$12+1,1))-AVERAGE(OFFSET($H$3,0,0,'Données projet'!$E$12+1,1))</f>
        <v>159.92263609041913</v>
      </c>
      <c r="CE12" s="59">
        <f t="shared" si="40"/>
        <v>271.78119133009307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4.0628205128205126</v>
      </c>
      <c r="CT12" s="12">
        <f>IF('Données projet'!$A$140&gt;35,CT11+CS12-DB11,IF(A12&lt;'Données projet'!$A$140,$CQ$205^A12,IF(A12='Données projet'!$A$140,'Données projet'!$B$140,CT11+CS12-DB11)))</f>
        <v>4.2245909793472531</v>
      </c>
      <c r="CU12" s="17">
        <f>CT12*VLOOKUP('Données projet'!$B$13,Paramètres!$A$1:$I$89,3,0)*VLOOKUP('Données projet'!$B$13,Paramètres!$A$1:$I$89,5,0)</f>
        <v>3.822409918113395</v>
      </c>
      <c r="CV12" s="13">
        <f t="shared" si="41"/>
        <v>1.5069722918446318</v>
      </c>
      <c r="CW12" s="20">
        <f t="shared" si="13"/>
        <v>9.2820073490102306</v>
      </c>
      <c r="CX12" s="59">
        <f t="shared" si="14"/>
        <v>302.61534068234357</v>
      </c>
      <c r="CY12" s="59">
        <f ca="1">AVERAGE(OFFSET($CX$3,0,0,'Données projet'!$E$13+1,1))-AVERAGE(OFFSET($H$3,0,0,'Données projet'!$E$13+1,1))</f>
        <v>280.25710840677186</v>
      </c>
      <c r="CZ12" s="59">
        <f t="shared" si="42"/>
        <v>209.65224013288037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</v>
      </c>
      <c r="DO12" s="12">
        <f>IF('Données projet'!$A$166&gt;35,DO11+DN12-DW11,IF(A12&lt;'Données projet'!$A$166,$DL$205^A12,IF(A12='Données projet'!$A$166,'Données projet'!$B$166,DO11+DN12-DW11)))</f>
        <v>20.708955653761308</v>
      </c>
      <c r="DP12" s="17">
        <f>DO12*VLOOKUP('Données projet'!$B$14,Paramètres!$A$1:$I$89,3,0)*VLOOKUP('Données projet'!$B$14,Paramètres!$A$1:$I$89,5,0)</f>
        <v>21.645000449311322</v>
      </c>
      <c r="DQ12" s="13">
        <f t="shared" si="43"/>
        <v>6.9738730841629319</v>
      </c>
      <c r="DR12" s="20">
        <f t="shared" si="16"/>
        <v>49.844538070800986</v>
      </c>
      <c r="DS12" s="59">
        <f t="shared" si="17"/>
        <v>343.17787140413429</v>
      </c>
      <c r="DT12" s="59">
        <f ca="1">AVERAGE(OFFSET($DS$3,0,0,'Données projet'!$E$14+1,1))-AVERAGE(OFFSET($H$3,0,0,'Données projet'!$E$14+1,1))</f>
        <v>330.14201227773452</v>
      </c>
      <c r="DU12" s="59">
        <f t="shared" si="44"/>
        <v>307.07297894926467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5.6705776966005823</v>
      </c>
      <c r="EL12" s="13">
        <f t="shared" si="45"/>
        <v>2.1352914049034637</v>
      </c>
      <c r="EM12" s="20">
        <f t="shared" si="19"/>
        <v>13.59522201845288</v>
      </c>
      <c r="EN12" s="59">
        <f t="shared" si="20"/>
        <v>306.9285553517862</v>
      </c>
      <c r="EO12" s="59">
        <f ca="1">AVERAGE(OFFSET($EN$3,0,0,'Données projet'!$E$15+1,1))-AVERAGE(OFFSET($H$3,0,0,'Données projet'!$E$15+1,1))</f>
        <v>183.30081488041924</v>
      </c>
      <c r="EP12" s="59">
        <f t="shared" si="46"/>
        <v>199.33099759570928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7.2264102564102561</v>
      </c>
      <c r="N13" s="13">
        <f>IF('Données projet'!$A$36&gt;35,N12+M13-V12,IF(A13&lt;'Données projet'!$A$36,$K$205^A13,IF(A13='Données projet'!$A$36,'Données projet'!$B$36,N12+M13-V12)))</f>
        <v>6.0073272306422343</v>
      </c>
      <c r="O13" s="13">
        <f>N13*VLOOKUP('Données projet'!$B$9,Paramètres!$A$1:$I$89,3,0)*VLOOKUP('Données projet'!$B$9,Paramètres!$A$1:$I$89,5,0)</f>
        <v>2.8114291439405656</v>
      </c>
      <c r="P13" s="13">
        <f t="shared" si="33"/>
        <v>1.1487462006075717</v>
      </c>
      <c r="Q13" s="20">
        <f t="shared" si="2"/>
        <v>6.8973053917546716</v>
      </c>
      <c r="R13" s="59">
        <f t="shared" si="0"/>
        <v>300.230638725088</v>
      </c>
      <c r="S13" s="59">
        <f ca="1">AVERAGE(OFFSET($R$3,0,0,'Données projet'!$E$9+1,1))-AVERAGE(OFFSET($H$3,0,0,'Données projet'!$E$9+1,1))</f>
        <v>205.73717397588365</v>
      </c>
      <c r="T13" s="59">
        <f t="shared" si="34"/>
        <v>190.64998698136026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283.73369613548124</v>
      </c>
      <c r="AO13" s="59">
        <f t="shared" si="36"/>
        <v>249.77804091581208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10.16068376068376</v>
      </c>
      <c r="BD13" s="12">
        <f>IF('Données projet'!$A$88&gt;35,BD12+BC13-BL12,IF(A13&lt;'Données projet'!$A$88,$BA$205^A13,IF(A13='Données projet'!$A$88,'Données projet'!$B$88,BD12+BC13-BL12)))</f>
        <v>18.062391208797656</v>
      </c>
      <c r="BE13" s="13">
        <f>BD13*VLOOKUP('Données projet'!$B$11,Paramètres!$A$1:$I$89,3,0)*VLOOKUP('Données projet'!$B$11,Paramètres!$A$1:$I$89,5,0)</f>
        <v>10.09687668571789</v>
      </c>
      <c r="BF13" s="13">
        <f t="shared" si="37"/>
        <v>3.5550993685619052</v>
      </c>
      <c r="BG13" s="20">
        <f t="shared" si="7"/>
        <v>23.777191627870639</v>
      </c>
      <c r="BH13" s="59">
        <f t="shared" si="8"/>
        <v>317.11052496120396</v>
      </c>
      <c r="BI13" s="59">
        <f ca="1">AVERAGE(OFFSET($BH$3,0,0,'Données projet'!$E$11+1,1))-AVERAGE(OFFSET($H$3,0,0,'Données projet'!$E$11+1,1))</f>
        <v>278.5296012747549</v>
      </c>
      <c r="BJ13" s="59">
        <f t="shared" si="38"/>
        <v>370.55343097937077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9.6666666666666661</v>
      </c>
      <c r="BY13" s="12">
        <f>IF('Données projet'!$A$114&gt;35,BY12+BX13-CG12,IF(A13&lt;'Données projet'!$A$114,$BV$205^A13,IF(A13='Données projet'!$A$114,'Données projet'!$B$114,BY12+BX13-CG12)))</f>
        <v>52.526886339207103</v>
      </c>
      <c r="BZ13" s="13">
        <f>BY13*VLOOKUP('Données projet'!$B$12,Paramètres!$A$1:$I$89,3,0)*VLOOKUP('Données projet'!$B$12,Paramètres!$A$1:$I$89,5,0)</f>
        <v>28.679679941207077</v>
      </c>
      <c r="CA13" s="13">
        <f t="shared" si="39"/>
        <v>8.9426187663684367</v>
      </c>
      <c r="CB13" s="20">
        <f t="shared" si="10"/>
        <v>65.525503582360685</v>
      </c>
      <c r="CC13" s="59">
        <f t="shared" si="11"/>
        <v>358.85883691569398</v>
      </c>
      <c r="CD13" s="59">
        <f ca="1">AVERAGE(OFFSET($CC$3,0,0,'Données projet'!$E$12+1,1))-AVERAGE(OFFSET($H$3,0,0,'Données projet'!$E$12+1,1))</f>
        <v>159.92263609041913</v>
      </c>
      <c r="CE13" s="59">
        <f t="shared" si="40"/>
        <v>271.78119133009307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4.0628205128205126</v>
      </c>
      <c r="CT13" s="12">
        <f>IF('Données projet'!$A$140&gt;35,CT12+CS13-DB12,IF(A13&lt;'Données projet'!$A$140,$CQ$205^A13,IF(A13='Données projet'!$A$140,'Données projet'!$B$140,CT12+CS13-DB12)))</f>
        <v>4.9581115906815549</v>
      </c>
      <c r="CU13" s="17">
        <f>CT13*VLOOKUP('Données projet'!$B$13,Paramètres!$A$1:$I$89,3,0)*VLOOKUP('Données projet'!$B$13,Paramètres!$A$1:$I$89,5,0)</f>
        <v>4.4860993672486709</v>
      </c>
      <c r="CV13" s="13">
        <f t="shared" si="41"/>
        <v>1.7359747946502311</v>
      </c>
      <c r="CW13" s="20">
        <f t="shared" si="13"/>
        <v>10.836779165307254</v>
      </c>
      <c r="CX13" s="59">
        <f t="shared" si="14"/>
        <v>304.17011249864055</v>
      </c>
      <c r="CY13" s="59">
        <f ca="1">AVERAGE(OFFSET($CX$3,0,0,'Données projet'!$E$13+1,1))-AVERAGE(OFFSET($H$3,0,0,'Données projet'!$E$13+1,1))</f>
        <v>280.25710840677186</v>
      </c>
      <c r="CZ13" s="59">
        <f t="shared" si="42"/>
        <v>209.65224013288037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29</v>
      </c>
      <c r="DM13" s="12">
        <f>VLOOKUP(A13,'Données projet'!$A$165:$I$185,9,0)</f>
        <v>2.9</v>
      </c>
      <c r="DN13" s="12">
        <f t="array" ref="DN13">INDEX(DM:DM,MIN(IF(ISNUMBER(DM13:DM209),ROW(DM13:DM209),"")))</f>
        <v>2.9</v>
      </c>
      <c r="DO13" s="12">
        <f>IF('Données projet'!$A$166&gt;35,DO12+DN13-DW12,IF(A13&lt;'Données projet'!$A$166,$DL$205^A13,IF(A13='Données projet'!$A$166,'Données projet'!$B$166,DO12+DN13-DW12)))</f>
        <v>29</v>
      </c>
      <c r="DP13" s="17">
        <f>DO13*VLOOKUP('Données projet'!$B$14,Paramètres!$A$1:$I$89,3,0)*VLOOKUP('Données projet'!$B$14,Paramètres!$A$1:$I$89,5,0)</f>
        <v>30.3108</v>
      </c>
      <c r="DQ13" s="13">
        <f t="shared" si="43"/>
        <v>9.3905607497692607</v>
      </c>
      <c r="DR13" s="20">
        <f t="shared" si="16"/>
        <v>69.146536639181463</v>
      </c>
      <c r="DS13" s="59">
        <f t="shared" si="17"/>
        <v>362.47986997251479</v>
      </c>
      <c r="DT13" s="59">
        <f ca="1">AVERAGE(OFFSET($DS$3,0,0,'Données projet'!$E$14+1,1))-AVERAGE(OFFSET($H$3,0,0,'Données projet'!$E$14+1,1))</f>
        <v>330.14201227773452</v>
      </c>
      <c r="DU13" s="59">
        <f t="shared" si="44"/>
        <v>307.07297894926467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7.2072000000000003</v>
      </c>
      <c r="EL13" s="13">
        <f t="shared" si="45"/>
        <v>2.6392140198770462</v>
      </c>
      <c r="EM13" s="20">
        <f t="shared" si="19"/>
        <v>17.149171084619187</v>
      </c>
      <c r="EN13" s="59">
        <f t="shared" si="20"/>
        <v>310.4825044179525</v>
      </c>
      <c r="EO13" s="59">
        <f ca="1">AVERAGE(OFFSET($EN$3,0,0,'Données projet'!$E$15+1,1))-AVERAGE(OFFSET($H$3,0,0,'Données projet'!$E$15+1,1))</f>
        <v>183.30081488041924</v>
      </c>
      <c r="EP13" s="59">
        <f t="shared" si="46"/>
        <v>199.33099759570928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1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4.3000000000000003E-2</v>
      </c>
      <c r="EU13" s="16">
        <f>IF(ISNA(VLOOKUP(A13,'Données projet'!$A$191:$I$211,7,0)),0%,VLOOKUP(A13,'Données projet'!$A$191:$I$211,7,0))</f>
        <v>0.3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3.1022450236522271E-2</v>
      </c>
      <c r="EX13" s="21">
        <f>EXP(-LN(2)/2)*EX12+(1-EXP(-LN(2)/2))/(LN(2)/2)*ER13*EU13*VLOOKUP('Données projet'!$B$15,Paramètres!$A$1:$I$89,3,0)*0.475*44/12</f>
        <v>0.18545965033483505</v>
      </c>
      <c r="EY13" s="22">
        <f t="shared" si="21"/>
        <v>0.21648210057135733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7.2264102564102561</v>
      </c>
      <c r="N14" s="13">
        <f>IF('Données projet'!$A$36&gt;35,N13+M14-V13,IF(A14&lt;'Données projet'!$A$36,$K$205^A14,IF(A14='Données projet'!$A$36,'Données projet'!$B$36,N13+M14-V13)))</f>
        <v>7.1870293496939057</v>
      </c>
      <c r="O14" s="13">
        <f>N14*VLOOKUP('Données projet'!$B$9,Paramètres!$A$1:$I$89,3,0)*VLOOKUP('Données projet'!$B$9,Paramètres!$A$1:$I$89,5,0)</f>
        <v>3.3635297356567477</v>
      </c>
      <c r="P14" s="13">
        <f t="shared" si="33"/>
        <v>1.3459482642479659</v>
      </c>
      <c r="Q14" s="20">
        <f t="shared" si="2"/>
        <v>8.2023408498340427</v>
      </c>
      <c r="R14" s="59">
        <f t="shared" si="0"/>
        <v>301.53567418316737</v>
      </c>
      <c r="S14" s="59">
        <f ca="1">AVERAGE(OFFSET($R$3,0,0,'Données projet'!$E$9+1,1))-AVERAGE(OFFSET($H$3,0,0,'Données projet'!$E$9+1,1))</f>
        <v>205.73717397588365</v>
      </c>
      <c r="T14" s="59">
        <f t="shared" si="34"/>
        <v>190.64998698136026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283.73369613548124</v>
      </c>
      <c r="AO14" s="59">
        <f t="shared" si="36"/>
        <v>249.77804091581208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10.16068376068376</v>
      </c>
      <c r="BD14" s="12">
        <f>IF('Données projet'!$A$88&gt;35,BD13+BC14-BL13,IF(A14&lt;'Données projet'!$A$88,$BA$205^A14,IF(A14='Données projet'!$A$88,'Données projet'!$B$88,BD13+BC14-BL13)))</f>
        <v>24.124191581618767</v>
      </c>
      <c r="BE14" s="13">
        <f>BD14*VLOOKUP('Données projet'!$B$11,Paramètres!$A$1:$I$89,3,0)*VLOOKUP('Données projet'!$B$11,Paramètres!$A$1:$I$89,5,0)</f>
        <v>13.48542309412489</v>
      </c>
      <c r="BF14" s="13">
        <f t="shared" si="37"/>
        <v>4.5909271865822117</v>
      </c>
      <c r="BG14" s="20">
        <f t="shared" si="7"/>
        <v>31.482976738898202</v>
      </c>
      <c r="BH14" s="59">
        <f t="shared" si="8"/>
        <v>324.81631007223154</v>
      </c>
      <c r="BI14" s="59">
        <f ca="1">AVERAGE(OFFSET($BH$3,0,0,'Données projet'!$E$11+1,1))-AVERAGE(OFFSET($H$3,0,0,'Données projet'!$E$11+1,1))</f>
        <v>278.5296012747549</v>
      </c>
      <c r="BJ14" s="59">
        <f t="shared" si="38"/>
        <v>370.55343097937077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9.6666666666666661</v>
      </c>
      <c r="BY14" s="12">
        <f>IF('Données projet'!$A$114&gt;35,BY13+BX14-CG13,IF(A14&lt;'Données projet'!$A$114,$BV$205^A14,IF(A14='Données projet'!$A$114,'Données projet'!$B$114,BY13+BX14-CG13)))</f>
        <v>78.058432057965561</v>
      </c>
      <c r="BZ14" s="13">
        <f>BY14*VLOOKUP('Données projet'!$B$12,Paramètres!$A$1:$I$89,3,0)*VLOOKUP('Données projet'!$B$12,Paramètres!$A$1:$I$89,5,0)</f>
        <v>42.619903903649202</v>
      </c>
      <c r="CA14" s="13">
        <f t="shared" si="39"/>
        <v>12.690468047849112</v>
      </c>
      <c r="CB14" s="20">
        <f t="shared" si="10"/>
        <v>96.332231148859549</v>
      </c>
      <c r="CC14" s="59">
        <f t="shared" si="11"/>
        <v>389.66556448219285</v>
      </c>
      <c r="CD14" s="59">
        <f ca="1">AVERAGE(OFFSET($CC$3,0,0,'Données projet'!$E$12+1,1))-AVERAGE(OFFSET($H$3,0,0,'Données projet'!$E$12+1,1))</f>
        <v>159.92263609041913</v>
      </c>
      <c r="CE14" s="59">
        <f t="shared" si="40"/>
        <v>271.78119133009307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4.0628205128205126</v>
      </c>
      <c r="CT14" s="12">
        <f>IF('Données projet'!$A$140&gt;35,CT13+CS14-DB13,IF(A14&lt;'Données projet'!$A$140,$CQ$205^A14,IF(A14='Données projet'!$A$140,'Données projet'!$B$140,CT13+CS14-DB13)))</f>
        <v>5.8189942330107201</v>
      </c>
      <c r="CU14" s="17">
        <f>CT14*VLOOKUP('Données projet'!$B$13,Paramètres!$A$1:$I$89,3,0)*VLOOKUP('Données projet'!$B$13,Paramètres!$A$1:$I$89,5,0)</f>
        <v>5.2650259820280993</v>
      </c>
      <c r="CV14" s="13">
        <f t="shared" si="41"/>
        <v>1.9997769726555885</v>
      </c>
      <c r="CW14" s="20">
        <f t="shared" si="13"/>
        <v>12.65286514607409</v>
      </c>
      <c r="CX14" s="59">
        <f t="shared" si="14"/>
        <v>305.98619847940739</v>
      </c>
      <c r="CY14" s="59">
        <f ca="1">AVERAGE(OFFSET($CX$3,0,0,'Données projet'!$E$13+1,1))-AVERAGE(OFFSET($H$3,0,0,'Données projet'!$E$13+1,1))</f>
        <v>280.25710840677186</v>
      </c>
      <c r="CZ14" s="59">
        <f t="shared" si="42"/>
        <v>209.65224013288037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8.8000000000000007</v>
      </c>
      <c r="DO14" s="12">
        <f>IF('Données projet'!$A$166&gt;35,DO13+DN14-DW13,IF(A14&lt;'Données projet'!$A$166,$DL$205^A14,IF(A14='Données projet'!$A$166,'Données projet'!$B$166,DO13+DN14-DW13)))</f>
        <v>37.799999999999997</v>
      </c>
      <c r="DP14" s="17">
        <f>DO14*VLOOKUP('Données projet'!$B$14,Paramètres!$A$1:$I$89,3,0)*VLOOKUP('Données projet'!$B$14,Paramètres!$A$1:$I$89,5,0)</f>
        <v>39.508560000000003</v>
      </c>
      <c r="DQ14" s="13">
        <f t="shared" si="43"/>
        <v>11.868297112841578</v>
      </c>
      <c r="DR14" s="20">
        <f t="shared" si="16"/>
        <v>89.481359471532414</v>
      </c>
      <c r="DS14" s="59">
        <f t="shared" si="17"/>
        <v>382.81469280486573</v>
      </c>
      <c r="DT14" s="59">
        <f ca="1">AVERAGE(OFFSET($DS$3,0,0,'Données projet'!$E$14+1,1))-AVERAGE(OFFSET($H$3,0,0,'Données projet'!$E$14+1,1))</f>
        <v>330.14201227773452</v>
      </c>
      <c r="DU14" s="59">
        <f t="shared" si="44"/>
        <v>307.07297894926467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6.8</v>
      </c>
      <c r="EJ14" s="12">
        <f>IF('Données projet'!$A$192&gt;35,EJ13+EI14-ER13,IF(A14&lt;'Données projet'!$A$192,$EG$205^A14,IF(A14='Données projet'!$A$192,'Données projet'!$B$192,EJ13+EI14-ER13)))</f>
        <v>16.8</v>
      </c>
      <c r="EK14" s="17">
        <f>EJ14*VLOOKUP('Données projet'!$B$15,Paramètres!$A$1:$I$89,3,0)*VLOOKUP('Données projet'!$B$15,Paramètres!$A$1:$I$89,5,0)</f>
        <v>11.00736</v>
      </c>
      <c r="EL14" s="13">
        <f t="shared" si="45"/>
        <v>3.8369250365307539</v>
      </c>
      <c r="EM14" s="20">
        <f t="shared" si="19"/>
        <v>25.853796438624396</v>
      </c>
      <c r="EN14" s="59">
        <f t="shared" si="20"/>
        <v>319.1871297719577</v>
      </c>
      <c r="EO14" s="59">
        <f ca="1">AVERAGE(OFFSET($EN$3,0,0,'Données projet'!$E$15+1,1))-AVERAGE(OFFSET($H$3,0,0,'Données projet'!$E$15+1,1))</f>
        <v>183.30081488041924</v>
      </c>
      <c r="EP14" s="59">
        <f t="shared" si="46"/>
        <v>199.33099759570928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3.0174139703404813E-2</v>
      </c>
      <c r="EX14" s="21">
        <f>EXP(-LN(2)/2)*EX13+(1-EXP(-LN(2)/2))/(LN(2)/2)*ER14*EU14*VLOOKUP('Données projet'!$B$15,Paramètres!$A$1:$I$89,3,0)*0.475*44/12</f>
        <v>0.13113977638824784</v>
      </c>
      <c r="EY14" s="22">
        <f t="shared" si="21"/>
        <v>0.16131391609165266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7.2264102564102561</v>
      </c>
      <c r="N15" s="13">
        <f>IF('Données projet'!$A$36&gt;35,N14+M15-V14,IF(A15&lt;'Données projet'!$A$36,$K$205^A15,IF(A15='Données projet'!$A$36,'Données projet'!$B$36,N14+M15-V14)))</f>
        <v>8.5983980712566286</v>
      </c>
      <c r="O15" s="13">
        <f>N15*VLOOKUP('Données projet'!$B$9,Paramètres!$A$1:$I$89,3,0)*VLOOKUP('Données projet'!$B$9,Paramètres!$A$1:$I$89,5,0)</f>
        <v>4.0240502973481025</v>
      </c>
      <c r="P15" s="13">
        <f t="shared" si="33"/>
        <v>1.5770034573990057</v>
      </c>
      <c r="Q15" s="20">
        <f t="shared" si="2"/>
        <v>9.7551686228512136</v>
      </c>
      <c r="R15" s="59">
        <f t="shared" si="0"/>
        <v>303.08850195618453</v>
      </c>
      <c r="S15" s="59">
        <f ca="1">AVERAGE(OFFSET($R$3,0,0,'Données projet'!$E$9+1,1))-AVERAGE(OFFSET($H$3,0,0,'Données projet'!$E$9+1,1))</f>
        <v>205.73717397588365</v>
      </c>
      <c r="T15" s="59">
        <f t="shared" si="34"/>
        <v>190.64998698136026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283.73369613548124</v>
      </c>
      <c r="AO15" s="59">
        <f t="shared" si="36"/>
        <v>249.77804091581208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10.16068376068376</v>
      </c>
      <c r="BD15" s="12">
        <f>IF('Données projet'!$A$88&gt;35,BD14+BC15-BL14,IF(A15&lt;'Données projet'!$A$88,$BA$205^A15,IF(A15='Données projet'!$A$88,'Données projet'!$B$88,BD14+BC15-BL14)))</f>
        <v>32.220352927755336</v>
      </c>
      <c r="BE15" s="13">
        <f>BD15*VLOOKUP('Données projet'!$B$11,Paramètres!$A$1:$I$89,3,0)*VLOOKUP('Données projet'!$B$11,Paramètres!$A$1:$I$89,5,0)</f>
        <v>18.011177286615233</v>
      </c>
      <c r="BF15" s="13">
        <f t="shared" si="37"/>
        <v>5.9285578959851977</v>
      </c>
      <c r="BG15" s="20">
        <f t="shared" si="7"/>
        <v>41.695038776362409</v>
      </c>
      <c r="BH15" s="59">
        <f t="shared" si="8"/>
        <v>335.02837210969574</v>
      </c>
      <c r="BI15" s="59">
        <f ca="1">AVERAGE(OFFSET($BH$3,0,0,'Données projet'!$E$11+1,1))-AVERAGE(OFFSET($H$3,0,0,'Données projet'!$E$11+1,1))</f>
        <v>278.5296012747549</v>
      </c>
      <c r="BJ15" s="59">
        <f t="shared" si="38"/>
        <v>370.55343097937077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116</v>
      </c>
      <c r="BW15" s="12">
        <f>VLOOKUP(A15,'Données projet'!$A$113:$I$133,9,0)</f>
        <v>9.6666666666666661</v>
      </c>
      <c r="BX15" s="12">
        <f t="array" ref="BX15">INDEX(BW:BW,MIN(IF(ISNUMBER(BW15:BW211),ROW(BW15:BW211),"")))</f>
        <v>9.6666666666666661</v>
      </c>
      <c r="BY15" s="12">
        <f>IF('Données projet'!$A$114&gt;35,BY14+BX15-CG14,IF(A15&lt;'Données projet'!$A$114,$BV$205^A15,IF(A15='Données projet'!$A$114,'Données projet'!$B$114,BY14+BX15-CG14)))</f>
        <v>116</v>
      </c>
      <c r="BZ15" s="13">
        <f>BY15*VLOOKUP('Données projet'!$B$12,Paramètres!$A$1:$I$89,3,0)*VLOOKUP('Données projet'!$B$12,Paramètres!$A$1:$I$89,5,0)</f>
        <v>63.335999999999999</v>
      </c>
      <c r="CA15" s="13">
        <f t="shared" si="39"/>
        <v>18.009040022946227</v>
      </c>
      <c r="CB15" s="20">
        <f t="shared" si="10"/>
        <v>141.67594470663133</v>
      </c>
      <c r="CC15" s="59">
        <f t="shared" si="11"/>
        <v>435.00927803996467</v>
      </c>
      <c r="CD15" s="59">
        <f ca="1">AVERAGE(OFFSET($CC$3,0,0,'Données projet'!$E$12+1,1))-AVERAGE(OFFSET($H$3,0,0,'Données projet'!$E$12+1,1))</f>
        <v>159.92263609041913</v>
      </c>
      <c r="CE15" s="59">
        <f t="shared" si="40"/>
        <v>271.78119133009307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21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0.42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6.363209560142475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6.363209560142475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4.0628205128205126</v>
      </c>
      <c r="CT15" s="12">
        <f>IF('Données projet'!$A$140&gt;35,CT14+CS15-DB14,IF(A15&lt;'Données projet'!$A$140,$CQ$205^A15,IF(A15='Données projet'!$A$140,'Données projet'!$B$140,CT14+CS15-DB14)))</f>
        <v>6.8293529228851897</v>
      </c>
      <c r="CU15" s="17">
        <f>CT15*VLOOKUP('Données projet'!$B$13,Paramètres!$A$1:$I$89,3,0)*VLOOKUP('Données projet'!$B$13,Paramètres!$A$1:$I$89,5,0)</f>
        <v>6.1791985246265195</v>
      </c>
      <c r="CV15" s="13">
        <f t="shared" si="41"/>
        <v>2.3036670536275285</v>
      </c>
      <c r="CW15" s="20">
        <f t="shared" si="13"/>
        <v>14.774324215459131</v>
      </c>
      <c r="CX15" s="59">
        <f t="shared" si="14"/>
        <v>308.10765754879242</v>
      </c>
      <c r="CY15" s="59">
        <f ca="1">AVERAGE(OFFSET($CX$3,0,0,'Données projet'!$E$13+1,1))-AVERAGE(OFFSET($H$3,0,0,'Données projet'!$E$13+1,1))</f>
        <v>280.25710840677186</v>
      </c>
      <c r="CZ15" s="59">
        <f t="shared" si="42"/>
        <v>209.65224013288037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8.8000000000000007</v>
      </c>
      <c r="DO15" s="12">
        <f>IF('Données projet'!$A$166&gt;35,DO14+DN15-DW14,IF(A15&lt;'Données projet'!$A$166,$DL$205^A15,IF(A15='Données projet'!$A$166,'Données projet'!$B$166,DO14+DN15-DW14)))</f>
        <v>46.599999999999994</v>
      </c>
      <c r="DP15" s="17">
        <f>DO15*VLOOKUP('Données projet'!$B$14,Paramètres!$A$1:$I$89,3,0)*VLOOKUP('Données projet'!$B$14,Paramètres!$A$1:$I$89,5,0)</f>
        <v>48.706319999999998</v>
      </c>
      <c r="DQ15" s="13">
        <f t="shared" si="43"/>
        <v>14.279153150480225</v>
      </c>
      <c r="DR15" s="20">
        <f t="shared" si="16"/>
        <v>109.69969907041973</v>
      </c>
      <c r="DS15" s="59">
        <f t="shared" si="17"/>
        <v>403.03303240375305</v>
      </c>
      <c r="DT15" s="59">
        <f ca="1">AVERAGE(OFFSET($DS$3,0,0,'Données projet'!$E$14+1,1))-AVERAGE(OFFSET($H$3,0,0,'Données projet'!$E$14+1,1))</f>
        <v>330.14201227773452</v>
      </c>
      <c r="DU15" s="59">
        <f t="shared" si="44"/>
        <v>307.07297894926467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6.8</v>
      </c>
      <c r="EJ15" s="12">
        <f>IF('Données projet'!$A$192&gt;35,EJ14+EI15-ER14,IF(A15&lt;'Données projet'!$A$192,$EG$205^A15,IF(A15='Données projet'!$A$192,'Données projet'!$B$192,EJ14+EI15-ER14)))</f>
        <v>23.6</v>
      </c>
      <c r="EK15" s="17">
        <f>EJ15*VLOOKUP('Données projet'!$B$15,Paramètres!$A$1:$I$89,3,0)*VLOOKUP('Données projet'!$B$15,Paramètres!$A$1:$I$89,5,0)</f>
        <v>15.462720000000001</v>
      </c>
      <c r="EL15" s="13">
        <f t="shared" si="45"/>
        <v>5.1808984376512361</v>
      </c>
      <c r="EM15" s="20">
        <f t="shared" si="19"/>
        <v>35.954302112242566</v>
      </c>
      <c r="EN15" s="59">
        <f t="shared" si="20"/>
        <v>329.28763544557586</v>
      </c>
      <c r="EO15" s="59">
        <f ca="1">AVERAGE(OFFSET($EN$3,0,0,'Données projet'!$E$15+1,1))-AVERAGE(OFFSET($H$3,0,0,'Données projet'!$E$15+1,1))</f>
        <v>183.30081488041924</v>
      </c>
      <c r="EP15" s="59">
        <f t="shared" si="46"/>
        <v>199.33099759570928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2.9349026266426166E-2</v>
      </c>
      <c r="EX15" s="21">
        <f>EXP(-LN(2)/2)*EX14+(1-EXP(-LN(2)/2))/(LN(2)/2)*ER15*EU15*VLOOKUP('Données projet'!$B$15,Paramètres!$A$1:$I$89,3,0)*0.475*44/12</f>
        <v>9.272982516741754E-2</v>
      </c>
      <c r="EY15" s="22">
        <f t="shared" si="21"/>
        <v>0.1220788514338437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7.2264102564102561</v>
      </c>
      <c r="N16" s="13">
        <f>IF('Données projet'!$A$36&gt;35,N15+M16-V15,IF(A16&lt;'Données projet'!$A$36,$K$205^A16,IF(A16='Données projet'!$A$36,'Données projet'!$B$36,N15+M16-V15)))</f>
        <v>10.286927434759741</v>
      </c>
      <c r="O16" s="13">
        <f>N16*VLOOKUP('Données projet'!$B$9,Paramètres!$A$1:$I$89,3,0)*VLOOKUP('Données projet'!$B$9,Paramètres!$A$1:$I$89,5,0)</f>
        <v>4.8142820394675585</v>
      </c>
      <c r="P16" s="13">
        <f t="shared" si="33"/>
        <v>1.8477232526006253</v>
      </c>
      <c r="Q16" s="20">
        <f t="shared" si="2"/>
        <v>11.602992550352086</v>
      </c>
      <c r="R16" s="59">
        <f t="shared" si="0"/>
        <v>304.93632588368541</v>
      </c>
      <c r="S16" s="59">
        <f ca="1">AVERAGE(OFFSET($R$3,0,0,'Données projet'!$E$9+1,1))-AVERAGE(OFFSET($H$3,0,0,'Données projet'!$E$9+1,1))</f>
        <v>205.73717397588365</v>
      </c>
      <c r="T16" s="59">
        <f t="shared" si="34"/>
        <v>190.64998698136026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283.73369613548124</v>
      </c>
      <c r="AO16" s="59">
        <f t="shared" si="36"/>
        <v>249.77804091581208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10.16068376068376</v>
      </c>
      <c r="BD16" s="12">
        <f>IF('Données projet'!$A$88&gt;35,BD15+BC16-BL15,IF(A16&lt;'Données projet'!$A$88,$BA$205^A16,IF(A16='Données projet'!$A$88,'Données projet'!$B$88,BD15+BC16-BL15)))</f>
        <v>43.033613759729988</v>
      </c>
      <c r="BE16" s="13">
        <f>BD16*VLOOKUP('Données projet'!$B$11,Paramètres!$A$1:$I$89,3,0)*VLOOKUP('Données projet'!$B$11,Paramètres!$A$1:$I$89,5,0)</f>
        <v>24.055790091689062</v>
      </c>
      <c r="BF16" s="13">
        <f t="shared" si="37"/>
        <v>7.6559259813080898</v>
      </c>
      <c r="BG16" s="20">
        <f t="shared" si="7"/>
        <v>55.231238827136707</v>
      </c>
      <c r="BH16" s="59">
        <f t="shared" si="8"/>
        <v>348.56457216046999</v>
      </c>
      <c r="BI16" s="59">
        <f ca="1">AVERAGE(OFFSET($BH$3,0,0,'Données projet'!$E$11+1,1))-AVERAGE(OFFSET($H$3,0,0,'Données projet'!$E$11+1,1))</f>
        <v>278.5296012747549</v>
      </c>
      <c r="BJ16" s="59">
        <f t="shared" si="38"/>
        <v>370.55343097937077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24.333333333333332</v>
      </c>
      <c r="BY16" s="12">
        <f>IF('Données projet'!$A$114&gt;35,BY15+BX16-CG15,IF(A16&lt;'Données projet'!$A$114,$BV$205^A16,IF(A16='Données projet'!$A$114,'Données projet'!$B$114,BY15+BX16-CG15)))</f>
        <v>119.33333333333334</v>
      </c>
      <c r="BZ16" s="13">
        <f>BY16*VLOOKUP('Données projet'!$B$12,Paramètres!$A$1:$I$89,3,0)*VLOOKUP('Données projet'!$B$12,Paramètres!$A$1:$I$89,5,0)</f>
        <v>65.156000000000006</v>
      </c>
      <c r="CA16" s="13">
        <f t="shared" si="39"/>
        <v>18.465547360043153</v>
      </c>
      <c r="CB16" s="20">
        <f t="shared" si="10"/>
        <v>145.64086165207519</v>
      </c>
      <c r="CC16" s="59">
        <f t="shared" si="11"/>
        <v>438.97419498540853</v>
      </c>
      <c r="CD16" s="59">
        <f ca="1">AVERAGE(OFFSET($CC$3,0,0,'Données projet'!$E$12+1,1))-AVERAGE(OFFSET($H$3,0,0,'Données projet'!$E$12+1,1))</f>
        <v>159.92263609041913</v>
      </c>
      <c r="CE16" s="59">
        <f t="shared" si="40"/>
        <v>271.78119133009307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6.1892072600937311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6.1892072600937311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4.0628205128205126</v>
      </c>
      <c r="CT16" s="12">
        <f>IF('Données projet'!$A$140&gt;35,CT15+CS16-DB15,IF(A16&lt;'Données projet'!$A$140,$CQ$205^A16,IF(A16='Données projet'!$A$140,'Données projet'!$B$140,CT15+CS16-DB15)))</f>
        <v>8.0151413590917304</v>
      </c>
      <c r="CU16" s="17">
        <f>CT16*VLOOKUP('Données projet'!$B$13,Paramètres!$A$1:$I$89,3,0)*VLOOKUP('Données projet'!$B$13,Paramètres!$A$1:$I$89,5,0)</f>
        <v>7.2520999017061971</v>
      </c>
      <c r="CV16" s="13">
        <f t="shared" si="41"/>
        <v>2.6537368749284589</v>
      </c>
      <c r="CW16" s="20">
        <f t="shared" si="13"/>
        <v>17.252665719305359</v>
      </c>
      <c r="CX16" s="59">
        <f t="shared" si="14"/>
        <v>310.58599905263867</v>
      </c>
      <c r="CY16" s="59">
        <f ca="1">AVERAGE(OFFSET($CX$3,0,0,'Données projet'!$E$13+1,1))-AVERAGE(OFFSET($H$3,0,0,'Données projet'!$E$13+1,1))</f>
        <v>280.25710840677186</v>
      </c>
      <c r="CZ16" s="59">
        <f t="shared" si="42"/>
        <v>209.65224013288037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8.8000000000000007</v>
      </c>
      <c r="DO16" s="12">
        <f>IF('Données projet'!$A$166&gt;35,DO15+DN16-DW15,IF(A16&lt;'Données projet'!$A$166,$DL$205^A16,IF(A16='Données projet'!$A$166,'Données projet'!$B$166,DO15+DN16-DW15)))</f>
        <v>55.399999999999991</v>
      </c>
      <c r="DP16" s="17">
        <f>DO16*VLOOKUP('Données projet'!$B$14,Paramètres!$A$1:$I$89,3,0)*VLOOKUP('Données projet'!$B$14,Paramètres!$A$1:$I$89,5,0)</f>
        <v>57.904079999999993</v>
      </c>
      <c r="DQ16" s="13">
        <f t="shared" si="43"/>
        <v>16.637263069387522</v>
      </c>
      <c r="DR16" s="20">
        <f t="shared" si="16"/>
        <v>129.82617251251659</v>
      </c>
      <c r="DS16" s="59">
        <f t="shared" si="17"/>
        <v>423.15950584584994</v>
      </c>
      <c r="DT16" s="59">
        <f ca="1">AVERAGE(OFFSET($DS$3,0,0,'Données projet'!$E$14+1,1))-AVERAGE(OFFSET($H$3,0,0,'Données projet'!$E$14+1,1))</f>
        <v>330.14201227773452</v>
      </c>
      <c r="DU16" s="59">
        <f t="shared" si="44"/>
        <v>307.07297894926467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6.8</v>
      </c>
      <c r="EJ16" s="12">
        <f>IF('Données projet'!$A$192&gt;35,EJ15+EI16-ER15,IF(A16&lt;'Données projet'!$A$192,$EG$205^A16,IF(A16='Données projet'!$A$192,'Données projet'!$B$192,EJ15+EI16-ER15)))</f>
        <v>30.400000000000002</v>
      </c>
      <c r="EK16" s="17">
        <f>EJ16*VLOOKUP('Données projet'!$B$15,Paramètres!$A$1:$I$89,3,0)*VLOOKUP('Données projet'!$B$15,Paramètres!$A$1:$I$89,5,0)</f>
        <v>19.918080000000003</v>
      </c>
      <c r="EL16" s="13">
        <f t="shared" si="45"/>
        <v>6.4798825087607046</v>
      </c>
      <c r="EM16" s="20">
        <f t="shared" si="19"/>
        <v>45.976451369424893</v>
      </c>
      <c r="EN16" s="59">
        <f t="shared" si="20"/>
        <v>339.30978470275818</v>
      </c>
      <c r="EO16" s="59">
        <f ca="1">AVERAGE(OFFSET($EN$3,0,0,'Données projet'!$E$15+1,1))-AVERAGE(OFFSET($H$3,0,0,'Données projet'!$E$15+1,1))</f>
        <v>183.30081488041924</v>
      </c>
      <c r="EP16" s="59">
        <f t="shared" si="46"/>
        <v>199.33099759570928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2.8546475599772528E-2</v>
      </c>
      <c r="EX16" s="21">
        <f>EXP(-LN(2)/2)*EX15+(1-EXP(-LN(2)/2))/(LN(2)/2)*ER16*EU16*VLOOKUP('Données projet'!$B$15,Paramètres!$A$1:$I$89,3,0)*0.475*44/12</f>
        <v>6.5569888194123932E-2</v>
      </c>
      <c r="EY16" s="22">
        <f t="shared" si="21"/>
        <v>9.4116363793896457E-2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7.2264102564102561</v>
      </c>
      <c r="N17" s="13">
        <f>IF('Données projet'!$A$36&gt;35,N16+M17-V16,IF(A17&lt;'Données projet'!$A$36,$K$205^A17,IF(A17='Données projet'!$A$36,'Données projet'!$B$36,N16+M17-V16)))</f>
        <v>12.307045471848836</v>
      </c>
      <c r="O17" s="13">
        <f>N17*VLOOKUP('Données projet'!$B$9,Paramètres!$A$1:$I$89,3,0)*VLOOKUP('Données projet'!$B$9,Paramètres!$A$1:$I$89,5,0)</f>
        <v>5.7596972808252556</v>
      </c>
      <c r="P17" s="13">
        <f t="shared" si="33"/>
        <v>2.1649167617120959</v>
      </c>
      <c r="Q17" s="20">
        <f t="shared" si="2"/>
        <v>13.802036124085888</v>
      </c>
      <c r="R17" s="59">
        <f t="shared" si="0"/>
        <v>307.13536945741919</v>
      </c>
      <c r="S17" s="59">
        <f ca="1">AVERAGE(OFFSET($R$3,0,0,'Données projet'!$E$9+1,1))-AVERAGE(OFFSET($H$3,0,0,'Données projet'!$E$9+1,1))</f>
        <v>205.73717397588365</v>
      </c>
      <c r="T17" s="59">
        <f t="shared" si="34"/>
        <v>190.64998698136026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283.73369613548124</v>
      </c>
      <c r="AO17" s="59">
        <f t="shared" si="36"/>
        <v>249.77804091581208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10.16068376068376</v>
      </c>
      <c r="BD17" s="12">
        <f>IF('Données projet'!$A$88&gt;35,BD16+BC17-BL16,IF(A17&lt;'Données projet'!$A$88,$BA$205^A17,IF(A17='Données projet'!$A$88,'Données projet'!$B$88,BD16+BC17-BL16)))</f>
        <v>57.475841973982881</v>
      </c>
      <c r="BE17" s="13">
        <f>BD17*VLOOKUP('Données projet'!$B$11,Paramètres!$A$1:$I$89,3,0)*VLOOKUP('Données projet'!$B$11,Paramètres!$A$1:$I$89,5,0)</f>
        <v>32.128995663456436</v>
      </c>
      <c r="BF17" s="13">
        <f t="shared" si="37"/>
        <v>9.8865868664217604</v>
      </c>
      <c r="BG17" s="20">
        <f t="shared" si="7"/>
        <v>73.177139572871184</v>
      </c>
      <c r="BH17" s="59">
        <f t="shared" si="8"/>
        <v>366.51047290620448</v>
      </c>
      <c r="BI17" s="59">
        <f ca="1">AVERAGE(OFFSET($BH$3,0,0,'Données projet'!$E$11+1,1))-AVERAGE(OFFSET($H$3,0,0,'Données projet'!$E$11+1,1))</f>
        <v>278.5296012747549</v>
      </c>
      <c r="BJ17" s="59">
        <f t="shared" si="38"/>
        <v>370.55343097937077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24.333333333333332</v>
      </c>
      <c r="BY17" s="12">
        <f>IF('Données projet'!$A$114&gt;35,BY16+BX17-CG16,IF(A17&lt;'Données projet'!$A$114,$BV$205^A17,IF(A17='Données projet'!$A$114,'Données projet'!$B$114,BY16+BX17-CG16)))</f>
        <v>143.66666666666669</v>
      </c>
      <c r="BZ17" s="13">
        <f>BY17*VLOOKUP('Données projet'!$B$12,Paramètres!$A$1:$I$89,3,0)*VLOOKUP('Données projet'!$B$12,Paramètres!$A$1:$I$89,5,0)</f>
        <v>78.442000000000007</v>
      </c>
      <c r="CA17" s="13">
        <f t="shared" si="39"/>
        <v>21.755810093736013</v>
      </c>
      <c r="CB17" s="20">
        <f t="shared" si="10"/>
        <v>174.5111859132569</v>
      </c>
      <c r="CC17" s="59">
        <f t="shared" si="11"/>
        <v>467.84451924659021</v>
      </c>
      <c r="CD17" s="59">
        <f ca="1">AVERAGE(OFFSET($CC$3,0,0,'Données projet'!$E$12+1,1))-AVERAGE(OFFSET($H$3,0,0,'Données projet'!$E$12+1,1))</f>
        <v>159.92263609041913</v>
      </c>
      <c r="CE17" s="59">
        <f t="shared" si="40"/>
        <v>271.78119133009307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6.0199630620902038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6.0199630620902038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4.0628205128205126</v>
      </c>
      <c r="CT17" s="12">
        <f>IF('Données projet'!$A$140&gt;35,CT16+CS17-DB16,IF(A17&lt;'Données projet'!$A$140,$CQ$205^A17,IF(A17='Données projet'!$A$140,'Données projet'!$B$140,CT16+CS17-DB16)))</f>
        <v>9.4068196111151305</v>
      </c>
      <c r="CU17" s="17">
        <f>CT17*VLOOKUP('Données projet'!$B$13,Paramètres!$A$1:$I$89,3,0)*VLOOKUP('Données projet'!$B$13,Paramètres!$A$1:$I$89,5,0)</f>
        <v>8.51129038413697</v>
      </c>
      <c r="CV17" s="13">
        <f t="shared" si="41"/>
        <v>3.0570040016267526</v>
      </c>
      <c r="CW17" s="20">
        <f t="shared" si="13"/>
        <v>20.148112721871815</v>
      </c>
      <c r="CX17" s="59">
        <f t="shared" si="14"/>
        <v>313.48144605520514</v>
      </c>
      <c r="CY17" s="59">
        <f ca="1">AVERAGE(OFFSET($CX$3,0,0,'Données projet'!$E$13+1,1))-AVERAGE(OFFSET($H$3,0,0,'Données projet'!$E$13+1,1))</f>
        <v>280.25710840677186</v>
      </c>
      <c r="CZ17" s="59">
        <f t="shared" si="42"/>
        <v>209.65224013288037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8.8000000000000007</v>
      </c>
      <c r="DO17" s="12">
        <f>IF('Données projet'!$A$166&gt;35,DO16+DN17-DW16,IF(A17&lt;'Données projet'!$A$166,$DL$205^A17,IF(A17='Données projet'!$A$166,'Données projet'!$B$166,DO16+DN17-DW16)))</f>
        <v>64.199999999999989</v>
      </c>
      <c r="DP17" s="17">
        <f>DO17*VLOOKUP('Données projet'!$B$14,Paramètres!$A$1:$I$89,3,0)*VLOOKUP('Données projet'!$B$14,Paramètres!$A$1:$I$89,5,0)</f>
        <v>67.101839999999996</v>
      </c>
      <c r="DQ17" s="13">
        <f t="shared" si="43"/>
        <v>18.951980743561439</v>
      </c>
      <c r="DR17" s="20">
        <f t="shared" si="16"/>
        <v>149.87707112836947</v>
      </c>
      <c r="DS17" s="59">
        <f t="shared" si="17"/>
        <v>443.21040446170275</v>
      </c>
      <c r="DT17" s="59">
        <f ca="1">AVERAGE(OFFSET($DS$3,0,0,'Données projet'!$E$14+1,1))-AVERAGE(OFFSET($H$3,0,0,'Données projet'!$E$14+1,1))</f>
        <v>330.14201227773452</v>
      </c>
      <c r="DU17" s="59">
        <f t="shared" si="44"/>
        <v>307.07297894926467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6.8</v>
      </c>
      <c r="EJ17" s="12">
        <f>IF('Données projet'!$A$192&gt;35,EJ16+EI17-ER16,IF(A17&lt;'Données projet'!$A$192,$EG$205^A17,IF(A17='Données projet'!$A$192,'Données projet'!$B$192,EJ16+EI17-ER16)))</f>
        <v>37.200000000000003</v>
      </c>
      <c r="EK17" s="17">
        <f>EJ17*VLOOKUP('Données projet'!$B$15,Paramètres!$A$1:$I$89,3,0)*VLOOKUP('Données projet'!$B$15,Paramètres!$A$1:$I$89,5,0)</f>
        <v>24.373440000000002</v>
      </c>
      <c r="EL17" s="13">
        <f t="shared" si="45"/>
        <v>7.7451846247230876</v>
      </c>
      <c r="EM17" s="20">
        <f t="shared" si="19"/>
        <v>55.939937888059376</v>
      </c>
      <c r="EN17" s="59">
        <f t="shared" si="20"/>
        <v>349.27327122139269</v>
      </c>
      <c r="EO17" s="59">
        <f ca="1">AVERAGE(OFFSET($EN$3,0,0,'Données projet'!$E$15+1,1))-AVERAGE(OFFSET($H$3,0,0,'Données projet'!$E$15+1,1))</f>
        <v>183.30081488041924</v>
      </c>
      <c r="EP17" s="59">
        <f t="shared" si="46"/>
        <v>199.33099759570928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2.7765870723302839E-2</v>
      </c>
      <c r="EX17" s="21">
        <f>EXP(-LN(2)/2)*EX16+(1-EXP(-LN(2)/2))/(LN(2)/2)*ER17*EU17*VLOOKUP('Données projet'!$B$15,Paramètres!$A$1:$I$89,3,0)*0.475*44/12</f>
        <v>4.6364912583708777E-2</v>
      </c>
      <c r="EY17" s="22">
        <f t="shared" si="21"/>
        <v>7.4130783307011616E-2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7.2264102564102561</v>
      </c>
      <c r="N18" s="13">
        <f>IF('Données projet'!$A$36&gt;35,N17+M18-V17,IF(A18&lt;'Données projet'!$A$36,$K$205^A18,IF(A18='Données projet'!$A$36,'Données projet'!$B$36,N17+M18-V17)))</f>
        <v>14.723868638788783</v>
      </c>
      <c r="O18" s="13">
        <f>N18*VLOOKUP('Données projet'!$B$9,Paramètres!$A$1:$I$89,3,0)*VLOOKUP('Données projet'!$B$9,Paramètres!$A$1:$I$89,5,0)</f>
        <v>6.89077052295315</v>
      </c>
      <c r="P18" s="13">
        <f t="shared" si="33"/>
        <v>2.5365619978778424</v>
      </c>
      <c r="Q18" s="20">
        <f t="shared" si="2"/>
        <v>16.419270807113978</v>
      </c>
      <c r="R18" s="59">
        <f t="shared" si="0"/>
        <v>309.75260414044732</v>
      </c>
      <c r="S18" s="59">
        <f ca="1">AVERAGE(OFFSET($R$3,0,0,'Données projet'!$E$9+1,1))-AVERAGE(OFFSET($H$3,0,0,'Données projet'!$E$9+1,1))</f>
        <v>205.73717397588365</v>
      </c>
      <c r="T18" s="59">
        <f t="shared" si="34"/>
        <v>190.64998698136026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283.73369613548124</v>
      </c>
      <c r="AO18" s="59">
        <f t="shared" si="36"/>
        <v>249.77804091581208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10.16068376068376</v>
      </c>
      <c r="BD18" s="12">
        <f>IF('Données projet'!$A$88&gt;35,BD17+BC18-BL17,IF(A18&lt;'Données projet'!$A$88,$BA$205^A18,IF(A18='Données projet'!$A$88,'Données projet'!$B$88,BD17+BC18-BL17)))</f>
        <v>76.764931457129379</v>
      </c>
      <c r="BE18" s="13">
        <f>BD18*VLOOKUP('Données projet'!$B$11,Paramètres!$A$1:$I$89,3,0)*VLOOKUP('Données projet'!$B$11,Paramètres!$A$1:$I$89,5,0)</f>
        <v>42.911596684535326</v>
      </c>
      <c r="BF18" s="13">
        <f t="shared" si="37"/>
        <v>12.767181932785956</v>
      </c>
      <c r="BG18" s="20">
        <f t="shared" si="7"/>
        <v>96.97387275850123</v>
      </c>
      <c r="BH18" s="59">
        <f t="shared" si="8"/>
        <v>390.30720609183453</v>
      </c>
      <c r="BI18" s="59">
        <f ca="1">AVERAGE(OFFSET($BH$3,0,0,'Données projet'!$E$11+1,1))-AVERAGE(OFFSET($H$3,0,0,'Données projet'!$E$11+1,1))</f>
        <v>278.5296012747549</v>
      </c>
      <c r="BJ18" s="59">
        <f t="shared" si="38"/>
        <v>370.55343097937077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168</v>
      </c>
      <c r="BW18" s="12">
        <f>VLOOKUP(A18,'Données projet'!$A$113:$I$133,9,0)</f>
        <v>24.333333333333332</v>
      </c>
      <c r="BX18" s="12">
        <f t="array" ref="BX18">INDEX(BW:BW,MIN(IF(ISNUMBER(BW18:BW214),ROW(BW18:BW214),"")))</f>
        <v>24.333333333333332</v>
      </c>
      <c r="BY18" s="12">
        <f>IF('Données projet'!$A$114&gt;35,BY17+BX18-CG17,IF(A18&lt;'Données projet'!$A$114,$BV$205^A18,IF(A18='Données projet'!$A$114,'Données projet'!$B$114,BY17+BX18-CG17)))</f>
        <v>168.00000000000003</v>
      </c>
      <c r="BZ18" s="13">
        <f>BY18*VLOOKUP('Données projet'!$B$12,Paramètres!$A$1:$I$89,3,0)*VLOOKUP('Données projet'!$B$12,Paramètres!$A$1:$I$89,5,0)</f>
        <v>91.728000000000009</v>
      </c>
      <c r="CA18" s="13">
        <f t="shared" si="39"/>
        <v>24.981514582386563</v>
      </c>
      <c r="CB18" s="20">
        <f t="shared" si="10"/>
        <v>203.26907123098991</v>
      </c>
      <c r="CC18" s="59">
        <f t="shared" si="11"/>
        <v>496.60240456432325</v>
      </c>
      <c r="CD18" s="59">
        <f ca="1">AVERAGE(OFFSET($CC$3,0,0,'Données projet'!$E$12+1,1))-AVERAGE(OFFSET($H$3,0,0,'Données projet'!$E$12+1,1))</f>
        <v>159.92263609041913</v>
      </c>
      <c r="CE18" s="59">
        <f t="shared" si="40"/>
        <v>271.78119133009307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47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0.48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22.131311444789212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22.131311444789212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4.0628205128205126</v>
      </c>
      <c r="CT18" s="12">
        <f>IF('Données projet'!$A$140&gt;35,CT17+CS18-DB17,IF(A18&lt;'Données projet'!$A$140,$CQ$205^A18,IF(A18='Données projet'!$A$140,'Données projet'!$B$140,CT17+CS18-DB17)))</f>
        <v>11.040136565487554</v>
      </c>
      <c r="CU18" s="17">
        <f>CT18*VLOOKUP('Données projet'!$B$13,Paramètres!$A$1:$I$89,3,0)*VLOOKUP('Données projet'!$B$13,Paramètres!$A$1:$I$89,5,0)</f>
        <v>9.9891155644531384</v>
      </c>
      <c r="CV18" s="13">
        <f t="shared" si="41"/>
        <v>3.5215524019177353</v>
      </c>
      <c r="CW18" s="20">
        <f t="shared" si="13"/>
        <v>23.531080041429274</v>
      </c>
      <c r="CX18" s="59">
        <f t="shared" si="14"/>
        <v>316.86441337476259</v>
      </c>
      <c r="CY18" s="59">
        <f ca="1">AVERAGE(OFFSET($CX$3,0,0,'Données projet'!$E$13+1,1))-AVERAGE(OFFSET($H$3,0,0,'Données projet'!$E$13+1,1))</f>
        <v>280.25710840677186</v>
      </c>
      <c r="CZ18" s="59">
        <f t="shared" si="42"/>
        <v>209.65224013288037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73</v>
      </c>
      <c r="DM18" s="12">
        <f>VLOOKUP(A18,'Données projet'!$A$165:$I$185,9,0)</f>
        <v>8.8000000000000007</v>
      </c>
      <c r="DN18" s="12">
        <f t="array" ref="DN18">INDEX(DM:DM,MIN(IF(ISNUMBER(DM18:DM214),ROW(DM18:DM214),"")))</f>
        <v>8.8000000000000007</v>
      </c>
      <c r="DO18" s="12">
        <f>IF('Données projet'!$A$166&gt;35,DO17+DN18-DW17,IF(A18&lt;'Données projet'!$A$166,$DL$205^A18,IF(A18='Données projet'!$A$166,'Données projet'!$B$166,DO17+DN18-DW17)))</f>
        <v>72.999999999999986</v>
      </c>
      <c r="DP18" s="17">
        <f>DO18*VLOOKUP('Données projet'!$B$14,Paramètres!$A$1:$I$89,3,0)*VLOOKUP('Données projet'!$B$14,Paramètres!$A$1:$I$89,5,0)</f>
        <v>76.299599999999998</v>
      </c>
      <c r="DQ18" s="13">
        <f t="shared" si="43"/>
        <v>21.229938439563274</v>
      </c>
      <c r="DR18" s="20">
        <f t="shared" si="16"/>
        <v>169.8639461155727</v>
      </c>
      <c r="DS18" s="59">
        <f t="shared" si="17"/>
        <v>463.19727944890599</v>
      </c>
      <c r="DT18" s="59">
        <f ca="1">AVERAGE(OFFSET($DS$3,0,0,'Données projet'!$E$14+1,1))-AVERAGE(OFFSET($H$3,0,0,'Données projet'!$E$14+1,1))</f>
        <v>330.14201227773452</v>
      </c>
      <c r="DU18" s="59">
        <f t="shared" si="44"/>
        <v>307.07297894926467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44</v>
      </c>
      <c r="EH18" s="12">
        <f>VLOOKUP(A18,'Données projet'!$A$191:$I$211,9,0)</f>
        <v>6.8</v>
      </c>
      <c r="EI18" s="12">
        <f t="array" ref="EI18">INDEX(EH:EH,MIN(IF(ISNUMBER(EH18:EH214),ROW(EH18:EH214),"")))</f>
        <v>6.8</v>
      </c>
      <c r="EJ18" s="12">
        <f>IF('Données projet'!$A$192&gt;35,EJ17+EI18-ER17,IF(A18&lt;'Données projet'!$A$192,$EG$205^A18,IF(A18='Données projet'!$A$192,'Données projet'!$B$192,EJ17+EI18-ER17)))</f>
        <v>44</v>
      </c>
      <c r="EK18" s="17">
        <f>EJ18*VLOOKUP('Données projet'!$B$15,Paramètres!$A$1:$I$89,3,0)*VLOOKUP('Données projet'!$B$15,Paramètres!$A$1:$I$89,5,0)</f>
        <v>28.828800000000001</v>
      </c>
      <c r="EL18" s="13">
        <f t="shared" si="45"/>
        <v>8.983691253405949</v>
      </c>
      <c r="EM18" s="20">
        <f t="shared" si="19"/>
        <v>65.856755599682032</v>
      </c>
      <c r="EN18" s="59">
        <f t="shared" si="20"/>
        <v>359.19008893301532</v>
      </c>
      <c r="EO18" s="59">
        <f ca="1">AVERAGE(OFFSET($EN$3,0,0,'Données projet'!$E$15+1,1))-AVERAGE(OFFSET($H$3,0,0,'Données projet'!$E$15+1,1))</f>
        <v>183.30081488041924</v>
      </c>
      <c r="EP18" s="59">
        <f t="shared" si="46"/>
        <v>199.33099759570928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4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4.3000000000000003E-2</v>
      </c>
      <c r="EU18" s="16">
        <f>IF(ISNA(VLOOKUP(A18,'Données projet'!$A$191:$I$211,7,0)),0%,VLOOKUP(A18,'Données projet'!$A$191:$I$211,7,0))</f>
        <v>0.3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0.15109641247431951</v>
      </c>
      <c r="EX18" s="21">
        <f>EXP(-LN(2)/2)*EX17+(1-EXP(-LN(2)/2))/(LN(2)/2)*ER18*EU18*VLOOKUP('Données projet'!$B$15,Paramètres!$A$1:$I$89,3,0)*0.475*44/12</f>
        <v>0.77462354543640222</v>
      </c>
      <c r="EY18" s="22">
        <f t="shared" si="21"/>
        <v>0.9257199579107217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7.2264102564102561</v>
      </c>
      <c r="N19" s="13">
        <f>IF('Données projet'!$A$36&gt;35,N18+M19-V18,IF(A19&lt;'Données projet'!$A$36,$K$205^A19,IF(A19='Données projet'!$A$36,'Données projet'!$B$36,N18+M19-V18)))</f>
        <v>17.61530077939495</v>
      </c>
      <c r="O19" s="13">
        <f>N19*VLOOKUP('Données projet'!$B$9,Paramètres!$A$1:$I$89,3,0)*VLOOKUP('Données projet'!$B$9,Paramètres!$A$1:$I$89,5,0)</f>
        <v>8.2439607647568369</v>
      </c>
      <c r="P19" s="13">
        <f t="shared" si="33"/>
        <v>2.972006537558364</v>
      </c>
      <c r="Q19" s="20">
        <f t="shared" si="2"/>
        <v>19.534476384865641</v>
      </c>
      <c r="R19" s="59">
        <f t="shared" si="0"/>
        <v>312.86780971819894</v>
      </c>
      <c r="S19" s="59">
        <f ca="1">AVERAGE(OFFSET($R$3,0,0,'Données projet'!$E$9+1,1))-AVERAGE(OFFSET($H$3,0,0,'Données projet'!$E$9+1,1))</f>
        <v>205.73717397588365</v>
      </c>
      <c r="T19" s="59">
        <f t="shared" si="34"/>
        <v>190.64998698136026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283.73369613548124</v>
      </c>
      <c r="AO19" s="59">
        <f t="shared" si="36"/>
        <v>249.77804091581208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10.16068376068376</v>
      </c>
      <c r="BD19" s="12">
        <f>IF('Données projet'!$A$88&gt;35,BD18+BC19-BL18,IF(A19&lt;'Données projet'!$A$88,$BA$205^A19,IF(A19='Données projet'!$A$88,'Données projet'!$B$88,BD18+BC19-BL18)))</f>
        <v>102.52750545673157</v>
      </c>
      <c r="BE19" s="13">
        <f>BD19*VLOOKUP('Données projet'!$B$11,Paramètres!$A$1:$I$89,3,0)*VLOOKUP('Données projet'!$B$11,Paramètres!$A$1:$I$89,5,0)</f>
        <v>57.312875550312953</v>
      </c>
      <c r="BF19" s="13">
        <f t="shared" si="37"/>
        <v>16.487078574959277</v>
      </c>
      <c r="BG19" s="20">
        <f t="shared" si="7"/>
        <v>128.53492010151578</v>
      </c>
      <c r="BH19" s="59">
        <f t="shared" si="8"/>
        <v>421.86825343484907</v>
      </c>
      <c r="BI19" s="59">
        <f ca="1">AVERAGE(OFFSET($BH$3,0,0,'Données projet'!$E$11+1,1))-AVERAGE(OFFSET($H$3,0,0,'Données projet'!$E$11+1,1))</f>
        <v>278.5296012747549</v>
      </c>
      <c r="BJ19" s="59">
        <f t="shared" si="38"/>
        <v>370.55343097937077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21.333333333333332</v>
      </c>
      <c r="BY19" s="12">
        <f>IF('Données projet'!$A$114&gt;35,BY18+BX19-CG18,IF(A19&lt;'Données projet'!$A$114,$BV$205^A19,IF(A19='Données projet'!$A$114,'Données projet'!$B$114,BY18+BX19-CG18)))</f>
        <v>142.33333333333337</v>
      </c>
      <c r="BZ19" s="13">
        <f>BY19*VLOOKUP('Données projet'!$B$12,Paramètres!$A$1:$I$89,3,0)*VLOOKUP('Données projet'!$B$12,Paramètres!$A$1:$I$89,5,0)</f>
        <v>77.714000000000027</v>
      </c>
      <c r="CA19" s="13">
        <f t="shared" si="39"/>
        <v>21.577305655991772</v>
      </c>
      <c r="CB19" s="20">
        <f t="shared" si="10"/>
        <v>172.93235735085239</v>
      </c>
      <c r="CC19" s="59">
        <f t="shared" si="11"/>
        <v>466.2656906841857</v>
      </c>
      <c r="CD19" s="59">
        <f ca="1">AVERAGE(OFFSET($CC$3,0,0,'Données projet'!$E$12+1,1))-AVERAGE(OFFSET($H$3,0,0,'Données projet'!$E$12+1,1))</f>
        <v>159.92263609041913</v>
      </c>
      <c r="CE19" s="59">
        <f t="shared" si="40"/>
        <v>271.78119133009307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21.526129569496362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21.526129569496362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4.0628205128205126</v>
      </c>
      <c r="CT19" s="12">
        <f>IF('Données projet'!$A$140&gt;35,CT18+CS19-DB18,IF(A19&lt;'Données projet'!$A$140,$CQ$205^A19,IF(A19='Données projet'!$A$140,'Données projet'!$B$140,CT18+CS19-DB18)))</f>
        <v>12.957048229201293</v>
      </c>
      <c r="CU19" s="17">
        <f>CT19*VLOOKUP('Données projet'!$B$13,Paramètres!$A$1:$I$89,3,0)*VLOOKUP('Données projet'!$B$13,Paramètres!$A$1:$I$89,5,0)</f>
        <v>11.723537237781329</v>
      </c>
      <c r="CV19" s="13">
        <f t="shared" si="41"/>
        <v>4.0566944998610817</v>
      </c>
      <c r="CW19" s="20">
        <f t="shared" si="13"/>
        <v>27.483903609727193</v>
      </c>
      <c r="CX19" s="59">
        <f t="shared" si="14"/>
        <v>320.81723694306049</v>
      </c>
      <c r="CY19" s="59">
        <f ca="1">AVERAGE(OFFSET($CX$3,0,0,'Données projet'!$E$13+1,1))-AVERAGE(OFFSET($H$3,0,0,'Données projet'!$E$13+1,1))</f>
        <v>280.25710840677186</v>
      </c>
      <c r="CZ19" s="59">
        <f t="shared" si="42"/>
        <v>209.65224013288037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11.2</v>
      </c>
      <c r="DO19" s="12">
        <f>IF('Données projet'!$A$166&gt;35,DO18+DN19-DW18,IF(A19&lt;'Données projet'!$A$166,$DL$205^A19,IF(A19='Données projet'!$A$166,'Données projet'!$B$166,DO18+DN19-DW18)))</f>
        <v>84.199999999999989</v>
      </c>
      <c r="DP19" s="17">
        <f>DO19*VLOOKUP('Données projet'!$B$14,Paramètres!$A$1:$I$89,3,0)*VLOOKUP('Données projet'!$B$14,Paramètres!$A$1:$I$89,5,0)</f>
        <v>88.005839999999992</v>
      </c>
      <c r="DQ19" s="13">
        <f t="shared" si="43"/>
        <v>24.083656242710727</v>
      </c>
      <c r="DR19" s="20">
        <f t="shared" si="16"/>
        <v>195.22253928938787</v>
      </c>
      <c r="DS19" s="59">
        <f t="shared" si="17"/>
        <v>488.55587262272115</v>
      </c>
      <c r="DT19" s="59">
        <f ca="1">AVERAGE(OFFSET($DS$3,0,0,'Données projet'!$E$14+1,1))-AVERAGE(OFFSET($H$3,0,0,'Données projet'!$E$14+1,1))</f>
        <v>330.14201227773452</v>
      </c>
      <c r="DU19" s="59">
        <f t="shared" si="44"/>
        <v>307.07297894926467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12</v>
      </c>
      <c r="EJ19" s="12">
        <f>IF('Données projet'!$A$192&gt;35,EJ18+EI19-ER18,IF(A19&lt;'Données projet'!$A$192,$EG$205^A19,IF(A19='Données projet'!$A$192,'Données projet'!$B$192,EJ18+EI19-ER18)))</f>
        <v>52</v>
      </c>
      <c r="EK19" s="17">
        <f>EJ19*VLOOKUP('Données projet'!$B$15,Paramètres!$A$1:$I$89,3,0)*VLOOKUP('Données projet'!$B$15,Paramètres!$A$1:$I$89,5,0)</f>
        <v>34.070399999999999</v>
      </c>
      <c r="EL19" s="13">
        <f t="shared" si="45"/>
        <v>10.412633617059315</v>
      </c>
      <c r="EM19" s="20">
        <f t="shared" si="19"/>
        <v>77.474616883044959</v>
      </c>
      <c r="EN19" s="59">
        <f t="shared" si="20"/>
        <v>370.80795021637829</v>
      </c>
      <c r="EO19" s="59">
        <f ca="1">AVERAGE(OFFSET($EN$3,0,0,'Données projet'!$E$15+1,1))-AVERAGE(OFFSET($H$3,0,0,'Données projet'!$E$15+1,1))</f>
        <v>183.30081488041924</v>
      </c>
      <c r="EP19" s="59">
        <f t="shared" si="46"/>
        <v>199.33099759570928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0.14696467312939426</v>
      </c>
      <c r="EX19" s="21">
        <f>EXP(-LN(2)/2)*EX18+(1-EXP(-LN(2)/2))/(LN(2)/2)*ER19*EU19*VLOOKUP('Données projet'!$B$15,Paramètres!$A$1:$I$89,3,0)*0.475*44/12</f>
        <v>0.54774156184484579</v>
      </c>
      <c r="EY19" s="22">
        <f t="shared" si="21"/>
        <v>0.69470623497424011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7.2264102564102561</v>
      </c>
      <c r="N20" s="13">
        <f>IF('Données projet'!$A$36&gt;35,N19+M20-V19,IF(A20&lt;'Données projet'!$A$36,$K$205^A20,IF(A20='Données projet'!$A$36,'Données projet'!$B$36,N19+M20-V19)))</f>
        <v>21.074544276434004</v>
      </c>
      <c r="O20" s="13">
        <f>N20*VLOOKUP('Données projet'!$B$9,Paramètres!$A$1:$I$89,3,0)*VLOOKUP('Données projet'!$B$9,Paramètres!$A$1:$I$89,5,0)</f>
        <v>9.8628867213711136</v>
      </c>
      <c r="P20" s="13">
        <f t="shared" si="33"/>
        <v>3.4822026296536168</v>
      </c>
      <c r="Q20" s="20">
        <f t="shared" si="2"/>
        <v>23.24269728636807</v>
      </c>
      <c r="R20" s="59">
        <f t="shared" si="0"/>
        <v>316.57603061970138</v>
      </c>
      <c r="S20" s="59">
        <f ca="1">AVERAGE(OFFSET($R$3,0,0,'Données projet'!$E$9+1,1))-AVERAGE(OFFSET($H$3,0,0,'Données projet'!$E$9+1,1))</f>
        <v>205.73717397588365</v>
      </c>
      <c r="T20" s="59">
        <f t="shared" si="34"/>
        <v>190.64998698136026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283.73369613548124</v>
      </c>
      <c r="AO20" s="59">
        <f t="shared" si="36"/>
        <v>249.77804091581208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10.16068376068376</v>
      </c>
      <c r="BD20" s="12">
        <f>IF('Données projet'!$A$88&gt;35,BD19+BC20-BL19,IF(A20&lt;'Données projet'!$A$88,$BA$205^A20,IF(A20='Données projet'!$A$88,'Données projet'!$B$88,BD19+BC20-BL19)))</f>
        <v>136.93608755517039</v>
      </c>
      <c r="BE20" s="13">
        <f>BD20*VLOOKUP('Données projet'!$B$11,Paramètres!$A$1:$I$89,3,0)*VLOOKUP('Données projet'!$B$11,Paramètres!$A$1:$I$89,5,0)</f>
        <v>76.547272943340246</v>
      </c>
      <c r="BF20" s="13">
        <f t="shared" si="37"/>
        <v>21.290819020824138</v>
      </c>
      <c r="BG20" s="20">
        <f t="shared" si="7"/>
        <v>170.40134350425296</v>
      </c>
      <c r="BH20" s="59">
        <f t="shared" si="8"/>
        <v>463.73467683758628</v>
      </c>
      <c r="BI20" s="59">
        <f ca="1">AVERAGE(OFFSET($BH$3,0,0,'Données projet'!$E$11+1,1))-AVERAGE(OFFSET($H$3,0,0,'Données projet'!$E$11+1,1))</f>
        <v>278.5296012747549</v>
      </c>
      <c r="BJ20" s="59">
        <f t="shared" si="38"/>
        <v>370.55343097937077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21.333333333333332</v>
      </c>
      <c r="BY20" s="12">
        <f>IF('Données projet'!$A$114&gt;35,BY19+BX20-CG19,IF(A20&lt;'Données projet'!$A$114,$BV$205^A20,IF(A20='Données projet'!$A$114,'Données projet'!$B$114,BY19+BX20-CG19)))</f>
        <v>163.66666666666671</v>
      </c>
      <c r="BZ20" s="13">
        <f>BY20*VLOOKUP('Données projet'!$B$12,Paramètres!$A$1:$I$89,3,0)*VLOOKUP('Données projet'!$B$12,Paramètres!$A$1:$I$89,5,0)</f>
        <v>89.362000000000037</v>
      </c>
      <c r="CA20" s="13">
        <f t="shared" si="39"/>
        <v>24.411291106060958</v>
      </c>
      <c r="CB20" s="20">
        <f t="shared" si="10"/>
        <v>198.15514867638956</v>
      </c>
      <c r="CC20" s="59">
        <f t="shared" si="11"/>
        <v>491.48848200972287</v>
      </c>
      <c r="CD20" s="59">
        <f ca="1">AVERAGE(OFFSET($CC$3,0,0,'Données projet'!$E$12+1,1))-AVERAGE(OFFSET($H$3,0,0,'Données projet'!$E$12+1,1))</f>
        <v>159.92263609041913</v>
      </c>
      <c r="CE20" s="59">
        <f t="shared" si="40"/>
        <v>271.78119133009307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20.937496424408529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20.937496424408529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4.0628205128205126</v>
      </c>
      <c r="CT20" s="12">
        <f>IF('Données projet'!$A$140&gt;35,CT19+CS20-DB19,IF(A20&lt;'Données projet'!$A$140,$CQ$205^A20,IF(A20='Données projet'!$A$140,'Données projet'!$B$140,CT19+CS20-DB19)))</f>
        <v>15.206795479203771</v>
      </c>
      <c r="CU20" s="17">
        <f>CT20*VLOOKUP('Données projet'!$B$13,Paramètres!$A$1:$I$89,3,0)*VLOOKUP('Données projet'!$B$13,Paramètres!$A$1:$I$89,5,0)</f>
        <v>13.759108549583573</v>
      </c>
      <c r="CV20" s="13">
        <f t="shared" si="41"/>
        <v>4.6731578539740832</v>
      </c>
      <c r="CW20" s="20">
        <f t="shared" si="13"/>
        <v>32.102863986196247</v>
      </c>
      <c r="CX20" s="59">
        <f t="shared" si="14"/>
        <v>325.43619731952958</v>
      </c>
      <c r="CY20" s="59">
        <f ca="1">AVERAGE(OFFSET($CX$3,0,0,'Données projet'!$E$13+1,1))-AVERAGE(OFFSET($H$3,0,0,'Données projet'!$E$13+1,1))</f>
        <v>280.25710840677186</v>
      </c>
      <c r="CZ20" s="59">
        <f t="shared" si="42"/>
        <v>209.65224013288037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11.2</v>
      </c>
      <c r="DO20" s="12">
        <f>IF('Données projet'!$A$166&gt;35,DO19+DN20-DW19,IF(A20&lt;'Données projet'!$A$166,$DL$205^A20,IF(A20='Données projet'!$A$166,'Données projet'!$B$166,DO19+DN20-DW19)))</f>
        <v>95.399999999999991</v>
      </c>
      <c r="DP20" s="17">
        <f>DO20*VLOOKUP('Données projet'!$B$14,Paramètres!$A$1:$I$89,3,0)*VLOOKUP('Données projet'!$B$14,Paramètres!$A$1:$I$89,5,0)</f>
        <v>99.71208</v>
      </c>
      <c r="DQ20" s="13">
        <f t="shared" si="43"/>
        <v>26.893393072251083</v>
      </c>
      <c r="DR20" s="20">
        <f t="shared" si="16"/>
        <v>220.50453226750395</v>
      </c>
      <c r="DS20" s="59">
        <f t="shared" si="17"/>
        <v>513.83786560083729</v>
      </c>
      <c r="DT20" s="59">
        <f ca="1">AVERAGE(OFFSET($DS$3,0,0,'Données projet'!$E$14+1,1))-AVERAGE(OFFSET($H$3,0,0,'Données projet'!$E$14+1,1))</f>
        <v>330.14201227773452</v>
      </c>
      <c r="DU20" s="59">
        <f t="shared" si="44"/>
        <v>307.07297894926467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12</v>
      </c>
      <c r="EJ20" s="12">
        <f>IF('Données projet'!$A$192&gt;35,EJ19+EI20-ER19,IF(A20&lt;'Données projet'!$A$192,$EG$205^A20,IF(A20='Données projet'!$A$192,'Données projet'!$B$192,EJ19+EI20-ER19)))</f>
        <v>64</v>
      </c>
      <c r="EK20" s="17">
        <f>EJ20*VLOOKUP('Données projet'!$B$15,Paramètres!$A$1:$I$89,3,0)*VLOOKUP('Données projet'!$B$15,Paramètres!$A$1:$I$89,5,0)</f>
        <v>41.9328</v>
      </c>
      <c r="EL20" s="13">
        <f t="shared" si="45"/>
        <v>12.509520351031938</v>
      </c>
      <c r="EM20" s="20">
        <f t="shared" si="19"/>
        <v>94.820374611380615</v>
      </c>
      <c r="EN20" s="59">
        <f t="shared" si="20"/>
        <v>388.15370794471391</v>
      </c>
      <c r="EO20" s="59">
        <f ca="1">AVERAGE(OFFSET($EN$3,0,0,'Données projet'!$E$15+1,1))-AVERAGE(OFFSET($H$3,0,0,'Données projet'!$E$15+1,1))</f>
        <v>183.30081488041924</v>
      </c>
      <c r="EP20" s="59">
        <f t="shared" si="46"/>
        <v>199.33099759570928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0.1429459164141347</v>
      </c>
      <c r="EX20" s="21">
        <f>EXP(-LN(2)/2)*EX19+(1-EXP(-LN(2)/2))/(LN(2)/2)*ER20*EU20*VLOOKUP('Données projet'!$B$15,Paramètres!$A$1:$I$89,3,0)*0.475*44/12</f>
        <v>0.38731177271820116</v>
      </c>
      <c r="EY20" s="22">
        <f t="shared" si="21"/>
        <v>0.53025768913233584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7.2264102564102561</v>
      </c>
      <c r="N21" s="13">
        <f>IF('Données projet'!$A$36&gt;35,N20+M21-V20,IF(A21&lt;'Données projet'!$A$36,$K$205^A21,IF(A21='Données projet'!$A$36,'Données projet'!$B$36,N20+M21-V20)))</f>
        <v>25.213104335913162</v>
      </c>
      <c r="O21" s="13">
        <f>N21*VLOOKUP('Données projet'!$B$9,Paramètres!$A$1:$I$89,3,0)*VLOOKUP('Données projet'!$B$9,Paramètres!$A$1:$I$89,5,0)</f>
        <v>11.799732829207361</v>
      </c>
      <c r="P21" s="13">
        <f t="shared" si="33"/>
        <v>4.079982665155371</v>
      </c>
      <c r="Q21" s="20">
        <f t="shared" si="2"/>
        <v>27.657171152681755</v>
      </c>
      <c r="R21" s="59">
        <f t="shared" si="0"/>
        <v>320.99050448601508</v>
      </c>
      <c r="S21" s="59">
        <f ca="1">AVERAGE(OFFSET($R$3,0,0,'Données projet'!$E$9+1,1))-AVERAGE(OFFSET($H$3,0,0,'Données projet'!$E$9+1,1))</f>
        <v>205.73717397588365</v>
      </c>
      <c r="T21" s="59">
        <f t="shared" si="34"/>
        <v>190.64998698136026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283.73369613548124</v>
      </c>
      <c r="AO21" s="59">
        <f t="shared" si="36"/>
        <v>249.77804091581208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182.89230769230767</v>
      </c>
      <c r="BB21" s="12">
        <f>VLOOKUP(A21,'Données projet'!$A$87:$I$107,9,0)</f>
        <v>10.16068376068376</v>
      </c>
      <c r="BC21" s="12">
        <f t="array" ref="BC21">INDEX(BB:BB,MIN(IF(ISNUMBER(BB21:BB217),ROW(BB21:BB217),"")))</f>
        <v>10.16068376068376</v>
      </c>
      <c r="BD21" s="12">
        <f>IF('Données projet'!$A$88&gt;35,BD20+BC21-BL20,IF(A21&lt;'Données projet'!$A$88,$BA$205^A21,IF(A21='Données projet'!$A$88,'Données projet'!$B$88,BD20+BC21-BL20)))</f>
        <v>182.89230769230767</v>
      </c>
      <c r="BE21" s="13">
        <f>BD21*VLOOKUP('Données projet'!$B$11,Paramètres!$A$1:$I$89,3,0)*VLOOKUP('Données projet'!$B$11,Paramètres!$A$1:$I$89,5,0)</f>
        <v>102.23679999999999</v>
      </c>
      <c r="BF21" s="13">
        <f t="shared" si="37"/>
        <v>27.494196289326943</v>
      </c>
      <c r="BG21" s="20">
        <f t="shared" si="7"/>
        <v>225.9481518705777</v>
      </c>
      <c r="BH21" s="59">
        <f t="shared" si="8"/>
        <v>519.28148520391096</v>
      </c>
      <c r="BI21" s="59">
        <f ca="1">AVERAGE(OFFSET($BH$3,0,0,'Données projet'!$E$11+1,1))-AVERAGE(OFFSET($H$3,0,0,'Données projet'!$E$11+1,1))</f>
        <v>278.5296012747549</v>
      </c>
      <c r="BJ21" s="59">
        <f t="shared" si="38"/>
        <v>370.55343097937077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69.284615384615378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0.30800000000000005</v>
      </c>
      <c r="BO21" s="16">
        <f>IF(ISNA(VLOOKUP(A21,'Données projet'!$A$87:$I$107,7,0)),0%,VLOOKUP(A21,'Données projet'!$A$87:$I$107,7,0))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15.762109241455983</v>
      </c>
      <c r="BR21" s="21">
        <f>EXP(-LN(2)/2)*BR20+(1-EXP(-LN(2)/2))/(LN(2)/2)*BL21*BO21*VLOOKUP('Données projet'!$B$11,Paramètres!$A$1:$I$89,3,0)*0.475*44/12</f>
        <v>19.294646846829099</v>
      </c>
      <c r="BS21" s="22">
        <f t="shared" si="9"/>
        <v>35.056756088285084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>
        <f>VLOOKUP(A21,'Données projet'!$A$113:$I$133,2,0)</f>
        <v>185</v>
      </c>
      <c r="BW21" s="12">
        <f>VLOOKUP(A21,'Données projet'!$A$113:$I$133,9,0)</f>
        <v>21.333333333333332</v>
      </c>
      <c r="BX21" s="12">
        <f t="array" ref="BX21">INDEX(BW:BW,MIN(IF(ISNUMBER(BW21:BW217),ROW(BW21:BW217),"")))</f>
        <v>21.333333333333332</v>
      </c>
      <c r="BY21" s="12">
        <f>IF('Données projet'!$A$114&gt;35,BY20+BX21-CG20,IF(A21&lt;'Données projet'!$A$114,$BV$205^A21,IF(A21='Données projet'!$A$114,'Données projet'!$B$114,BY20+BX21-CG20)))</f>
        <v>185.00000000000006</v>
      </c>
      <c r="BZ21" s="13">
        <f>BY21*VLOOKUP('Données projet'!$B$12,Paramètres!$A$1:$I$89,3,0)*VLOOKUP('Données projet'!$B$12,Paramètres!$A$1:$I$89,5,0)</f>
        <v>101.01000000000002</v>
      </c>
      <c r="CA21" s="13">
        <f t="shared" si="39"/>
        <v>27.202475209169602</v>
      </c>
      <c r="CB21" s="20">
        <f t="shared" si="10"/>
        <v>223.30339432263705</v>
      </c>
      <c r="CC21" s="59">
        <f t="shared" si="11"/>
        <v>516.63672765597039</v>
      </c>
      <c r="CD21" s="59">
        <f ca="1">AVERAGE(OFFSET($CC$3,0,0,'Données projet'!$E$12+1,1))-AVERAGE(OFFSET($H$3,0,0,'Données projet'!$E$12+1,1))</f>
        <v>159.92263609041913</v>
      </c>
      <c r="CE21" s="59">
        <f t="shared" si="40"/>
        <v>271.78119133009307</v>
      </c>
      <c r="CF21" s="15">
        <f>IF(ISNA(VLOOKUP(A21,'Données projet'!$A$113:$I$133,3,0)),0,VLOOKUP(A21,'Données projet'!$A$113:$I$133,3,0))</f>
        <v>3</v>
      </c>
      <c r="CG21" s="15">
        <f>IF(ISNA(VLOOKUP(A21,'Données projet'!$A$113:$I$133,4,0)),0,VLOOKUP(A21,'Données projet'!$A$113:$I$133,4,0))</f>
        <v>61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0.48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41.489083737706416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41.489083737706416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4.0628205128205126</v>
      </c>
      <c r="CT21" s="12">
        <f>IF('Données projet'!$A$140&gt;35,CT20+CS21-DB20,IF(A21&lt;'Données projet'!$A$140,$CQ$205^A21,IF(A21='Données projet'!$A$140,'Données projet'!$B$140,CT20+CS21-DB20)))</f>
        <v>17.847168942782186</v>
      </c>
      <c r="CU21" s="17">
        <f>CT21*VLOOKUP('Données projet'!$B$13,Paramètres!$A$1:$I$89,3,0)*VLOOKUP('Données projet'!$B$13,Paramètres!$A$1:$I$89,5,0)</f>
        <v>16.148118459429323</v>
      </c>
      <c r="CV21" s="13">
        <f t="shared" si="41"/>
        <v>5.3833002038747271</v>
      </c>
      <c r="CW21" s="20">
        <f t="shared" si="13"/>
        <v>37.500554171921223</v>
      </c>
      <c r="CX21" s="59">
        <f t="shared" si="14"/>
        <v>330.83388750525455</v>
      </c>
      <c r="CY21" s="59">
        <f ca="1">AVERAGE(OFFSET($CX$3,0,0,'Données projet'!$E$13+1,1))-AVERAGE(OFFSET($H$3,0,0,'Données projet'!$E$13+1,1))</f>
        <v>280.25710840677186</v>
      </c>
      <c r="CZ21" s="59">
        <f t="shared" si="42"/>
        <v>209.65224013288037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11.2</v>
      </c>
      <c r="DO21" s="12">
        <f>IF('Données projet'!$A$166&gt;35,DO20+DN21-DW20,IF(A21&lt;'Données projet'!$A$166,$DL$205^A21,IF(A21='Données projet'!$A$166,'Données projet'!$B$166,DO20+DN21-DW20)))</f>
        <v>106.6</v>
      </c>
      <c r="DP21" s="17">
        <f>DO21*VLOOKUP('Données projet'!$B$14,Paramètres!$A$1:$I$89,3,0)*VLOOKUP('Données projet'!$B$14,Paramètres!$A$1:$I$89,5,0)</f>
        <v>111.41831999999999</v>
      </c>
      <c r="DQ21" s="13">
        <f t="shared" si="43"/>
        <v>29.664902256268945</v>
      </c>
      <c r="DR21" s="20">
        <f t="shared" si="16"/>
        <v>245.71994542966834</v>
      </c>
      <c r="DS21" s="59">
        <f t="shared" si="17"/>
        <v>539.05327876300169</v>
      </c>
      <c r="DT21" s="59">
        <f ca="1">AVERAGE(OFFSET($DS$3,0,0,'Données projet'!$E$14+1,1))-AVERAGE(OFFSET($H$3,0,0,'Données projet'!$E$14+1,1))</f>
        <v>330.14201227773452</v>
      </c>
      <c r="DU21" s="59">
        <f t="shared" si="44"/>
        <v>307.07297894926467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12</v>
      </c>
      <c r="EJ21" s="12">
        <f>IF('Données projet'!$A$192&gt;35,EJ20+EI21-ER20,IF(A21&lt;'Données projet'!$A$192,$EG$205^A21,IF(A21='Données projet'!$A$192,'Données projet'!$B$192,EJ20+EI21-ER20)))</f>
        <v>76</v>
      </c>
      <c r="EK21" s="17">
        <f>EJ21*VLOOKUP('Données projet'!$B$15,Paramètres!$A$1:$I$89,3,0)*VLOOKUP('Données projet'!$B$15,Paramètres!$A$1:$I$89,5,0)</f>
        <v>49.795200000000001</v>
      </c>
      <c r="EL21" s="13">
        <f t="shared" si="45"/>
        <v>14.560856542690781</v>
      </c>
      <c r="EM21" s="20">
        <f t="shared" si="19"/>
        <v>112.08679847851977</v>
      </c>
      <c r="EN21" s="59">
        <f t="shared" si="20"/>
        <v>405.42013181185308</v>
      </c>
      <c r="EO21" s="59">
        <f ca="1">AVERAGE(OFFSET($EN$3,0,0,'Données projet'!$E$15+1,1))-AVERAGE(OFFSET($H$3,0,0,'Données projet'!$E$15+1,1))</f>
        <v>183.30081488041924</v>
      </c>
      <c r="EP21" s="59">
        <f t="shared" si="46"/>
        <v>199.33099759570928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0.13903705281259116</v>
      </c>
      <c r="EX21" s="21">
        <f>EXP(-LN(2)/2)*EX20+(1-EXP(-LN(2)/2))/(LN(2)/2)*ER21*EU21*VLOOKUP('Données projet'!$B$15,Paramètres!$A$1:$I$89,3,0)*0.475*44/12</f>
        <v>0.2738707809224229</v>
      </c>
      <c r="EY21" s="22">
        <f t="shared" si="21"/>
        <v>0.41290783373501405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7.2264102564102561</v>
      </c>
      <c r="N22" s="13">
        <f>IF('Données projet'!$A$36&gt;35,N21+M22-V21,IF(A22&lt;'Données projet'!$A$36,$K$205^A22,IF(A22='Données projet'!$A$36,'Données projet'!$B$36,N21+M22-V21)))</f>
        <v>30.164383244315122</v>
      </c>
      <c r="O22" s="13">
        <f>N22*VLOOKUP('Données projet'!$B$9,Paramètres!$A$1:$I$89,3,0)*VLOOKUP('Données projet'!$B$9,Paramètres!$A$1:$I$89,5,0)</f>
        <v>14.116931358339476</v>
      </c>
      <c r="P22" s="13">
        <f t="shared" si="33"/>
        <v>4.7803819359082427</v>
      </c>
      <c r="Q22" s="20">
        <f t="shared" si="2"/>
        <v>32.912820654148106</v>
      </c>
      <c r="R22" s="59">
        <f t="shared" si="0"/>
        <v>326.24615398748142</v>
      </c>
      <c r="S22" s="59">
        <f ca="1">AVERAGE(OFFSET($R$3,0,0,'Données projet'!$E$9+1,1))-AVERAGE(OFFSET($H$3,0,0,'Données projet'!$E$9+1,1))</f>
        <v>205.73717397588365</v>
      </c>
      <c r="T22" s="59">
        <f t="shared" si="34"/>
        <v>190.64998698136026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283.73369613548124</v>
      </c>
      <c r="AO22" s="59">
        <f t="shared" si="36"/>
        <v>249.77804091581208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20.658974358974358</v>
      </c>
      <c r="BD22" s="12">
        <f>IF('Données projet'!$A$88&gt;35,BD21+BC22-BL21,IF(A22&lt;'Données projet'!$A$88,$BA$205^A22,IF(A22='Données projet'!$A$88,'Données projet'!$B$88,BD21+BC22-BL21)))</f>
        <v>134.26666666666665</v>
      </c>
      <c r="BE22" s="13">
        <f>BD22*VLOOKUP('Données projet'!$B$11,Paramètres!$A$1:$I$89,3,0)*VLOOKUP('Données projet'!$B$11,Paramètres!$A$1:$I$89,5,0)</f>
        <v>75.055066666666661</v>
      </c>
      <c r="BF22" s="13">
        <f t="shared" si="37"/>
        <v>20.923669242672773</v>
      </c>
      <c r="BG22" s="20">
        <f t="shared" si="7"/>
        <v>167.1629650420995</v>
      </c>
      <c r="BH22" s="59">
        <f t="shared" si="8"/>
        <v>460.49629837543284</v>
      </c>
      <c r="BI22" s="59">
        <f ca="1">AVERAGE(OFFSET($BH$3,0,0,'Données projet'!$E$11+1,1))-AVERAGE(OFFSET($H$3,0,0,'Données projet'!$E$11+1,1))</f>
        <v>278.5296012747549</v>
      </c>
      <c r="BJ22" s="59">
        <f t="shared" si="38"/>
        <v>370.55343097937077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15.33109353535507</v>
      </c>
      <c r="BR22" s="21">
        <f>EXP(-LN(2)/2)*BR21+(1-EXP(-LN(2)/2))/(LN(2)/2)*BL22*BO22*VLOOKUP('Données projet'!$B$11,Paramètres!$A$1:$I$89,3,0)*0.475*44/12</f>
        <v>13.643375625992494</v>
      </c>
      <c r="BS22" s="22">
        <f t="shared" si="9"/>
        <v>28.974469161347564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19.166666666666668</v>
      </c>
      <c r="BY22" s="12">
        <f>IF('Données projet'!$A$114&gt;35,BY21+BX22-CG21,IF(A22&lt;'Données projet'!$A$114,$BV$205^A22,IF(A22='Données projet'!$A$114,'Données projet'!$B$114,BY21+BX22-CG21)))</f>
        <v>143.16666666666671</v>
      </c>
      <c r="BZ22" s="13">
        <f>BY22*VLOOKUP('Données projet'!$B$12,Paramètres!$A$1:$I$89,3,0)*VLOOKUP('Données projet'!$B$12,Paramètres!$A$1:$I$89,5,0)</f>
        <v>78.169000000000025</v>
      </c>
      <c r="CA22" s="13">
        <f t="shared" si="39"/>
        <v>21.688893622970639</v>
      </c>
      <c r="CB22" s="20">
        <f t="shared" si="10"/>
        <v>173.9191647266739</v>
      </c>
      <c r="CC22" s="59">
        <f t="shared" si="11"/>
        <v>467.25249806000721</v>
      </c>
      <c r="CD22" s="59">
        <f ca="1">AVERAGE(OFFSET($CC$3,0,0,'Données projet'!$E$12+1,1))-AVERAGE(OFFSET($H$3,0,0,'Données projet'!$E$12+1,1))</f>
        <v>159.92263609041913</v>
      </c>
      <c r="CE22" s="59">
        <f t="shared" si="40"/>
        <v>271.78119133009307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40.354562561082744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40.354562561082744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4.0628205128205126</v>
      </c>
      <c r="CT22" s="12">
        <f>IF('Données projet'!$A$140&gt;35,CT21+CS22-DB21,IF(A22&lt;'Données projet'!$A$140,$CQ$205^A22,IF(A22='Données projet'!$A$140,'Données projet'!$B$140,CT21+CS22-DB21)))</f>
        <v>20.945993500590358</v>
      </c>
      <c r="CU22" s="17">
        <f>CT22*VLOOKUP('Données projet'!$B$13,Paramètres!$A$1:$I$89,3,0)*VLOOKUP('Données projet'!$B$13,Paramètres!$A$1:$I$89,5,0)</f>
        <v>18.951934919334153</v>
      </c>
      <c r="CV22" s="13">
        <f t="shared" si="41"/>
        <v>6.2013571958398481</v>
      </c>
      <c r="CW22" s="20">
        <f t="shared" si="13"/>
        <v>43.808650433928051</v>
      </c>
      <c r="CX22" s="59">
        <f t="shared" si="14"/>
        <v>337.14198376726137</v>
      </c>
      <c r="CY22" s="59">
        <f ca="1">AVERAGE(OFFSET($CX$3,0,0,'Données projet'!$E$13+1,1))-AVERAGE(OFFSET($H$3,0,0,'Données projet'!$E$13+1,1))</f>
        <v>280.25710840677186</v>
      </c>
      <c r="CZ22" s="59">
        <f t="shared" si="42"/>
        <v>209.65224013288037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11.2</v>
      </c>
      <c r="DO22" s="12">
        <f>IF('Données projet'!$A$166&gt;35,DO21+DN22-DW21,IF(A22&lt;'Données projet'!$A$166,$DL$205^A22,IF(A22='Données projet'!$A$166,'Données projet'!$B$166,DO21+DN22-DW21)))</f>
        <v>117.8</v>
      </c>
      <c r="DP22" s="17">
        <f>DO22*VLOOKUP('Données projet'!$B$14,Paramètres!$A$1:$I$89,3,0)*VLOOKUP('Données projet'!$B$14,Paramètres!$A$1:$I$89,5,0)</f>
        <v>123.12456</v>
      </c>
      <c r="DQ22" s="13">
        <f t="shared" si="43"/>
        <v>32.402657799061316</v>
      </c>
      <c r="DR22" s="20">
        <f t="shared" si="16"/>
        <v>270.87657100003173</v>
      </c>
      <c r="DS22" s="59">
        <f t="shared" si="17"/>
        <v>564.2099043333651</v>
      </c>
      <c r="DT22" s="59">
        <f ca="1">AVERAGE(OFFSET($DS$3,0,0,'Données projet'!$E$14+1,1))-AVERAGE(OFFSET($H$3,0,0,'Données projet'!$E$14+1,1))</f>
        <v>330.14201227773452</v>
      </c>
      <c r="DU22" s="59">
        <f t="shared" si="44"/>
        <v>307.07297894926467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12</v>
      </c>
      <c r="EJ22" s="12">
        <f>IF('Données projet'!$A$192&gt;35,EJ21+EI22-ER21,IF(A22&lt;'Données projet'!$A$192,$EG$205^A22,IF(A22='Données projet'!$A$192,'Données projet'!$B$192,EJ21+EI22-ER21)))</f>
        <v>88</v>
      </c>
      <c r="EK22" s="17">
        <f>EJ22*VLOOKUP('Données projet'!$B$15,Paramètres!$A$1:$I$89,3,0)*VLOOKUP('Données projet'!$B$15,Paramètres!$A$1:$I$89,5,0)</f>
        <v>57.657600000000002</v>
      </c>
      <c r="EL22" s="13">
        <f t="shared" si="45"/>
        <v>16.574671209026025</v>
      </c>
      <c r="EM22" s="20">
        <f t="shared" si="19"/>
        <v>129.28787235572034</v>
      </c>
      <c r="EN22" s="59">
        <f t="shared" si="20"/>
        <v>422.62120568905368</v>
      </c>
      <c r="EO22" s="59">
        <f ca="1">AVERAGE(OFFSET($EN$3,0,0,'Données projet'!$E$15+1,1))-AVERAGE(OFFSET($H$3,0,0,'Données projet'!$E$15+1,1))</f>
        <v>183.30081488041924</v>
      </c>
      <c r="EP22" s="59">
        <f t="shared" si="46"/>
        <v>199.33099759570928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0.13523507729179002</v>
      </c>
      <c r="EX22" s="21">
        <f>EXP(-LN(2)/2)*EX21+(1-EXP(-LN(2)/2))/(LN(2)/2)*ER22*EU22*VLOOKUP('Données projet'!$B$15,Paramètres!$A$1:$I$89,3,0)*0.475*44/12</f>
        <v>0.19365588635910058</v>
      </c>
      <c r="EY22" s="22">
        <f t="shared" si="21"/>
        <v>0.3288909636508906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7.2264102564102561</v>
      </c>
      <c r="N23" s="13">
        <f>IF('Données projet'!$A$36&gt;35,N22+M23-V22,IF(A23&lt;'Données projet'!$A$36,$K$205^A23,IF(A23='Données projet'!$A$36,'Données projet'!$B$36,N22+M23-V22)))</f>
        <v>36.0879804560157</v>
      </c>
      <c r="O23" s="13">
        <f>N23*VLOOKUP('Données projet'!$B$9,Paramètres!$A$1:$I$89,3,0)*VLOOKUP('Données projet'!$B$9,Paramètres!$A$1:$I$89,5,0)</f>
        <v>16.889174853415348</v>
      </c>
      <c r="P23" s="13">
        <f t="shared" si="33"/>
        <v>5.6010168004690764</v>
      </c>
      <c r="Q23" s="20">
        <f t="shared" si="2"/>
        <v>39.170417130515368</v>
      </c>
      <c r="R23" s="59">
        <f t="shared" si="0"/>
        <v>332.50375046384869</v>
      </c>
      <c r="S23" s="59">
        <f ca="1">AVERAGE(OFFSET($R$3,0,0,'Données projet'!$E$9+1,1))-AVERAGE(OFFSET($H$3,0,0,'Données projet'!$E$9+1,1))</f>
        <v>205.73717397588365</v>
      </c>
      <c r="T23" s="59">
        <f t="shared" si="34"/>
        <v>190.64998698136026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283.73369613548124</v>
      </c>
      <c r="AO23" s="59">
        <f t="shared" si="36"/>
        <v>249.77804091581208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20.658974358974358</v>
      </c>
      <c r="BD23" s="12">
        <f>IF('Données projet'!$A$88&gt;35,BD22+BC23-BL22,IF(A23&lt;'Données projet'!$A$88,$BA$205^A23,IF(A23='Données projet'!$A$88,'Données projet'!$B$88,BD22+BC23-BL22)))</f>
        <v>154.925641025641</v>
      </c>
      <c r="BE23" s="13">
        <f>BD23*VLOOKUP('Données projet'!$B$11,Paramètres!$A$1:$I$89,3,0)*VLOOKUP('Données projet'!$B$11,Paramètres!$A$1:$I$89,5,0)</f>
        <v>86.603433333333314</v>
      </c>
      <c r="BF23" s="13">
        <f t="shared" si="37"/>
        <v>23.744229853900279</v>
      </c>
      <c r="BG23" s="20">
        <f t="shared" si="7"/>
        <v>192.18884671776516</v>
      </c>
      <c r="BH23" s="59">
        <f t="shared" si="8"/>
        <v>485.52218005109847</v>
      </c>
      <c r="BI23" s="59">
        <f ca="1">AVERAGE(OFFSET($BH$3,0,0,'Données projet'!$E$11+1,1))-AVERAGE(OFFSET($H$3,0,0,'Données projet'!$E$11+1,1))</f>
        <v>278.5296012747549</v>
      </c>
      <c r="BJ23" s="59">
        <f t="shared" si="38"/>
        <v>370.55343097937077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14.911863976403616</v>
      </c>
      <c r="BR23" s="21">
        <f>EXP(-LN(2)/2)*BR22+(1-EXP(-LN(2)/2))/(LN(2)/2)*BL23*BO23*VLOOKUP('Données projet'!$B$11,Paramètres!$A$1:$I$89,3,0)*0.475*44/12</f>
        <v>9.6473234234145515</v>
      </c>
      <c r="BS23" s="22">
        <f t="shared" si="9"/>
        <v>24.559187399818168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19.166666666666668</v>
      </c>
      <c r="BY23" s="12">
        <f>IF('Données projet'!$A$114&gt;35,BY22+BX23-CG22,IF(A23&lt;'Données projet'!$A$114,$BV$205^A23,IF(A23='Données projet'!$A$114,'Données projet'!$B$114,BY22+BX23-CG22)))</f>
        <v>162.33333333333337</v>
      </c>
      <c r="BZ23" s="13">
        <f>BY23*VLOOKUP('Données projet'!$B$12,Paramètres!$A$1:$I$89,3,0)*VLOOKUP('Données projet'!$B$12,Paramètres!$A$1:$I$89,5,0)</f>
        <v>88.634000000000015</v>
      </c>
      <c r="CA23" s="13">
        <f t="shared" si="39"/>
        <v>24.235486014796273</v>
      </c>
      <c r="CB23" s="20">
        <f t="shared" si="10"/>
        <v>196.58102147577017</v>
      </c>
      <c r="CC23" s="59">
        <f t="shared" si="11"/>
        <v>489.91435480910349</v>
      </c>
      <c r="CD23" s="59">
        <f ca="1">AVERAGE(OFFSET($CC$3,0,0,'Données projet'!$E$12+1,1))-AVERAGE(OFFSET($H$3,0,0,'Données projet'!$E$12+1,1))</f>
        <v>159.92263609041913</v>
      </c>
      <c r="CE23" s="59">
        <f t="shared" si="40"/>
        <v>271.78119133009307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39.251064925695722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39.251064925695722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4.0628205128205126</v>
      </c>
      <c r="CT23" s="12">
        <f>IF('Données projet'!$A$140&gt;35,CT22+CS23-DB22,IF(A23&lt;'Données projet'!$A$140,$CQ$205^A23,IF(A23='Données projet'!$A$140,'Données projet'!$B$140,CT22+CS23-DB22)))</f>
        <v>24.582870545650774</v>
      </c>
      <c r="CU23" s="17">
        <f>CT23*VLOOKUP('Données projet'!$B$13,Paramètres!$A$1:$I$89,3,0)*VLOOKUP('Données projet'!$B$13,Paramètres!$A$1:$I$89,5,0)</f>
        <v>22.242581269704818</v>
      </c>
      <c r="CV23" s="13">
        <f t="shared" si="41"/>
        <v>7.1437277532311274</v>
      </c>
      <c r="CW23" s="20">
        <f t="shared" si="13"/>
        <v>51.181154881613445</v>
      </c>
      <c r="CX23" s="59">
        <f t="shared" si="14"/>
        <v>344.51448821494677</v>
      </c>
      <c r="CY23" s="59">
        <f ca="1">AVERAGE(OFFSET($CX$3,0,0,'Données projet'!$E$13+1,1))-AVERAGE(OFFSET($H$3,0,0,'Données projet'!$E$13+1,1))</f>
        <v>280.25710840677186</v>
      </c>
      <c r="CZ23" s="59">
        <f t="shared" si="42"/>
        <v>209.65224013288037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129</v>
      </c>
      <c r="DM23" s="12">
        <f>VLOOKUP(A23,'Données projet'!$A$165:$I$185,9,0)</f>
        <v>11.2</v>
      </c>
      <c r="DN23" s="12">
        <f t="array" ref="DN23">INDEX(DM:DM,MIN(IF(ISNUMBER(DM23:DM219),ROW(DM23:DM219),"")))</f>
        <v>11.2</v>
      </c>
      <c r="DO23" s="12">
        <f>IF('Données projet'!$A$166&gt;35,DO22+DN23-DW22,IF(A23&lt;'Données projet'!$A$166,$DL$205^A23,IF(A23='Données projet'!$A$166,'Données projet'!$B$166,DO22+DN23-DW22)))</f>
        <v>129</v>
      </c>
      <c r="DP23" s="17">
        <f>DO23*VLOOKUP('Données projet'!$B$14,Paramètres!$A$1:$I$89,3,0)*VLOOKUP('Données projet'!$B$14,Paramètres!$A$1:$I$89,5,0)</f>
        <v>134.83080000000001</v>
      </c>
      <c r="DQ23" s="13">
        <f t="shared" si="43"/>
        <v>35.110233978560416</v>
      </c>
      <c r="DR23" s="20">
        <f t="shared" si="16"/>
        <v>295.98063417932605</v>
      </c>
      <c r="DS23" s="59">
        <f t="shared" si="17"/>
        <v>589.31396751265936</v>
      </c>
      <c r="DT23" s="59">
        <f ca="1">AVERAGE(OFFSET($DS$3,0,0,'Données projet'!$E$14+1,1))-AVERAGE(OFFSET($H$3,0,0,'Données projet'!$E$14+1,1))</f>
        <v>330.14201227773452</v>
      </c>
      <c r="DU23" s="59">
        <f t="shared" si="44"/>
        <v>307.07297894926467</v>
      </c>
      <c r="DV23" s="15">
        <f>IF(ISNA(VLOOKUP(A23,'Données projet'!$A$165:$I$185,3,0)),0,VLOOKUP(A23,'Données projet'!$A$165:$I$185,3,0))</f>
        <v>1</v>
      </c>
      <c r="DW23" s="15" t="str">
        <f>IF(ISNA(VLOOKUP(A23,'Données projet'!$A$165:$I$185,4,0)),0,VLOOKUP(A23,'Données projet'!$A$165:$I$185,4,0))</f>
        <v>54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100</v>
      </c>
      <c r="EH23" s="12">
        <f>VLOOKUP(A23,'Données projet'!$A$191:$I$211,9,0)</f>
        <v>12</v>
      </c>
      <c r="EI23" s="12">
        <f t="array" ref="EI23">INDEX(EH:EH,MIN(IF(ISNUMBER(EH23:EH219),ROW(EH23:EH219),"")))</f>
        <v>12</v>
      </c>
      <c r="EJ23" s="12">
        <f>IF('Données projet'!$A$192&gt;35,EJ22+EI23-ER22,IF(A23&lt;'Données projet'!$A$192,$EG$205^A23,IF(A23='Données projet'!$A$192,'Données projet'!$B$192,EJ22+EI23-ER22)))</f>
        <v>100</v>
      </c>
      <c r="EK23" s="17">
        <f>EJ23*VLOOKUP('Données projet'!$B$15,Paramètres!$A$1:$I$89,3,0)*VLOOKUP('Données projet'!$B$15,Paramètres!$A$1:$I$89,5,0)</f>
        <v>65.52</v>
      </c>
      <c r="EL23" s="13">
        <f t="shared" si="45"/>
        <v>18.556669503136725</v>
      </c>
      <c r="EM23" s="20">
        <f t="shared" si="19"/>
        <v>146.43353271796309</v>
      </c>
      <c r="EN23" s="59">
        <f t="shared" si="20"/>
        <v>439.7668660512964</v>
      </c>
      <c r="EO23" s="59">
        <f ca="1">AVERAGE(OFFSET($EN$3,0,0,'Données projet'!$E$15+1,1))-AVERAGE(OFFSET($H$3,0,0,'Données projet'!$E$15+1,1))</f>
        <v>183.30081488041924</v>
      </c>
      <c r="EP23" s="59">
        <f t="shared" si="46"/>
        <v>199.33099759570928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10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4.3000000000000003E-2</v>
      </c>
      <c r="EU23" s="16">
        <f>IF(ISNA(VLOOKUP(A23,'Données projet'!$A$191:$I$211,7,0)),0%,VLOOKUP(A23,'Données projet'!$A$191:$I$211,7,0))</f>
        <v>0.3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0.44176156935676508</v>
      </c>
      <c r="EX23" s="21">
        <f>EXP(-LN(2)/2)*EX22+(1-EXP(-LN(2)/2))/(LN(2)/2)*ER23*EU23*VLOOKUP('Données projet'!$B$15,Paramètres!$A$1:$I$89,3,0)*0.475*44/12</f>
        <v>1.9915318938095625</v>
      </c>
      <c r="EY23" s="22">
        <f t="shared" si="21"/>
        <v>2.4332934631663274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7.2264102564102561</v>
      </c>
      <c r="N24" s="13">
        <f>IF('Données projet'!$A$36&gt;35,N23+M24-V23,IF(A24&lt;'Données projet'!$A$36,$K$205^A24,IF(A24='Données projet'!$A$36,'Données projet'!$B$36,N23+M24-V23)))</f>
        <v>43.17483711984115</v>
      </c>
      <c r="O24" s="13">
        <f>N24*VLOOKUP('Données projet'!$B$9,Paramètres!$A$1:$I$89,3,0)*VLOOKUP('Données projet'!$B$9,Paramètres!$A$1:$I$89,5,0)</f>
        <v>20.205823772085658</v>
      </c>
      <c r="P24" s="13">
        <f t="shared" si="33"/>
        <v>6.5625277686471071</v>
      </c>
      <c r="Q24" s="20">
        <f t="shared" si="2"/>
        <v>46.621545600109563</v>
      </c>
      <c r="R24" s="59">
        <f t="shared" si="0"/>
        <v>339.9548789334429</v>
      </c>
      <c r="S24" s="59">
        <f ca="1">AVERAGE(OFFSET($R$3,0,0,'Données projet'!$E$9+1,1))-AVERAGE(OFFSET($H$3,0,0,'Données projet'!$E$9+1,1))</f>
        <v>205.73717397588365</v>
      </c>
      <c r="T24" s="59">
        <f t="shared" si="34"/>
        <v>190.64998698136026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283.73369613548124</v>
      </c>
      <c r="AO24" s="59">
        <f t="shared" si="36"/>
        <v>249.77804091581208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20.658974358974358</v>
      </c>
      <c r="BD24" s="12">
        <f>IF('Données projet'!$A$88&gt;35,BD23+BC24-BL23,IF(A24&lt;'Données projet'!$A$88,$BA$205^A24,IF(A24='Données projet'!$A$88,'Données projet'!$B$88,BD23+BC24-BL23)))</f>
        <v>175.58461538461535</v>
      </c>
      <c r="BE24" s="13">
        <f>BD24*VLOOKUP('Données projet'!$B$11,Paramètres!$A$1:$I$89,3,0)*VLOOKUP('Données projet'!$B$11,Paramètres!$A$1:$I$89,5,0)</f>
        <v>98.15179999999998</v>
      </c>
      <c r="BF24" s="13">
        <f t="shared" si="37"/>
        <v>26.52121247620833</v>
      </c>
      <c r="BG24" s="20">
        <f t="shared" si="7"/>
        <v>217.13883006272945</v>
      </c>
      <c r="BH24" s="59">
        <f t="shared" si="8"/>
        <v>510.4721633960628</v>
      </c>
      <c r="BI24" s="59">
        <f ca="1">AVERAGE(OFFSET($BH$3,0,0,'Données projet'!$E$11+1,1))-AVERAGE(OFFSET($H$3,0,0,'Données projet'!$E$11+1,1))</f>
        <v>278.5296012747549</v>
      </c>
      <c r="BJ24" s="59">
        <f t="shared" si="38"/>
        <v>370.55343097937077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14.504098271788013</v>
      </c>
      <c r="BR24" s="21">
        <f>EXP(-LN(2)/2)*BR23+(1-EXP(-LN(2)/2))/(LN(2)/2)*BL24*BO24*VLOOKUP('Données projet'!$B$11,Paramètres!$A$1:$I$89,3,0)*0.475*44/12</f>
        <v>6.8216878129962479</v>
      </c>
      <c r="BS24" s="22">
        <f t="shared" si="9"/>
        <v>21.325786084784262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19.166666666666668</v>
      </c>
      <c r="BY24" s="12">
        <f>IF('Données projet'!$A$114&gt;35,BY23+BX24-CG23,IF(A24&lt;'Données projet'!$A$114,$BV$205^A24,IF(A24='Données projet'!$A$114,'Données projet'!$B$114,BY23+BX24-CG23)))</f>
        <v>181.50000000000003</v>
      </c>
      <c r="BZ24" s="13">
        <f>BY24*VLOOKUP('Données projet'!$B$12,Paramètres!$A$1:$I$89,3,0)*VLOOKUP('Données projet'!$B$12,Paramètres!$A$1:$I$89,5,0)</f>
        <v>99.099000000000004</v>
      </c>
      <c r="CA24" s="13">
        <f t="shared" si="39"/>
        <v>26.747233784597075</v>
      </c>
      <c r="CB24" s="20">
        <f t="shared" si="10"/>
        <v>219.18219050817322</v>
      </c>
      <c r="CC24" s="59">
        <f t="shared" si="11"/>
        <v>512.51552384150659</v>
      </c>
      <c r="CD24" s="59">
        <f ca="1">AVERAGE(OFFSET($CC$3,0,0,'Données projet'!$E$12+1,1))-AVERAGE(OFFSET($H$3,0,0,'Données projet'!$E$12+1,1))</f>
        <v>159.92263609041913</v>
      </c>
      <c r="CE24" s="59">
        <f t="shared" si="40"/>
        <v>271.78119133009307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38.177742491178776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38.177742491178776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4.0628205128205126</v>
      </c>
      <c r="CT24" s="12">
        <f>IF('Données projet'!$A$140&gt;35,CT23+CS24-DB23,IF(A24&lt;'Données projet'!$A$140,$CQ$205^A24,IF(A24='Données projet'!$A$140,'Données projet'!$B$140,CT23+CS24-DB23)))</f>
        <v>28.851222752799568</v>
      </c>
      <c r="CU24" s="17">
        <f>CT24*VLOOKUP('Données projet'!$B$13,Paramètres!$A$1:$I$89,3,0)*VLOOKUP('Données projet'!$B$13,Paramètres!$A$1:$I$89,5,0)</f>
        <v>26.104586346733051</v>
      </c>
      <c r="CV24" s="13">
        <f t="shared" si="41"/>
        <v>8.2293028123778775</v>
      </c>
      <c r="CW24" s="20">
        <f t="shared" si="13"/>
        <v>59.798190285451518</v>
      </c>
      <c r="CX24" s="59">
        <f t="shared" si="14"/>
        <v>353.13152361878485</v>
      </c>
      <c r="CY24" s="59">
        <f ca="1">AVERAGE(OFFSET($CX$3,0,0,'Données projet'!$E$13+1,1))-AVERAGE(OFFSET($H$3,0,0,'Données projet'!$E$13+1,1))</f>
        <v>280.25710840677186</v>
      </c>
      <c r="CZ24" s="59">
        <f t="shared" si="42"/>
        <v>209.65224013288037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10.199999999999999</v>
      </c>
      <c r="DO24" s="12">
        <f>IF('Données projet'!$A$166&gt;35,DO23+DN24-DW23,IF(A24&lt;'Données projet'!$A$166,$DL$205^A24,IF(A24='Données projet'!$A$166,'Données projet'!$B$166,DO23+DN24-DW23)))</f>
        <v>85.199999999999989</v>
      </c>
      <c r="DP24" s="17">
        <f>DO24*VLOOKUP('Données projet'!$B$14,Paramètres!$A$1:$I$89,3,0)*VLOOKUP('Données projet'!$B$14,Paramètres!$A$1:$I$89,5,0)</f>
        <v>89.05104</v>
      </c>
      <c r="DQ24" s="13">
        <f t="shared" si="43"/>
        <v>24.336217692365963</v>
      </c>
      <c r="DR24" s="20">
        <f t="shared" si="16"/>
        <v>197.48280714753739</v>
      </c>
      <c r="DS24" s="59">
        <f t="shared" si="17"/>
        <v>490.81614048087067</v>
      </c>
      <c r="DT24" s="59">
        <f ca="1">AVERAGE(OFFSET($DS$3,0,0,'Données projet'!$E$14+1,1))-AVERAGE(OFFSET($H$3,0,0,'Données projet'!$E$14+1,1))</f>
        <v>330.14201227773452</v>
      </c>
      <c r="DU24" s="59">
        <f t="shared" si="44"/>
        <v>307.07297894926467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9.6</v>
      </c>
      <c r="EJ24" s="12">
        <f>IF('Données projet'!$A$192&gt;35,EJ23+EI24-ER23,IF(A24&lt;'Données projet'!$A$192,$EG$205^A24,IF(A24='Données projet'!$A$192,'Données projet'!$B$192,EJ23+EI24-ER23)))</f>
        <v>99.6</v>
      </c>
      <c r="EK24" s="17">
        <f>EJ24*VLOOKUP('Données projet'!$B$15,Paramètres!$A$1:$I$89,3,0)*VLOOKUP('Données projet'!$B$15,Paramètres!$A$1:$I$89,5,0)</f>
        <v>65.257919999999999</v>
      </c>
      <c r="EL24" s="13">
        <f t="shared" si="45"/>
        <v>18.491067519086762</v>
      </c>
      <c r="EM24" s="20">
        <f t="shared" si="19"/>
        <v>145.8628199290761</v>
      </c>
      <c r="EN24" s="59">
        <f t="shared" si="20"/>
        <v>439.19615326240944</v>
      </c>
      <c r="EO24" s="59">
        <f ca="1">AVERAGE(OFFSET($EN$3,0,0,'Données projet'!$E$15+1,1))-AVERAGE(OFFSET($H$3,0,0,'Données projet'!$E$15+1,1))</f>
        <v>183.30081488041924</v>
      </c>
      <c r="EP24" s="59">
        <f t="shared" si="46"/>
        <v>199.33099759570928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0.42968157601147305</v>
      </c>
      <c r="EX24" s="21">
        <f>EXP(-LN(2)/2)*EX23+(1-EXP(-LN(2)/2))/(LN(2)/2)*ER24*EU24*VLOOKUP('Données projet'!$B$15,Paramètres!$A$1:$I$89,3,0)*0.475*44/12</f>
        <v>1.408225707062029</v>
      </c>
      <c r="EY24" s="22">
        <f t="shared" si="21"/>
        <v>1.8379072830735019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7.2264102564102561</v>
      </c>
      <c r="N25" s="13">
        <f>IF('Données projet'!$A$36&gt;35,N24+M25-V24,IF(A25&lt;'Données projet'!$A$36,$K$205^A25,IF(A25='Données projet'!$A$36,'Données projet'!$B$36,N24+M25-V24)))</f>
        <v>51.653390873361616</v>
      </c>
      <c r="O25" s="13">
        <f>N25*VLOOKUP('Données projet'!$B$9,Paramètres!$A$1:$I$89,3,0)*VLOOKUP('Données projet'!$B$9,Paramètres!$A$1:$I$89,5,0)</f>
        <v>24.173786928733236</v>
      </c>
      <c r="P25" s="13">
        <f t="shared" si="33"/>
        <v>7.6890986491341353</v>
      </c>
      <c r="Q25" s="20">
        <f t="shared" si="2"/>
        <v>55.494525714785674</v>
      </c>
      <c r="R25" s="59">
        <f t="shared" si="0"/>
        <v>348.82785904811897</v>
      </c>
      <c r="S25" s="59">
        <f ca="1">AVERAGE(OFFSET($R$3,0,0,'Données projet'!$E$9+1,1))-AVERAGE(OFFSET($H$3,0,0,'Données projet'!$E$9+1,1))</f>
        <v>205.73717397588365</v>
      </c>
      <c r="T25" s="59">
        <f t="shared" si="34"/>
        <v>190.64998698136026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283.73369613548124</v>
      </c>
      <c r="AO25" s="59">
        <f t="shared" si="36"/>
        <v>249.77804091581208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20.658974358974358</v>
      </c>
      <c r="BD25" s="12">
        <f>IF('Données projet'!$A$88&gt;35,BD24+BC25-BL24,IF(A25&lt;'Données projet'!$A$88,$BA$205^A25,IF(A25='Données projet'!$A$88,'Données projet'!$B$88,BD24+BC25-BL24)))</f>
        <v>196.24358974358969</v>
      </c>
      <c r="BE25" s="13">
        <f>BD25*VLOOKUP('Données projet'!$B$11,Paramètres!$A$1:$I$89,3,0)*VLOOKUP('Données projet'!$B$11,Paramètres!$A$1:$I$89,5,0)</f>
        <v>109.70016666666663</v>
      </c>
      <c r="BF25" s="13">
        <f t="shared" si="37"/>
        <v>29.260330282475415</v>
      </c>
      <c r="BG25" s="20">
        <f t="shared" si="7"/>
        <v>242.02286551975575</v>
      </c>
      <c r="BH25" s="59">
        <f t="shared" si="8"/>
        <v>535.35619885308904</v>
      </c>
      <c r="BI25" s="59">
        <f ca="1">AVERAGE(OFFSET($BH$3,0,0,'Données projet'!$E$11+1,1))-AVERAGE(OFFSET($H$3,0,0,'Données projet'!$E$11+1,1))</f>
        <v>278.5296012747549</v>
      </c>
      <c r="BJ25" s="59">
        <f t="shared" si="38"/>
        <v>370.55343097937077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14.107482941808591</v>
      </c>
      <c r="BR25" s="21">
        <f>EXP(-LN(2)/2)*BR24+(1-EXP(-LN(2)/2))/(LN(2)/2)*BL25*BO25*VLOOKUP('Données projet'!$B$11,Paramètres!$A$1:$I$89,3,0)*0.475*44/12</f>
        <v>4.8236617117072758</v>
      </c>
      <c r="BS25" s="22">
        <f t="shared" si="9"/>
        <v>18.931144653515865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19.166666666666668</v>
      </c>
      <c r="BY25" s="12">
        <f>IF('Données projet'!$A$114&gt;35,BY24+BX25-CG24,IF(A25&lt;'Données projet'!$A$114,$BV$205^A25,IF(A25='Données projet'!$A$114,'Données projet'!$B$114,BY24+BX25-CG24)))</f>
        <v>200.66666666666669</v>
      </c>
      <c r="BZ25" s="13">
        <f>BY25*VLOOKUP('Données projet'!$B$12,Paramètres!$A$1:$I$89,3,0)*VLOOKUP('Données projet'!$B$12,Paramètres!$A$1:$I$89,5,0)</f>
        <v>109.56400000000001</v>
      </c>
      <c r="CA25" s="13">
        <f t="shared" si="39"/>
        <v>29.228235839881371</v>
      </c>
      <c r="CB25" s="20">
        <f t="shared" si="10"/>
        <v>241.72981075446003</v>
      </c>
      <c r="CC25" s="59">
        <f t="shared" si="11"/>
        <v>535.06314408779338</v>
      </c>
      <c r="CD25" s="59">
        <f ca="1">AVERAGE(OFFSET($CC$3,0,0,'Données projet'!$E$12+1,1))-AVERAGE(OFFSET($H$3,0,0,'Données projet'!$E$12+1,1))</f>
        <v>159.92263609041913</v>
      </c>
      <c r="CE25" s="59">
        <f t="shared" si="40"/>
        <v>271.78119133009307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37.133770115077269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37.133770115077269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4.0628205128205126</v>
      </c>
      <c r="CT25" s="12">
        <f>IF('Données projet'!$A$140&gt;35,CT24+CS25-DB24,IF(A25&lt;'Données projet'!$A$140,$CQ$205^A25,IF(A25='Données projet'!$A$140,'Données projet'!$B$140,CT24+CS25-DB24)))</f>
        <v>33.860693883812012</v>
      </c>
      <c r="CU25" s="17">
        <f>CT25*VLOOKUP('Données projet'!$B$13,Paramètres!$A$1:$I$89,3,0)*VLOOKUP('Données projet'!$B$13,Paramètres!$A$1:$I$89,5,0)</f>
        <v>30.637155826073108</v>
      </c>
      <c r="CV25" s="13">
        <f t="shared" si="41"/>
        <v>9.4798440138175533</v>
      </c>
      <c r="CW25" s="20">
        <f t="shared" si="13"/>
        <v>69.870441387809549</v>
      </c>
      <c r="CX25" s="59">
        <f t="shared" si="14"/>
        <v>363.20377472114285</v>
      </c>
      <c r="CY25" s="59">
        <f ca="1">AVERAGE(OFFSET($CX$3,0,0,'Données projet'!$E$13+1,1))-AVERAGE(OFFSET($H$3,0,0,'Données projet'!$E$13+1,1))</f>
        <v>280.25710840677186</v>
      </c>
      <c r="CZ25" s="59">
        <f t="shared" si="42"/>
        <v>209.65224013288037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10.199999999999999</v>
      </c>
      <c r="DO25" s="12">
        <f>IF('Données projet'!$A$166&gt;35,DO24+DN25-DW24,IF(A25&lt;'Données projet'!$A$166,$DL$205^A25,IF(A25='Données projet'!$A$166,'Données projet'!$B$166,DO24+DN25-DW24)))</f>
        <v>95.399999999999991</v>
      </c>
      <c r="DP25" s="17">
        <f>DO25*VLOOKUP('Données projet'!$B$14,Paramètres!$A$1:$I$89,3,0)*VLOOKUP('Données projet'!$B$14,Paramètres!$A$1:$I$89,5,0)</f>
        <v>99.71208</v>
      </c>
      <c r="DQ25" s="13">
        <f t="shared" si="43"/>
        <v>26.893393072251083</v>
      </c>
      <c r="DR25" s="20">
        <f t="shared" si="16"/>
        <v>220.50453226750395</v>
      </c>
      <c r="DS25" s="59">
        <f t="shared" si="17"/>
        <v>513.83786560083729</v>
      </c>
      <c r="DT25" s="59">
        <f ca="1">AVERAGE(OFFSET($DS$3,0,0,'Données projet'!$E$14+1,1))-AVERAGE(OFFSET($H$3,0,0,'Données projet'!$E$14+1,1))</f>
        <v>330.14201227773452</v>
      </c>
      <c r="DU25" s="59">
        <f t="shared" si="44"/>
        <v>307.07297894926467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9.6</v>
      </c>
      <c r="EJ25" s="12">
        <f>IF('Données projet'!$A$192&gt;35,EJ24+EI25-ER24,IF(A25&lt;'Données projet'!$A$192,$EG$205^A25,IF(A25='Données projet'!$A$192,'Données projet'!$B$192,EJ24+EI25-ER24)))</f>
        <v>109.19999999999999</v>
      </c>
      <c r="EK25" s="17">
        <f>EJ25*VLOOKUP('Données projet'!$B$15,Paramètres!$A$1:$I$89,3,0)*VLOOKUP('Données projet'!$B$15,Paramètres!$A$1:$I$89,5,0)</f>
        <v>71.547839999999994</v>
      </c>
      <c r="EL25" s="13">
        <f t="shared" si="45"/>
        <v>20.05735014974319</v>
      </c>
      <c r="EM25" s="20">
        <f t="shared" si="19"/>
        <v>159.54570617746938</v>
      </c>
      <c r="EN25" s="59">
        <f t="shared" si="20"/>
        <v>452.87903951080273</v>
      </c>
      <c r="EO25" s="59">
        <f ca="1">AVERAGE(OFFSET($EN$3,0,0,'Données projet'!$E$15+1,1))-AVERAGE(OFFSET($H$3,0,0,'Données projet'!$E$15+1,1))</f>
        <v>183.30081488041924</v>
      </c>
      <c r="EP25" s="59">
        <f t="shared" si="46"/>
        <v>199.33099759570928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0.41793191071946728</v>
      </c>
      <c r="EX25" s="21">
        <f>EXP(-LN(2)/2)*EX24+(1-EXP(-LN(2)/2))/(LN(2)/2)*ER25*EU25*VLOOKUP('Données projet'!$B$15,Paramètres!$A$1:$I$89,3,0)*0.475*44/12</f>
        <v>0.99576594690478137</v>
      </c>
      <c r="EY25" s="22">
        <f t="shared" si="21"/>
        <v>1.4136978576242487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7.2264102564102561</v>
      </c>
      <c r="N26" s="13">
        <f>IF('Données projet'!$A$36&gt;35,N25+M26-V25,IF(A26&lt;'Données projet'!$A$36,$K$205^A26,IF(A26='Données projet'!$A$36,'Données projet'!$B$36,N25+M26-V25)))</f>
        <v>61.796939298472864</v>
      </c>
      <c r="O26" s="13">
        <f>N26*VLOOKUP('Données projet'!$B$9,Paramètres!$A$1:$I$89,3,0)*VLOOKUP('Données projet'!$B$9,Paramètres!$A$1:$I$89,5,0)</f>
        <v>28.920967591685301</v>
      </c>
      <c r="P26" s="13">
        <f t="shared" si="33"/>
        <v>9.0090648177637647</v>
      </c>
      <c r="Q26" s="20">
        <f t="shared" si="2"/>
        <v>66.061473113123796</v>
      </c>
      <c r="R26" s="59">
        <f t="shared" si="0"/>
        <v>359.3948064464571</v>
      </c>
      <c r="S26" s="59">
        <f ca="1">AVERAGE(OFFSET($R$3,0,0,'Données projet'!$E$9+1,1))-AVERAGE(OFFSET($H$3,0,0,'Données projet'!$E$9+1,1))</f>
        <v>205.73717397588365</v>
      </c>
      <c r="T26" s="59">
        <f t="shared" si="34"/>
        <v>190.64998698136026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283.73369613548124</v>
      </c>
      <c r="AO26" s="59">
        <f t="shared" si="36"/>
        <v>249.77804091581208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20.658974358974358</v>
      </c>
      <c r="BD26" s="12">
        <f>IF('Données projet'!$A$88&gt;35,BD25+BC26-BL25,IF(A26&lt;'Données projet'!$A$88,$BA$205^A26,IF(A26='Données projet'!$A$88,'Données projet'!$B$88,BD25+BC26-BL25)))</f>
        <v>216.90256410256404</v>
      </c>
      <c r="BE26" s="13">
        <f>BD26*VLOOKUP('Données projet'!$B$11,Paramètres!$A$1:$I$89,3,0)*VLOOKUP('Données projet'!$B$11,Paramètres!$A$1:$I$89,5,0)</f>
        <v>121.2485333333333</v>
      </c>
      <c r="BF26" s="13">
        <f t="shared" si="37"/>
        <v>31.966023537079113</v>
      </c>
      <c r="BG26" s="20">
        <f t="shared" si="7"/>
        <v>266.84868654930165</v>
      </c>
      <c r="BH26" s="59">
        <f t="shared" si="8"/>
        <v>560.1820198826349</v>
      </c>
      <c r="BI26" s="59">
        <f ca="1">AVERAGE(OFFSET($BH$3,0,0,'Données projet'!$E$11+1,1))-AVERAGE(OFFSET($H$3,0,0,'Données projet'!$E$11+1,1))</f>
        <v>278.5296012747549</v>
      </c>
      <c r="BJ26" s="59">
        <f t="shared" si="38"/>
        <v>370.55343097937077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13.72171307888455</v>
      </c>
      <c r="BR26" s="21">
        <f>EXP(-LN(2)/2)*BR25+(1-EXP(-LN(2)/2))/(LN(2)/2)*BL26*BO26*VLOOKUP('Données projet'!$B$11,Paramètres!$A$1:$I$89,3,0)*0.475*44/12</f>
        <v>3.410843906498124</v>
      </c>
      <c r="BS26" s="22">
        <f t="shared" si="9"/>
        <v>17.132556985382674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19.166666666666668</v>
      </c>
      <c r="BY26" s="12">
        <f>IF('Données projet'!$A$114&gt;35,BY25+BX26-CG25,IF(A26&lt;'Données projet'!$A$114,$BV$205^A26,IF(A26='Données projet'!$A$114,'Données projet'!$B$114,BY25+BX26-CG25)))</f>
        <v>219.83333333333334</v>
      </c>
      <c r="BZ26" s="13">
        <f>BY26*VLOOKUP('Données projet'!$B$12,Paramètres!$A$1:$I$89,3,0)*VLOOKUP('Données projet'!$B$12,Paramètres!$A$1:$I$89,5,0)</f>
        <v>120.029</v>
      </c>
      <c r="CA26" s="13">
        <f t="shared" si="39"/>
        <v>31.68176297276506</v>
      </c>
      <c r="CB26" s="20">
        <f t="shared" si="10"/>
        <v>264.22957884423249</v>
      </c>
      <c r="CC26" s="59">
        <f t="shared" si="11"/>
        <v>557.56291217756575</v>
      </c>
      <c r="CD26" s="59">
        <f ca="1">AVERAGE(OFFSET($CC$3,0,0,'Données projet'!$E$12+1,1))-AVERAGE(OFFSET($H$3,0,0,'Données projet'!$E$12+1,1))</f>
        <v>159.92263609041913</v>
      </c>
      <c r="CE26" s="59">
        <f t="shared" si="40"/>
        <v>271.78119133009307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36.11834521850038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36.11834521850038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4.0628205128205126</v>
      </c>
      <c r="CT26" s="12">
        <f>IF('Données projet'!$A$140&gt;35,CT25+CS26-DB25,IF(A26&lt;'Données projet'!$A$140,$CQ$205^A26,IF(A26='Données projet'!$A$140,'Données projet'!$B$140,CT25+CS26-DB25)))</f>
        <v>39.739965273463824</v>
      </c>
      <c r="CU26" s="17">
        <f>CT26*VLOOKUP('Données projet'!$B$13,Paramètres!$A$1:$I$89,3,0)*VLOOKUP('Données projet'!$B$13,Paramètres!$A$1:$I$89,5,0)</f>
        <v>35.956720579430062</v>
      </c>
      <c r="CV26" s="13">
        <f t="shared" si="41"/>
        <v>10.920419940209383</v>
      </c>
      <c r="CW26" s="20">
        <f t="shared" si="13"/>
        <v>81.644353071705368</v>
      </c>
      <c r="CX26" s="59">
        <f t="shared" si="14"/>
        <v>374.9776864050387</v>
      </c>
      <c r="CY26" s="59">
        <f ca="1">AVERAGE(OFFSET($CX$3,0,0,'Données projet'!$E$13+1,1))-AVERAGE(OFFSET($H$3,0,0,'Données projet'!$E$13+1,1))</f>
        <v>280.25710840677186</v>
      </c>
      <c r="CZ26" s="59">
        <f t="shared" si="42"/>
        <v>209.65224013288037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10.199999999999999</v>
      </c>
      <c r="DO26" s="12">
        <f>IF('Données projet'!$A$166&gt;35,DO25+DN26-DW25,IF(A26&lt;'Données projet'!$A$166,$DL$205^A26,IF(A26='Données projet'!$A$166,'Données projet'!$B$166,DO25+DN26-DW25)))</f>
        <v>105.6</v>
      </c>
      <c r="DP26" s="17">
        <f>DO26*VLOOKUP('Données projet'!$B$14,Paramètres!$A$1:$I$89,3,0)*VLOOKUP('Données projet'!$B$14,Paramètres!$A$1:$I$89,5,0)</f>
        <v>110.37312</v>
      </c>
      <c r="DQ26" s="13">
        <f t="shared" si="43"/>
        <v>29.418877221958358</v>
      </c>
      <c r="DR26" s="20">
        <f t="shared" si="16"/>
        <v>243.47106182824413</v>
      </c>
      <c r="DS26" s="59">
        <f t="shared" si="17"/>
        <v>536.80439516157742</v>
      </c>
      <c r="DT26" s="59">
        <f ca="1">AVERAGE(OFFSET($DS$3,0,0,'Données projet'!$E$14+1,1))-AVERAGE(OFFSET($H$3,0,0,'Données projet'!$E$14+1,1))</f>
        <v>330.14201227773452</v>
      </c>
      <c r="DU26" s="59">
        <f t="shared" si="44"/>
        <v>307.07297894926467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9.6</v>
      </c>
      <c r="EJ26" s="12">
        <f>IF('Données projet'!$A$192&gt;35,EJ25+EI26-ER25,IF(A26&lt;'Données projet'!$A$192,$EG$205^A26,IF(A26='Données projet'!$A$192,'Données projet'!$B$192,EJ25+EI26-ER25)))</f>
        <v>118.79999999999998</v>
      </c>
      <c r="EK26" s="17">
        <f>EJ26*VLOOKUP('Données projet'!$B$15,Paramètres!$A$1:$I$89,3,0)*VLOOKUP('Données projet'!$B$15,Paramètres!$A$1:$I$89,5,0)</f>
        <v>77.837759999999989</v>
      </c>
      <c r="EL26" s="13">
        <f t="shared" si="45"/>
        <v>21.607665094033621</v>
      </c>
      <c r="EM26" s="20">
        <f t="shared" si="19"/>
        <v>173.2007820387752</v>
      </c>
      <c r="EN26" s="59">
        <f t="shared" si="20"/>
        <v>466.53411537210854</v>
      </c>
      <c r="EO26" s="59">
        <f ca="1">AVERAGE(OFFSET($EN$3,0,0,'Données projet'!$E$15+1,1))-AVERAGE(OFFSET($H$3,0,0,'Données projet'!$E$15+1,1))</f>
        <v>183.30081488041924</v>
      </c>
      <c r="EP26" s="59">
        <f t="shared" si="46"/>
        <v>199.33099759570928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0.40650354064275945</v>
      </c>
      <c r="EX26" s="21">
        <f>EXP(-LN(2)/2)*EX25+(1-EXP(-LN(2)/2))/(LN(2)/2)*ER26*EU26*VLOOKUP('Données projet'!$B$15,Paramètres!$A$1:$I$89,3,0)*0.475*44/12</f>
        <v>0.7041128535310146</v>
      </c>
      <c r="EY26" s="22">
        <f t="shared" si="21"/>
        <v>1.1106163941737741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7.2264102564102561</v>
      </c>
      <c r="N27" s="13">
        <f>IF('Données projet'!$A$36&gt;35,N26+M27-V26,IF(A27&lt;'Données projet'!$A$36,$K$205^A27,IF(A27='Données projet'!$A$36,'Données projet'!$B$36,N26+M27-V26)))</f>
        <v>73.932449391789717</v>
      </c>
      <c r="O27" s="13">
        <f>N27*VLOOKUP('Données projet'!$B$9,Paramètres!$A$1:$I$89,3,0)*VLOOKUP('Données projet'!$B$9,Paramètres!$A$1:$I$89,5,0)</f>
        <v>34.600386315357589</v>
      </c>
      <c r="P27" s="13">
        <f t="shared" si="33"/>
        <v>10.555625905490055</v>
      </c>
      <c r="Q27" s="20">
        <f t="shared" si="2"/>
        <v>78.646721284642979</v>
      </c>
      <c r="R27" s="59">
        <f t="shared" si="0"/>
        <v>371.98005461797629</v>
      </c>
      <c r="S27" s="59">
        <f ca="1">AVERAGE(OFFSET($R$3,0,0,'Données projet'!$E$9+1,1))-AVERAGE(OFFSET($H$3,0,0,'Données projet'!$E$9+1,1))</f>
        <v>205.73717397588365</v>
      </c>
      <c r="T27" s="59">
        <f t="shared" si="34"/>
        <v>190.64998698136026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283.73369613548124</v>
      </c>
      <c r="AO27" s="59">
        <f t="shared" si="36"/>
        <v>249.77804091581208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237.56153846153845</v>
      </c>
      <c r="BB27" s="12">
        <f>VLOOKUP(A27,'Données projet'!$A$87:$I$107,9,0)</f>
        <v>20.658974358974358</v>
      </c>
      <c r="BC27" s="12">
        <f t="array" ref="BC27">INDEX(BB:BB,MIN(IF(ISNUMBER(BB27:BB223),ROW(BB27:BB223),"")))</f>
        <v>20.658974358974358</v>
      </c>
      <c r="BD27" s="12">
        <f>IF('Données projet'!$A$88&gt;35,BD26+BC27-BL26,IF(A27&lt;'Données projet'!$A$88,$BA$205^A27,IF(A27='Données projet'!$A$88,'Données projet'!$B$88,BD26+BC27-BL26)))</f>
        <v>237.56153846153839</v>
      </c>
      <c r="BE27" s="13">
        <f>BD27*VLOOKUP('Données projet'!$B$11,Paramètres!$A$1:$I$89,3,0)*VLOOKUP('Données projet'!$B$11,Paramètres!$A$1:$I$89,5,0)</f>
        <v>132.79689999999997</v>
      </c>
      <c r="BF27" s="13">
        <f t="shared" si="37"/>
        <v>34.641837967861036</v>
      </c>
      <c r="BG27" s="20">
        <f t="shared" si="7"/>
        <v>291.62246862735793</v>
      </c>
      <c r="BH27" s="59">
        <f t="shared" si="8"/>
        <v>584.95580196069125</v>
      </c>
      <c r="BI27" s="59">
        <f ca="1">AVERAGE(OFFSET($BH$3,0,0,'Données projet'!$E$11+1,1))-AVERAGE(OFFSET($H$3,0,0,'Données projet'!$E$11+1,1))</f>
        <v>278.5296012747549</v>
      </c>
      <c r="BJ27" s="59">
        <f t="shared" si="38"/>
        <v>370.55343097937077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42.661538461538463</v>
      </c>
      <c r="BM27" s="16">
        <f>IF(ISNA(VLOOKUP(A27,'Données projet'!$A$87:$I$107,5,0)),0%,VLOOKUP(A27,'Données projet'!$A$87:$I$107,5,0)*VLOOKUP('Données projet'!$B$11,Paramètres!$A$1:$I$89,7,0))</f>
        <v>0.38500000000000001</v>
      </c>
      <c r="BN27" s="16">
        <f>IF(ISNA(VLOOKUP(A27,'Données projet'!$A$87:$I$107,6,0)),0%,VLOOKUP(A27,'Données projet'!$A$87:$I$107,6,0)*VLOOKUP('Données projet'!$B$11,Paramètres!$A$1:$I$89,7,0))</f>
        <v>9.240000000000001E-2</v>
      </c>
      <c r="BO27" s="16">
        <f>IF(ISNA(VLOOKUP(A27,'Données projet'!$A$87:$I$107,7,0)),0%,VLOOKUP(A27,'Données projet'!$A$87:$I$107,7,0))</f>
        <v>0.13200000000000001</v>
      </c>
      <c r="BP27" s="21">
        <f>EXP(-LN(2)/35)*BP26+(1-EXP(-LN(2)/35))/(LN(2)/35)*BL27*BM27*VLOOKUP('Données projet'!$B$11,Paramètres!$A$1:$I$89,3,0)*0.475*44/12</f>
        <v>12.179722870865961</v>
      </c>
      <c r="BQ27" s="21">
        <f>EXP(-LN(2)/25)*BQ26+(1-EXP(-LN(2)/25))/(LN(2)/25)*Calculateur!BL27*Calculateur!BN27*VLOOKUP('Données projet'!$B$11,Paramètres!$A$1:$I$89,3,0)*0.475*44/12</f>
        <v>16.25811611180935</v>
      </c>
      <c r="BR27" s="21">
        <f>EXP(-LN(2)/2)*BR26+(1-EXP(-LN(2)/2))/(LN(2)/2)*BL27*BO27*VLOOKUP('Données projet'!$B$11,Paramètres!$A$1:$I$89,3,0)*0.475*44/12</f>
        <v>5.9759957746672558</v>
      </c>
      <c r="BS27" s="22">
        <f t="shared" si="9"/>
        <v>34.413834757342563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>
        <f>VLOOKUP(A27,'Données projet'!$A$113:$I$133,2,0)</f>
        <v>239</v>
      </c>
      <c r="BW27" s="12">
        <f>VLOOKUP(A27,'Données projet'!$A$113:$I$133,9,0)</f>
        <v>19.166666666666668</v>
      </c>
      <c r="BX27" s="12">
        <f t="array" ref="BX27">INDEX(BW:BW,MIN(IF(ISNUMBER(BW27:BW223),ROW(BW27:BW223),"")))</f>
        <v>19.166666666666668</v>
      </c>
      <c r="BY27" s="12">
        <f>IF('Données projet'!$A$114&gt;35,BY26+BX27-CG26,IF(A27&lt;'Données projet'!$A$114,$BV$205^A27,IF(A27='Données projet'!$A$114,'Données projet'!$B$114,BY26+BX27-CG26)))</f>
        <v>239</v>
      </c>
      <c r="BZ27" s="13">
        <f>BY27*VLOOKUP('Données projet'!$B$12,Paramètres!$A$1:$I$89,3,0)*VLOOKUP('Données projet'!$B$12,Paramètres!$A$1:$I$89,5,0)</f>
        <v>130.494</v>
      </c>
      <c r="CA27" s="13">
        <f t="shared" si="39"/>
        <v>34.110483018610772</v>
      </c>
      <c r="CB27" s="20">
        <f t="shared" si="10"/>
        <v>286.68614125741374</v>
      </c>
      <c r="CC27" s="59">
        <f t="shared" si="11"/>
        <v>580.019474590747</v>
      </c>
      <c r="CD27" s="59">
        <f ca="1">AVERAGE(OFFSET($CC$3,0,0,'Données projet'!$E$12+1,1))-AVERAGE(OFFSET($H$3,0,0,'Données projet'!$E$12+1,1))</f>
        <v>159.92263609041913</v>
      </c>
      <c r="CE27" s="59">
        <f t="shared" si="40"/>
        <v>271.78119133009307</v>
      </c>
      <c r="CF27" s="15">
        <f>IF(ISNA(VLOOKUP(A27,'Données projet'!$A$113:$I$133,3,0)),0,VLOOKUP(A27,'Données projet'!$A$113:$I$133,3,0))</f>
        <v>4</v>
      </c>
      <c r="CG27" s="15">
        <f>IF(ISNA(VLOOKUP(A27,'Données projet'!$A$113:$I$133,4,0)),0,VLOOKUP(A27,'Données projet'!$A$113:$I$133,4,0))</f>
        <v>84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0.48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64.219645158342004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64.219645158342004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4.0628205128205126</v>
      </c>
      <c r="CT27" s="12">
        <f>IF('Données projet'!$A$140&gt;35,CT26+CS27-DB26,IF(A27&lt;'Données projet'!$A$140,$CQ$205^A27,IF(A27='Données projet'!$A$140,'Données projet'!$B$140,CT26+CS27-DB26)))</f>
        <v>46.640061345320483</v>
      </c>
      <c r="CU27" s="17">
        <f>CT27*VLOOKUP('Données projet'!$B$13,Paramètres!$A$1:$I$89,3,0)*VLOOKUP('Données projet'!$B$13,Paramètres!$A$1:$I$89,5,0)</f>
        <v>42.199927505245967</v>
      </c>
      <c r="CV27" s="13">
        <f t="shared" si="41"/>
        <v>12.579908645827834</v>
      </c>
      <c r="CW27" s="20">
        <f t="shared" si="13"/>
        <v>95.408214629786869</v>
      </c>
      <c r="CX27" s="59">
        <f t="shared" si="14"/>
        <v>388.74154796312018</v>
      </c>
      <c r="CY27" s="59">
        <f ca="1">AVERAGE(OFFSET($CX$3,0,0,'Données projet'!$E$13+1,1))-AVERAGE(OFFSET($H$3,0,0,'Données projet'!$E$13+1,1))</f>
        <v>280.25710840677186</v>
      </c>
      <c r="CZ27" s="59">
        <f t="shared" si="42"/>
        <v>209.65224013288037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10.199999999999999</v>
      </c>
      <c r="DO27" s="12">
        <f>IF('Données projet'!$A$166&gt;35,DO26+DN27-DW26,IF(A27&lt;'Données projet'!$A$166,$DL$205^A27,IF(A27='Données projet'!$A$166,'Données projet'!$B$166,DO26+DN27-DW26)))</f>
        <v>115.8</v>
      </c>
      <c r="DP27" s="17">
        <f>DO27*VLOOKUP('Données projet'!$B$14,Paramètres!$A$1:$I$89,3,0)*VLOOKUP('Données projet'!$B$14,Paramètres!$A$1:$I$89,5,0)</f>
        <v>121.03416</v>
      </c>
      <c r="DQ27" s="13">
        <f t="shared" si="43"/>
        <v>31.916079538986775</v>
      </c>
      <c r="DR27" s="20">
        <f t="shared" si="16"/>
        <v>266.38833386373528</v>
      </c>
      <c r="DS27" s="59">
        <f t="shared" si="17"/>
        <v>559.72166719706865</v>
      </c>
      <c r="DT27" s="59">
        <f ca="1">AVERAGE(OFFSET($DS$3,0,0,'Données projet'!$E$14+1,1))-AVERAGE(OFFSET($H$3,0,0,'Données projet'!$E$14+1,1))</f>
        <v>330.14201227773452</v>
      </c>
      <c r="DU27" s="59">
        <f t="shared" si="44"/>
        <v>307.07297894926467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9.6</v>
      </c>
      <c r="EJ27" s="12">
        <f>IF('Données projet'!$A$192&gt;35,EJ26+EI27-ER26,IF(A27&lt;'Données projet'!$A$192,$EG$205^A27,IF(A27='Données projet'!$A$192,'Données projet'!$B$192,EJ26+EI27-ER26)))</f>
        <v>128.39999999999998</v>
      </c>
      <c r="EK27" s="17">
        <f>EJ27*VLOOKUP('Données projet'!$B$15,Paramètres!$A$1:$I$89,3,0)*VLOOKUP('Données projet'!$B$15,Paramètres!$A$1:$I$89,5,0)</f>
        <v>84.127679999999984</v>
      </c>
      <c r="EL27" s="13">
        <f t="shared" si="45"/>
        <v>23.143449366413215</v>
      </c>
      <c r="EM27" s="20">
        <f t="shared" si="19"/>
        <v>186.83055031316962</v>
      </c>
      <c r="EN27" s="59">
        <f t="shared" si="20"/>
        <v>480.16388364650294</v>
      </c>
      <c r="EO27" s="59">
        <f ca="1">AVERAGE(OFFSET($EN$3,0,0,'Données projet'!$E$15+1,1))-AVERAGE(OFFSET($H$3,0,0,'Données projet'!$E$15+1,1))</f>
        <v>183.30081488041924</v>
      </c>
      <c r="EP27" s="59">
        <f t="shared" si="46"/>
        <v>199.33099759570928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0.39538767994679108</v>
      </c>
      <c r="EX27" s="21">
        <f>EXP(-LN(2)/2)*EX26+(1-EXP(-LN(2)/2))/(LN(2)/2)*ER27*EU27*VLOOKUP('Données projet'!$B$15,Paramètres!$A$1:$I$89,3,0)*0.475*44/12</f>
        <v>0.49788297345239074</v>
      </c>
      <c r="EY27" s="22">
        <f t="shared" si="21"/>
        <v>0.89327065339918188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7.2264102564102561</v>
      </c>
      <c r="N28" s="13">
        <f>IF('Données projet'!$A$36&gt;35,N27+M28-V27,IF(A28&lt;'Données projet'!$A$36,$K$205^A28,IF(A28='Données projet'!$A$36,'Données projet'!$B$36,N27+M28-V27)))</f>
        <v>88.451097014195071</v>
      </c>
      <c r="O28" s="13">
        <f>N28*VLOOKUP('Données projet'!$B$9,Paramètres!$A$1:$I$89,3,0)*VLOOKUP('Données projet'!$B$9,Paramètres!$A$1:$I$89,5,0)</f>
        <v>41.39511340264329</v>
      </c>
      <c r="P28" s="13">
        <f t="shared" si="33"/>
        <v>12.367680831528276</v>
      </c>
      <c r="Q28" s="20">
        <f t="shared" si="2"/>
        <v>93.636866624515463</v>
      </c>
      <c r="R28" s="59">
        <f t="shared" si="0"/>
        <v>386.97019995784876</v>
      </c>
      <c r="S28" s="59">
        <f ca="1">AVERAGE(OFFSET($R$3,0,0,'Données projet'!$E$9+1,1))-AVERAGE(OFFSET($H$3,0,0,'Données projet'!$E$9+1,1))</f>
        <v>205.73717397588365</v>
      </c>
      <c r="T28" s="59">
        <f t="shared" si="34"/>
        <v>190.64998698136026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283.73369613548124</v>
      </c>
      <c r="AO28" s="59">
        <f t="shared" si="36"/>
        <v>249.77804091581208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22.828205128205127</v>
      </c>
      <c r="BD28" s="12">
        <f>IF('Données projet'!$A$88&gt;35,BD27+BC28-BL27,IF(A28&lt;'Données projet'!$A$88,$BA$205^A28,IF(A28='Données projet'!$A$88,'Données projet'!$B$88,BD27+BC28-BL27)))</f>
        <v>217.72820512820502</v>
      </c>
      <c r="BE28" s="13">
        <f>BD28*VLOOKUP('Données projet'!$B$11,Paramètres!$A$1:$I$89,3,0)*VLOOKUP('Données projet'!$B$11,Paramètres!$A$1:$I$89,5,0)</f>
        <v>121.71006666666661</v>
      </c>
      <c r="BF28" s="13">
        <f t="shared" si="37"/>
        <v>32.073515207801002</v>
      </c>
      <c r="BG28" s="20">
        <f t="shared" si="7"/>
        <v>267.83973843136442</v>
      </c>
      <c r="BH28" s="59">
        <f t="shared" si="8"/>
        <v>561.17307176469774</v>
      </c>
      <c r="BI28" s="59">
        <f ca="1">AVERAGE(OFFSET($BH$3,0,0,'Données projet'!$E$11+1,1))-AVERAGE(OFFSET($H$3,0,0,'Données projet'!$E$11+1,1))</f>
        <v>278.5296012747549</v>
      </c>
      <c r="BJ28" s="59">
        <f t="shared" si="38"/>
        <v>370.55343097937077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11.940885934265687</v>
      </c>
      <c r="BQ28" s="21">
        <f>EXP(-LN(2)/25)*BQ27+(1-EXP(-LN(2)/25))/(LN(2)/25)*Calculateur!BL28*Calculateur!BN28*VLOOKUP('Données projet'!$B$11,Paramètres!$A$1:$I$89,3,0)*0.475*44/12</f>
        <v>15.813537071754755</v>
      </c>
      <c r="BR28" s="21">
        <f>EXP(-LN(2)/2)*BR27+(1-EXP(-LN(2)/2))/(LN(2)/2)*BL28*BO28*VLOOKUP('Données projet'!$B$11,Paramètres!$A$1:$I$89,3,0)*0.475*44/12</f>
        <v>4.2256671366093723</v>
      </c>
      <c r="BS28" s="22">
        <f t="shared" si="9"/>
        <v>31.980090142629813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16.666666666666668</v>
      </c>
      <c r="BY28" s="12">
        <f>IF('Données projet'!$A$114&gt;35,BY27+BX28-CG27,IF(A28&lt;'Données projet'!$A$114,$BV$205^A28,IF(A28='Données projet'!$A$114,'Données projet'!$B$114,BY27+BX28-CG27)))</f>
        <v>171.66666666666666</v>
      </c>
      <c r="BZ28" s="13">
        <f>BY28*VLOOKUP('Données projet'!$B$12,Paramètres!$A$1:$I$89,3,0)*VLOOKUP('Données projet'!$B$12,Paramètres!$A$1:$I$89,5,0)</f>
        <v>93.72999999999999</v>
      </c>
      <c r="CA28" s="13">
        <f t="shared" si="39"/>
        <v>25.462674063925309</v>
      </c>
      <c r="CB28" s="20">
        <f t="shared" si="10"/>
        <v>207.59390732800321</v>
      </c>
      <c r="CC28" s="59">
        <f t="shared" si="11"/>
        <v>500.92724066133655</v>
      </c>
      <c r="CD28" s="59">
        <f ca="1">AVERAGE(OFFSET($CC$3,0,0,'Données projet'!$E$12+1,1))-AVERAGE(OFFSET($H$3,0,0,'Données projet'!$E$12+1,1))</f>
        <v>159.92263609041913</v>
      </c>
      <c r="CE28" s="59">
        <f t="shared" si="40"/>
        <v>271.78119133009307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62.463555584322776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62.463555584322776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4.0628205128205126</v>
      </c>
      <c r="CT28" s="12">
        <f>IF('Données projet'!$A$140&gt;35,CT27+CS28-DB27,IF(A28&lt;'Données projet'!$A$140,$CQ$205^A28,IF(A28='Données projet'!$A$140,'Données projet'!$B$140,CT27+CS28-DB27)))</f>
        <v>54.738229068051083</v>
      </c>
      <c r="CU28" s="17">
        <f>CT28*VLOOKUP('Données projet'!$B$13,Paramètres!$A$1:$I$89,3,0)*VLOOKUP('Données projet'!$B$13,Paramètres!$A$1:$I$89,5,0)</f>
        <v>49.527149660772622</v>
      </c>
      <c r="CV28" s="13">
        <f t="shared" si="41"/>
        <v>14.49157655143614</v>
      </c>
      <c r="CW28" s="20">
        <f t="shared" si="13"/>
        <v>111.49928148626357</v>
      </c>
      <c r="CX28" s="59">
        <f t="shared" si="14"/>
        <v>404.83261481959687</v>
      </c>
      <c r="CY28" s="59">
        <f ca="1">AVERAGE(OFFSET($CX$3,0,0,'Données projet'!$E$13+1,1))-AVERAGE(OFFSET($H$3,0,0,'Données projet'!$E$13+1,1))</f>
        <v>280.25710840677186</v>
      </c>
      <c r="CZ28" s="59">
        <f t="shared" si="42"/>
        <v>209.65224013288037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126</v>
      </c>
      <c r="DM28" s="12">
        <f>VLOOKUP(A28,'Données projet'!$A$165:$I$185,9,0)</f>
        <v>10.199999999999999</v>
      </c>
      <c r="DN28" s="12">
        <f t="array" ref="DN28">INDEX(DM:DM,MIN(IF(ISNUMBER(DM28:DM224),ROW(DM28:DM224),"")))</f>
        <v>10.199999999999999</v>
      </c>
      <c r="DO28" s="12">
        <f>IF('Données projet'!$A$166&gt;35,DO27+DN28-DW27,IF(A28&lt;'Données projet'!$A$166,$DL$205^A28,IF(A28='Données projet'!$A$166,'Données projet'!$B$166,DO27+DN28-DW27)))</f>
        <v>126</v>
      </c>
      <c r="DP28" s="17">
        <f>DO28*VLOOKUP('Données projet'!$B$14,Paramètres!$A$1:$I$89,3,0)*VLOOKUP('Données projet'!$B$14,Paramètres!$A$1:$I$89,5,0)</f>
        <v>131.6952</v>
      </c>
      <c r="DQ28" s="13">
        <f t="shared" si="43"/>
        <v>34.387774432362242</v>
      </c>
      <c r="DR28" s="20">
        <f t="shared" si="16"/>
        <v>289.26118046969754</v>
      </c>
      <c r="DS28" s="59">
        <f t="shared" si="17"/>
        <v>582.59451380303085</v>
      </c>
      <c r="DT28" s="59">
        <f ca="1">AVERAGE(OFFSET($DS$3,0,0,'Données projet'!$E$14+1,1))-AVERAGE(OFFSET($H$3,0,0,'Données projet'!$E$14+1,1))</f>
        <v>330.14201227773452</v>
      </c>
      <c r="DU28" s="59">
        <f t="shared" si="44"/>
        <v>307.07297894926467</v>
      </c>
      <c r="DV28" s="15">
        <f>IF(ISNA(VLOOKUP(A28,'Données projet'!$A$165:$I$185,3,0)),0,VLOOKUP(A28,'Données projet'!$A$165:$I$185,3,0))</f>
        <v>2</v>
      </c>
      <c r="DW28" s="15" t="str">
        <f>IF(ISNA(VLOOKUP(A28,'Données projet'!$A$165:$I$185,4,0)),0,VLOOKUP(A28,'Données projet'!$A$165:$I$185,4,0))</f>
        <v>26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138</v>
      </c>
      <c r="EH28" s="12">
        <f>VLOOKUP(A28,'Données projet'!$A$191:$I$211,9,0)</f>
        <v>9.6</v>
      </c>
      <c r="EI28" s="12">
        <f t="array" ref="EI28">INDEX(EH:EH,MIN(IF(ISNUMBER(EH28:EH224),ROW(EH28:EH224),"")))</f>
        <v>9.6</v>
      </c>
      <c r="EJ28" s="12">
        <f>IF('Données projet'!$A$192&gt;35,EJ27+EI28-ER27,IF(A28&lt;'Données projet'!$A$192,$EG$205^A28,IF(A28='Données projet'!$A$192,'Données projet'!$B$192,EJ27+EI28-ER27)))</f>
        <v>137.99999999999997</v>
      </c>
      <c r="EK28" s="17">
        <f>EJ28*VLOOKUP('Données projet'!$B$15,Paramètres!$A$1:$I$89,3,0)*VLOOKUP('Données projet'!$B$15,Paramètres!$A$1:$I$89,5,0)</f>
        <v>90.417599999999979</v>
      </c>
      <c r="EL28" s="13">
        <f t="shared" si="45"/>
        <v>24.665912907068826</v>
      </c>
      <c r="EM28" s="20">
        <f t="shared" si="19"/>
        <v>200.43711831314485</v>
      </c>
      <c r="EN28" s="59">
        <f t="shared" si="20"/>
        <v>493.77045164647814</v>
      </c>
      <c r="EO28" s="59">
        <f ca="1">AVERAGE(OFFSET($EN$3,0,0,'Données projet'!$E$15+1,1))-AVERAGE(OFFSET($H$3,0,0,'Données projet'!$E$15+1,1))</f>
        <v>183.30081488041924</v>
      </c>
      <c r="EP28" s="59">
        <f t="shared" si="46"/>
        <v>199.33099759570928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21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4.3000000000000003E-2</v>
      </c>
      <c r="EU28" s="16">
        <f>IF(ISNA(VLOOKUP(A28,'Données projet'!$A$191:$I$211,7,0)),0%,VLOOKUP(A28,'Données projet'!$A$191:$I$211,7,0))</f>
        <v>0.3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1.0360472380130792</v>
      </c>
      <c r="EX28" s="21">
        <f>EXP(-LN(2)/2)*EX27+(1-EXP(-LN(2)/2))/(LN(2)/2)*ER28*EU28*VLOOKUP('Données projet'!$B$15,Paramètres!$A$1:$I$89,3,0)*0.475*44/12</f>
        <v>4.246709083797044</v>
      </c>
      <c r="EY28" s="22">
        <f t="shared" si="21"/>
        <v>5.2827563218101234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7.2264102564102561</v>
      </c>
      <c r="N29" s="13">
        <f>IF('Données projet'!$A$36&gt;35,N28+M29-V28,IF(A29&lt;'Données projet'!$A$36,$K$205^A29,IF(A29='Données projet'!$A$36,'Données projet'!$B$36,N28+M29-V28)))</f>
        <v>105.82087604801265</v>
      </c>
      <c r="O29" s="13">
        <f>N29*VLOOKUP('Données projet'!$B$9,Paramètres!$A$1:$I$89,3,0)*VLOOKUP('Données projet'!$B$9,Paramètres!$A$1:$I$89,5,0)</f>
        <v>49.524169990469915</v>
      </c>
      <c r="P29" s="13">
        <f t="shared" si="33"/>
        <v>14.490806184311312</v>
      </c>
      <c r="Q29" s="20">
        <f t="shared" si="2"/>
        <v>111.4927501710773</v>
      </c>
      <c r="R29" s="59">
        <f t="shared" si="0"/>
        <v>404.82608350441063</v>
      </c>
      <c r="S29" s="59">
        <f ca="1">AVERAGE(OFFSET($R$3,0,0,'Données projet'!$E$9+1,1))-AVERAGE(OFFSET($H$3,0,0,'Données projet'!$E$9+1,1))</f>
        <v>205.73717397588365</v>
      </c>
      <c r="T29" s="59">
        <f t="shared" si="34"/>
        <v>190.64998698136026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283.73369613548124</v>
      </c>
      <c r="AO29" s="59">
        <f t="shared" si="36"/>
        <v>249.77804091581208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22.828205128205127</v>
      </c>
      <c r="BD29" s="12">
        <f>IF('Données projet'!$A$88&gt;35,BD28+BC29-BL28,IF(A29&lt;'Données projet'!$A$88,$BA$205^A29,IF(A29='Données projet'!$A$88,'Données projet'!$B$88,BD28+BC29-BL28)))</f>
        <v>240.55641025641015</v>
      </c>
      <c r="BE29" s="13">
        <f>BD29*VLOOKUP('Données projet'!$B$11,Paramètres!$A$1:$I$89,3,0)*VLOOKUP('Données projet'!$B$11,Paramètres!$A$1:$I$89,5,0)</f>
        <v>134.47103333333328</v>
      </c>
      <c r="BF29" s="13">
        <f t="shared" si="37"/>
        <v>35.027441907439481</v>
      </c>
      <c r="BG29" s="20">
        <f t="shared" si="7"/>
        <v>295.20984437767919</v>
      </c>
      <c r="BH29" s="59">
        <f t="shared" si="8"/>
        <v>588.5431777110125</v>
      </c>
      <c r="BI29" s="59">
        <f ca="1">AVERAGE(OFFSET($BH$3,0,0,'Données projet'!$E$11+1,1))-AVERAGE(OFFSET($H$3,0,0,'Données projet'!$E$11+1,1))</f>
        <v>278.5296012747549</v>
      </c>
      <c r="BJ29" s="59">
        <f t="shared" si="38"/>
        <v>370.55343097937077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11.706732444315998</v>
      </c>
      <c r="BQ29" s="21">
        <f>EXP(-LN(2)/25)*BQ28+(1-EXP(-LN(2)/25))/(LN(2)/25)*Calculateur!BL29*Calculateur!BN29*VLOOKUP('Données projet'!$B$11,Paramètres!$A$1:$I$89,3,0)*0.475*44/12</f>
        <v>15.38111506892985</v>
      </c>
      <c r="BR29" s="21">
        <f>EXP(-LN(2)/2)*BR28+(1-EXP(-LN(2)/2))/(LN(2)/2)*BL29*BO29*VLOOKUP('Données projet'!$B$11,Paramètres!$A$1:$I$89,3,0)*0.475*44/12</f>
        <v>2.9879978873336284</v>
      </c>
      <c r="BS29" s="22">
        <f t="shared" si="9"/>
        <v>30.075845400579475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16.666666666666668</v>
      </c>
      <c r="BY29" s="12">
        <f>IF('Données projet'!$A$114&gt;35,BY28+BX29-CG28,IF(A29&lt;'Données projet'!$A$114,$BV$205^A29,IF(A29='Données projet'!$A$114,'Données projet'!$B$114,BY28+BX29-CG28)))</f>
        <v>188.33333333333331</v>
      </c>
      <c r="BZ29" s="13">
        <f>BY29*VLOOKUP('Données projet'!$B$12,Paramètres!$A$1:$I$89,3,0)*VLOOKUP('Données projet'!$B$12,Paramètres!$A$1:$I$89,5,0)</f>
        <v>102.83</v>
      </c>
      <c r="CA29" s="13">
        <f t="shared" si="39"/>
        <v>27.635107084401234</v>
      </c>
      <c r="CB29" s="20">
        <f t="shared" si="10"/>
        <v>227.22672817199881</v>
      </c>
      <c r="CC29" s="59">
        <f t="shared" si="11"/>
        <v>520.5600615053321</v>
      </c>
      <c r="CD29" s="59">
        <f ca="1">AVERAGE(OFFSET($CC$3,0,0,'Données projet'!$E$12+1,1))-AVERAGE(OFFSET($H$3,0,0,'Données projet'!$E$12+1,1))</f>
        <v>159.92263609041913</v>
      </c>
      <c r="CE29" s="59">
        <f t="shared" si="40"/>
        <v>271.78119133009307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60.755486372053845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60.755486372053845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4.0628205128205126</v>
      </c>
      <c r="CT29" s="12">
        <f>IF('Données projet'!$A$140&gt;35,CT28+CS29-DB28,IF(A29&lt;'Données projet'!$A$140,$CQ$205^A29,IF(A29='Données projet'!$A$140,'Données projet'!$B$140,CT28+CS29-DB28)))</f>
        <v>64.242491006222849</v>
      </c>
      <c r="CU29" s="17">
        <f>CT29*VLOOKUP('Données projet'!$B$13,Paramètres!$A$1:$I$89,3,0)*VLOOKUP('Données projet'!$B$13,Paramètres!$A$1:$I$89,5,0)</f>
        <v>58.126605862430431</v>
      </c>
      <c r="CV29" s="13">
        <f t="shared" si="41"/>
        <v>16.69374530917462</v>
      </c>
      <c r="CW29" s="20">
        <f t="shared" si="13"/>
        <v>130.31211162387879</v>
      </c>
      <c r="CX29" s="59">
        <f t="shared" si="14"/>
        <v>423.64544495721213</v>
      </c>
      <c r="CY29" s="59">
        <f ca="1">AVERAGE(OFFSET($CX$3,0,0,'Données projet'!$E$13+1,1))-AVERAGE(OFFSET($H$3,0,0,'Données projet'!$E$13+1,1))</f>
        <v>280.25710840677186</v>
      </c>
      <c r="CZ29" s="59">
        <f t="shared" si="42"/>
        <v>209.65224013288037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9.8000000000000007</v>
      </c>
      <c r="DO29" s="12">
        <f>IF('Données projet'!$A$166&gt;35,DO28+DN29-DW28,IF(A29&lt;'Données projet'!$A$166,$DL$205^A29,IF(A29='Données projet'!$A$166,'Données projet'!$B$166,DO28+DN29-DW28)))</f>
        <v>109.80000000000001</v>
      </c>
      <c r="DP29" s="17">
        <f>DO29*VLOOKUP('Données projet'!$B$14,Paramètres!$A$1:$I$89,3,0)*VLOOKUP('Données projet'!$B$14,Paramètres!$A$1:$I$89,5,0)</f>
        <v>114.76296000000004</v>
      </c>
      <c r="DQ29" s="13">
        <f t="shared" si="43"/>
        <v>30.450391685635733</v>
      </c>
      <c r="DR29" s="20">
        <f t="shared" si="16"/>
        <v>252.91325418581559</v>
      </c>
      <c r="DS29" s="59">
        <f t="shared" si="17"/>
        <v>546.24658751914887</v>
      </c>
      <c r="DT29" s="59">
        <f ca="1">AVERAGE(OFFSET($DS$3,0,0,'Données projet'!$E$14+1,1))-AVERAGE(OFFSET($H$3,0,0,'Données projet'!$E$14+1,1))</f>
        <v>330.14201227773452</v>
      </c>
      <c r="DU29" s="59">
        <f t="shared" si="44"/>
        <v>307.07297894926467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8.8000000000000007</v>
      </c>
      <c r="EJ29" s="12">
        <f>IF('Données projet'!$A$192&gt;35,EJ28+EI29-ER28,IF(A29&lt;'Données projet'!$A$192,$EG$205^A29,IF(A29='Données projet'!$A$192,'Données projet'!$B$192,EJ28+EI29-ER28)))</f>
        <v>125.79999999999998</v>
      </c>
      <c r="EK29" s="17">
        <f>EJ29*VLOOKUP('Données projet'!$B$15,Paramètres!$A$1:$I$89,3,0)*VLOOKUP('Données projet'!$B$15,Paramètres!$A$1:$I$89,5,0)</f>
        <v>82.424159999999986</v>
      </c>
      <c r="EL29" s="13">
        <f t="shared" si="45"/>
        <v>22.728870146421784</v>
      </c>
      <c r="EM29" s="20">
        <f t="shared" si="19"/>
        <v>183.14152750501788</v>
      </c>
      <c r="EN29" s="59">
        <f t="shared" si="20"/>
        <v>476.47486083835122</v>
      </c>
      <c r="EO29" s="59">
        <f ca="1">AVERAGE(OFFSET($EN$3,0,0,'Données projet'!$E$15+1,1))-AVERAGE(OFFSET($H$3,0,0,'Données projet'!$E$15+1,1))</f>
        <v>183.30081488041924</v>
      </c>
      <c r="EP29" s="59">
        <f t="shared" si="46"/>
        <v>199.33099759570928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1.0077164718062552</v>
      </c>
      <c r="EX29" s="21">
        <f>EXP(-LN(2)/2)*EX28+(1-EXP(-LN(2)/2))/(LN(2)/2)*ER29*EU29*VLOOKUP('Données projet'!$B$15,Paramètres!$A$1:$I$89,3,0)*0.475*44/12</f>
        <v>3.0028767908794003</v>
      </c>
      <c r="EY29" s="22">
        <f t="shared" si="21"/>
        <v>4.0105932626856555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7.2264102564102561</v>
      </c>
      <c r="N30" s="13">
        <f>IF('Données projet'!$A$36&gt;35,N29+M30-V29,IF(A30&lt;'Données projet'!$A$36,$K$205^A30,IF(A30='Données projet'!$A$36,'Données projet'!$B$36,N29+M30-V29)))</f>
        <v>126.60168370519743</v>
      </c>
      <c r="O30" s="13">
        <f>N30*VLOOKUP('Données projet'!$B$9,Paramètres!$A$1:$I$89,3,0)*VLOOKUP('Données projet'!$B$9,Paramètres!$A$1:$I$89,5,0)</f>
        <v>59.249587974032401</v>
      </c>
      <c r="P30" s="13">
        <f t="shared" si="33"/>
        <v>16.97840255838226</v>
      </c>
      <c r="Q30" s="20">
        <f t="shared" si="2"/>
        <v>132.76375017728887</v>
      </c>
      <c r="R30" s="59">
        <f t="shared" si="0"/>
        <v>426.09708351062216</v>
      </c>
      <c r="S30" s="59">
        <f ca="1">AVERAGE(OFFSET($R$3,0,0,'Données projet'!$E$9+1,1))-AVERAGE(OFFSET($H$3,0,0,'Données projet'!$E$9+1,1))</f>
        <v>205.73717397588365</v>
      </c>
      <c r="T30" s="59">
        <f t="shared" si="34"/>
        <v>190.64998698136026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283.73369613548124</v>
      </c>
      <c r="AO30" s="59">
        <f t="shared" si="36"/>
        <v>249.77804091581208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22.828205128205127</v>
      </c>
      <c r="BD30" s="12">
        <f>IF('Données projet'!$A$88&gt;35,BD29+BC30-BL29,IF(A30&lt;'Données projet'!$A$88,$BA$205^A30,IF(A30='Données projet'!$A$88,'Données projet'!$B$88,BD29+BC30-BL29)))</f>
        <v>263.38461538461524</v>
      </c>
      <c r="BE30" s="13">
        <f>BD30*VLOOKUP('Données projet'!$B$11,Paramètres!$A$1:$I$89,3,0)*VLOOKUP('Données projet'!$B$11,Paramètres!$A$1:$I$89,5,0)</f>
        <v>147.23199999999994</v>
      </c>
      <c r="BF30" s="13">
        <f t="shared" si="37"/>
        <v>37.948867426510738</v>
      </c>
      <c r="BG30" s="20">
        <f t="shared" si="7"/>
        <v>322.52334410117277</v>
      </c>
      <c r="BH30" s="59">
        <f t="shared" si="8"/>
        <v>615.85667743450608</v>
      </c>
      <c r="BI30" s="59">
        <f ca="1">AVERAGE(OFFSET($BH$3,0,0,'Données projet'!$E$11+1,1))-AVERAGE(OFFSET($H$3,0,0,'Données projet'!$E$11+1,1))</f>
        <v>278.5296012747549</v>
      </c>
      <c r="BJ30" s="59">
        <f t="shared" si="38"/>
        <v>370.55343097937077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11.477170561484696</v>
      </c>
      <c r="BQ30" s="21">
        <f>EXP(-LN(2)/25)*BQ29+(1-EXP(-LN(2)/25))/(LN(2)/25)*Calculateur!BL30*Calculateur!BN30*VLOOKUP('Données projet'!$B$11,Paramètres!$A$1:$I$89,3,0)*0.475*44/12</f>
        <v>14.960517668512276</v>
      </c>
      <c r="BR30" s="21">
        <f>EXP(-LN(2)/2)*BR29+(1-EXP(-LN(2)/2))/(LN(2)/2)*BL30*BO30*VLOOKUP('Données projet'!$B$11,Paramètres!$A$1:$I$89,3,0)*0.475*44/12</f>
        <v>2.1128335683046862</v>
      </c>
      <c r="BS30" s="22">
        <f t="shared" si="9"/>
        <v>28.550521798301659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16.666666666666668</v>
      </c>
      <c r="BY30" s="12">
        <f>IF('Données projet'!$A$114&gt;35,BY29+BX30-CG29,IF(A30&lt;'Données projet'!$A$114,$BV$205^A30,IF(A30='Données projet'!$A$114,'Données projet'!$B$114,BY29+BX30-CG29)))</f>
        <v>204.99999999999997</v>
      </c>
      <c r="BZ30" s="13">
        <f>BY30*VLOOKUP('Données projet'!$B$12,Paramètres!$A$1:$I$89,3,0)*VLOOKUP('Données projet'!$B$12,Paramètres!$A$1:$I$89,5,0)</f>
        <v>111.92999999999998</v>
      </c>
      <c r="CA30" s="13">
        <f t="shared" si="39"/>
        <v>29.785246291563833</v>
      </c>
      <c r="CB30" s="20">
        <f t="shared" si="10"/>
        <v>246.82072062447358</v>
      </c>
      <c r="CC30" s="59">
        <f t="shared" si="11"/>
        <v>540.15405395780692</v>
      </c>
      <c r="CD30" s="59">
        <f ca="1">AVERAGE(OFFSET($CC$3,0,0,'Données projet'!$E$12+1,1))-AVERAGE(OFFSET($H$3,0,0,'Données projet'!$E$12+1,1))</f>
        <v>159.92263609041913</v>
      </c>
      <c r="CE30" s="59">
        <f t="shared" si="40"/>
        <v>271.78119133009307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59.094124402217865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59.094124402217865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4.0628205128205126</v>
      </c>
      <c r="CT30" s="12">
        <f>IF('Données projet'!$A$140&gt;35,CT29+CS30-DB29,IF(A30&lt;'Données projet'!$A$140,$CQ$205^A30,IF(A30='Données projet'!$A$140,'Données projet'!$B$140,CT29+CS30-DB29)))</f>
        <v>75.396988922564091</v>
      </c>
      <c r="CU30" s="17">
        <f>CT30*VLOOKUP('Données projet'!$B$13,Paramètres!$A$1:$I$89,3,0)*VLOOKUP('Données projet'!$B$13,Paramètres!$A$1:$I$89,5,0)</f>
        <v>68.219195577135991</v>
      </c>
      <c r="CV30" s="13">
        <f t="shared" si="41"/>
        <v>19.230560005562129</v>
      </c>
      <c r="CW30" s="20">
        <f t="shared" si="13"/>
        <v>152.30832430653254</v>
      </c>
      <c r="CX30" s="59">
        <f t="shared" si="14"/>
        <v>445.64165763986585</v>
      </c>
      <c r="CY30" s="59">
        <f ca="1">AVERAGE(OFFSET($CX$3,0,0,'Données projet'!$E$13+1,1))-AVERAGE(OFFSET($H$3,0,0,'Données projet'!$E$13+1,1))</f>
        <v>280.25710840677186</v>
      </c>
      <c r="CZ30" s="59">
        <f t="shared" si="42"/>
        <v>209.65224013288037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9.8000000000000007</v>
      </c>
      <c r="DO30" s="12">
        <f>IF('Données projet'!$A$166&gt;35,DO29+DN30-DW29,IF(A30&lt;'Données projet'!$A$166,$DL$205^A30,IF(A30='Données projet'!$A$166,'Données projet'!$B$166,DO29+DN30-DW29)))</f>
        <v>119.60000000000001</v>
      </c>
      <c r="DP30" s="17">
        <f>DO30*VLOOKUP('Données projet'!$B$14,Paramètres!$A$1:$I$89,3,0)*VLOOKUP('Données projet'!$B$14,Paramètres!$A$1:$I$89,5,0)</f>
        <v>125.00592000000002</v>
      </c>
      <c r="DQ30" s="13">
        <f t="shared" si="43"/>
        <v>32.839756328142556</v>
      </c>
      <c r="DR30" s="20">
        <f t="shared" si="16"/>
        <v>274.91455293818166</v>
      </c>
      <c r="DS30" s="59">
        <f t="shared" si="17"/>
        <v>568.24788627151497</v>
      </c>
      <c r="DT30" s="59">
        <f ca="1">AVERAGE(OFFSET($DS$3,0,0,'Données projet'!$E$14+1,1))-AVERAGE(OFFSET($H$3,0,0,'Données projet'!$E$14+1,1))</f>
        <v>330.14201227773452</v>
      </c>
      <c r="DU30" s="59">
        <f t="shared" si="44"/>
        <v>307.07297894926467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8.8000000000000007</v>
      </c>
      <c r="EJ30" s="12">
        <f>IF('Données projet'!$A$192&gt;35,EJ29+EI30-ER29,IF(A30&lt;'Données projet'!$A$192,$EG$205^A30,IF(A30='Données projet'!$A$192,'Données projet'!$B$192,EJ29+EI30-ER29)))</f>
        <v>134.6</v>
      </c>
      <c r="EK30" s="17">
        <f>EJ30*VLOOKUP('Données projet'!$B$15,Paramètres!$A$1:$I$89,3,0)*VLOOKUP('Données projet'!$B$15,Paramètres!$A$1:$I$89,5,0)</f>
        <v>88.189920000000001</v>
      </c>
      <c r="EL30" s="13">
        <f t="shared" si="45"/>
        <v>24.128162431798632</v>
      </c>
      <c r="EM30" s="20">
        <f t="shared" si="19"/>
        <v>195.62066023538262</v>
      </c>
      <c r="EN30" s="59">
        <f t="shared" si="20"/>
        <v>488.95399356871593</v>
      </c>
      <c r="EO30" s="59">
        <f ca="1">AVERAGE(OFFSET($EN$3,0,0,'Données projet'!$E$15+1,1))-AVERAGE(OFFSET($H$3,0,0,'Données projet'!$E$15+1,1))</f>
        <v>183.30081488041924</v>
      </c>
      <c r="EP30" s="59">
        <f t="shared" si="46"/>
        <v>199.33099759570928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0.98016041189120706</v>
      </c>
      <c r="EX30" s="21">
        <f>EXP(-LN(2)/2)*EX29+(1-EXP(-LN(2)/2))/(LN(2)/2)*ER30*EU30*VLOOKUP('Données projet'!$B$15,Paramètres!$A$1:$I$89,3,0)*0.475*44/12</f>
        <v>2.1233545418985225</v>
      </c>
      <c r="EY30" s="22">
        <f t="shared" si="21"/>
        <v>3.1035149537897295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7.2264102564102561</v>
      </c>
      <c r="N31" s="13">
        <f>IF('Données projet'!$A$36&gt;35,N30+M31-V30,IF(A31&lt;'Données projet'!$A$36,$K$205^A31,IF(A31='Données projet'!$A$36,'Données projet'!$B$36,N30+M31-V30)))</f>
        <v>151.46336824615491</v>
      </c>
      <c r="O31" s="13">
        <f>N31*VLOOKUP('Données projet'!$B$9,Paramètres!$A$1:$I$89,3,0)*VLOOKUP('Données projet'!$B$9,Paramètres!$A$1:$I$89,5,0)</f>
        <v>70.884856339200496</v>
      </c>
      <c r="P31" s="13">
        <f t="shared" si="33"/>
        <v>19.893037679751526</v>
      </c>
      <c r="Q31" s="20">
        <f t="shared" si="2"/>
        <v>158.10483208300809</v>
      </c>
      <c r="R31" s="59">
        <f t="shared" si="0"/>
        <v>451.43816541634141</v>
      </c>
      <c r="S31" s="59">
        <f ca="1">AVERAGE(OFFSET($R$3,0,0,'Données projet'!$E$9+1,1))-AVERAGE(OFFSET($H$3,0,0,'Données projet'!$E$9+1,1))</f>
        <v>205.73717397588365</v>
      </c>
      <c r="T31" s="59">
        <f t="shared" si="34"/>
        <v>190.64998698136026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283.73369613548124</v>
      </c>
      <c r="AO31" s="59">
        <f t="shared" si="36"/>
        <v>249.77804091581208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22.828205128205127</v>
      </c>
      <c r="BD31" s="12">
        <f>IF('Données projet'!$A$88&gt;35,BD30+BC31-BL30,IF(A31&lt;'Données projet'!$A$88,$BA$205^A31,IF(A31='Données projet'!$A$88,'Données projet'!$B$88,BD30+BC31-BL30)))</f>
        <v>286.21282051282037</v>
      </c>
      <c r="BE31" s="13">
        <f>BD31*VLOOKUP('Données projet'!$B$11,Paramètres!$A$1:$I$89,3,0)*VLOOKUP('Données projet'!$B$11,Paramètres!$A$1:$I$89,5,0)</f>
        <v>159.99296666666658</v>
      </c>
      <c r="BF31" s="13">
        <f t="shared" si="37"/>
        <v>40.840929014671453</v>
      </c>
      <c r="BG31" s="20">
        <f t="shared" si="7"/>
        <v>349.785701644997</v>
      </c>
      <c r="BH31" s="59">
        <f t="shared" si="8"/>
        <v>643.11903497833032</v>
      </c>
      <c r="BI31" s="59">
        <f ca="1">AVERAGE(OFFSET($BH$3,0,0,'Données projet'!$E$11+1,1))-AVERAGE(OFFSET($H$3,0,0,'Données projet'!$E$11+1,1))</f>
        <v>278.5296012747549</v>
      </c>
      <c r="BJ31" s="59">
        <f t="shared" si="38"/>
        <v>370.55343097937077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11.252110247156793</v>
      </c>
      <c r="BQ31" s="21">
        <f>EXP(-LN(2)/25)*BQ30+(1-EXP(-LN(2)/25))/(LN(2)/25)*Calculateur!BL31*Calculateur!BN31*VLOOKUP('Données projet'!$B$11,Paramètres!$A$1:$I$89,3,0)*0.475*44/12</f>
        <v>14.551421526127376</v>
      </c>
      <c r="BR31" s="21">
        <f>EXP(-LN(2)/2)*BR30+(1-EXP(-LN(2)/2))/(LN(2)/2)*BL31*BO31*VLOOKUP('Données projet'!$B$11,Paramètres!$A$1:$I$89,3,0)*0.475*44/12</f>
        <v>1.4939989436668142</v>
      </c>
      <c r="BS31" s="22">
        <f t="shared" si="9"/>
        <v>27.297530716950984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16.666666666666668</v>
      </c>
      <c r="BY31" s="12">
        <f>IF('Données projet'!$A$114&gt;35,BY30+BX31-CG30,IF(A31&lt;'Données projet'!$A$114,$BV$205^A31,IF(A31='Données projet'!$A$114,'Données projet'!$B$114,BY30+BX31-CG30)))</f>
        <v>221.66666666666663</v>
      </c>
      <c r="BZ31" s="13">
        <f>BY31*VLOOKUP('Données projet'!$B$12,Paramètres!$A$1:$I$89,3,0)*VLOOKUP('Données projet'!$B$12,Paramètres!$A$1:$I$89,5,0)</f>
        <v>121.02999999999997</v>
      </c>
      <c r="CA31" s="13">
        <f t="shared" si="39"/>
        <v>31.915110254002617</v>
      </c>
      <c r="CB31" s="20">
        <f t="shared" si="10"/>
        <v>266.3794003590545</v>
      </c>
      <c r="CC31" s="59">
        <f t="shared" si="11"/>
        <v>559.71273369238781</v>
      </c>
      <c r="CD31" s="59">
        <f ca="1">AVERAGE(OFFSET($CC$3,0,0,'Données projet'!$E$12+1,1))-AVERAGE(OFFSET($H$3,0,0,'Données projet'!$E$12+1,1))</f>
        <v>159.92263609041913</v>
      </c>
      <c r="CE31" s="59">
        <f t="shared" si="40"/>
        <v>271.78119133009307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57.478192462814278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57.478192462814278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4.0628205128205126</v>
      </c>
      <c r="CT31" s="12">
        <f>IF('Données projet'!$A$140&gt;35,CT30+CS31-DB30,IF(A31&lt;'Données projet'!$A$140,$CQ$205^A31,IF(A31='Données projet'!$A$140,'Données projet'!$B$140,CT30+CS31-DB30)))</f>
        <v>88.488255196060223</v>
      </c>
      <c r="CU31" s="17">
        <f>CT31*VLOOKUP('Données projet'!$B$13,Paramètres!$A$1:$I$89,3,0)*VLOOKUP('Données projet'!$B$13,Paramètres!$A$1:$I$89,5,0)</f>
        <v>80.064173301395286</v>
      </c>
      <c r="CV31" s="13">
        <f t="shared" si="41"/>
        <v>22.15287410215139</v>
      </c>
      <c r="CW31" s="20">
        <f t="shared" si="13"/>
        <v>178.02802422784376</v>
      </c>
      <c r="CX31" s="59">
        <f t="shared" si="14"/>
        <v>471.3613575611771</v>
      </c>
      <c r="CY31" s="59">
        <f ca="1">AVERAGE(OFFSET($CX$3,0,0,'Données projet'!$E$13+1,1))-AVERAGE(OFFSET($H$3,0,0,'Données projet'!$E$13+1,1))</f>
        <v>280.25710840677186</v>
      </c>
      <c r="CZ31" s="59">
        <f t="shared" si="42"/>
        <v>209.65224013288037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9.8000000000000007</v>
      </c>
      <c r="DO31" s="12">
        <f>IF('Données projet'!$A$166&gt;35,DO30+DN31-DW30,IF(A31&lt;'Données projet'!$A$166,$DL$205^A31,IF(A31='Données projet'!$A$166,'Données projet'!$B$166,DO30+DN31-DW30)))</f>
        <v>129.4</v>
      </c>
      <c r="DP31" s="17">
        <f>DO31*VLOOKUP('Données projet'!$B$14,Paramètres!$A$1:$I$89,3,0)*VLOOKUP('Données projet'!$B$14,Paramètres!$A$1:$I$89,5,0)</f>
        <v>135.24888000000001</v>
      </c>
      <c r="DQ31" s="13">
        <f t="shared" si="43"/>
        <v>35.206413236083414</v>
      </c>
      <c r="DR31" s="20">
        <f t="shared" si="16"/>
        <v>296.87630238617862</v>
      </c>
      <c r="DS31" s="59">
        <f t="shared" si="17"/>
        <v>590.20963571951188</v>
      </c>
      <c r="DT31" s="59">
        <f ca="1">AVERAGE(OFFSET($DS$3,0,0,'Données projet'!$E$14+1,1))-AVERAGE(OFFSET($H$3,0,0,'Données projet'!$E$14+1,1))</f>
        <v>330.14201227773452</v>
      </c>
      <c r="DU31" s="59">
        <f t="shared" si="44"/>
        <v>307.07297894926467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8.8000000000000007</v>
      </c>
      <c r="EJ31" s="12">
        <f>IF('Données projet'!$A$192&gt;35,EJ30+EI31-ER30,IF(A31&lt;'Données projet'!$A$192,$EG$205^A31,IF(A31='Données projet'!$A$192,'Données projet'!$B$192,EJ30+EI31-ER30)))</f>
        <v>143.4</v>
      </c>
      <c r="EK31" s="17">
        <f>EJ31*VLOOKUP('Données projet'!$B$15,Paramètres!$A$1:$I$89,3,0)*VLOOKUP('Données projet'!$B$15,Paramètres!$A$1:$I$89,5,0)</f>
        <v>93.955680000000001</v>
      </c>
      <c r="EL31" s="13">
        <f t="shared" si="45"/>
        <v>25.516838392731955</v>
      </c>
      <c r="EM31" s="20">
        <f t="shared" si="19"/>
        <v>208.08130286734149</v>
      </c>
      <c r="EN31" s="59">
        <f t="shared" si="20"/>
        <v>501.41463620067481</v>
      </c>
      <c r="EO31" s="59">
        <f ca="1">AVERAGE(OFFSET($EN$3,0,0,'Données projet'!$E$15+1,1))-AVERAGE(OFFSET($H$3,0,0,'Données projet'!$E$15+1,1))</f>
        <v>183.30081488041924</v>
      </c>
      <c r="EP31" s="59">
        <f t="shared" si="46"/>
        <v>199.33099759570928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0.95335787388364612</v>
      </c>
      <c r="EX31" s="21">
        <f>EXP(-LN(2)/2)*EX30+(1-EXP(-LN(2)/2))/(LN(2)/2)*ER31*EU31*VLOOKUP('Données projet'!$B$15,Paramètres!$A$1:$I$89,3,0)*0.475*44/12</f>
        <v>1.5014383954397006</v>
      </c>
      <c r="EY31" s="22">
        <f t="shared" si="21"/>
        <v>2.4547962693233467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7.2264102564102561</v>
      </c>
      <c r="N32" s="13">
        <f>IF('Données projet'!$A$36&gt;35,N31+M32-V31,IF(A32&lt;'Données projet'!$A$36,$K$205^A32,IF(A32='Données projet'!$A$36,'Données projet'!$B$36,N31+M32-V31)))</f>
        <v>181.20732085910257</v>
      </c>
      <c r="O32" s="13">
        <f>N32*VLOOKUP('Données projet'!$B$9,Paramètres!$A$1:$I$89,3,0)*VLOOKUP('Données projet'!$B$9,Paramètres!$A$1:$I$89,5,0)</f>
        <v>84.805026162060003</v>
      </c>
      <c r="P32" s="13">
        <f t="shared" si="33"/>
        <v>23.308020101846395</v>
      </c>
      <c r="Q32" s="20">
        <f t="shared" si="2"/>
        <v>188.29688890963698</v>
      </c>
      <c r="R32" s="59">
        <f t="shared" si="0"/>
        <v>481.63022224297026</v>
      </c>
      <c r="S32" s="59">
        <f ca="1">AVERAGE(OFFSET($R$3,0,0,'Données projet'!$E$9+1,1))-AVERAGE(OFFSET($H$3,0,0,'Données projet'!$E$9+1,1))</f>
        <v>205.73717397588365</v>
      </c>
      <c r="T32" s="59">
        <f t="shared" si="34"/>
        <v>190.64998698136026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283.73369613548124</v>
      </c>
      <c r="AO32" s="59">
        <f t="shared" si="36"/>
        <v>249.77804091581208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22.828205128205127</v>
      </c>
      <c r="BD32" s="12">
        <f>IF('Données projet'!$A$88&gt;35,BD31+BC32-BL31,IF(A32&lt;'Données projet'!$A$88,$BA$205^A32,IF(A32='Données projet'!$A$88,'Données projet'!$B$88,BD31+BC32-BL31)))</f>
        <v>309.0410256410255</v>
      </c>
      <c r="BE32" s="13">
        <f>BD32*VLOOKUP('Données projet'!$B$11,Paramètres!$A$1:$I$89,3,0)*VLOOKUP('Données projet'!$B$11,Paramètres!$A$1:$I$89,5,0)</f>
        <v>172.75393333333326</v>
      </c>
      <c r="BF32" s="13">
        <f t="shared" si="37"/>
        <v>43.706234996805463</v>
      </c>
      <c r="BG32" s="20">
        <f t="shared" si="7"/>
        <v>377.00145984165829</v>
      </c>
      <c r="BH32" s="59">
        <f t="shared" si="8"/>
        <v>670.33479317499155</v>
      </c>
      <c r="BI32" s="59">
        <f ca="1">AVERAGE(OFFSET($BH$3,0,0,'Données projet'!$E$11+1,1))-AVERAGE(OFFSET($H$3,0,0,'Données projet'!$E$11+1,1))</f>
        <v>278.5296012747549</v>
      </c>
      <c r="BJ32" s="59">
        <f t="shared" si="38"/>
        <v>370.55343097937077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11.031463228319623</v>
      </c>
      <c r="BQ32" s="21">
        <f>EXP(-LN(2)/25)*BQ31+(1-EXP(-LN(2)/25))/(LN(2)/25)*Calculateur!BL32*Calculateur!BN32*VLOOKUP('Données projet'!$B$11,Paramètres!$A$1:$I$89,3,0)*0.475*44/12</f>
        <v>14.153512139269422</v>
      </c>
      <c r="BR32" s="21">
        <f>EXP(-LN(2)/2)*BR31+(1-EXP(-LN(2)/2))/(LN(2)/2)*BL32*BO32*VLOOKUP('Données projet'!$B$11,Paramètres!$A$1:$I$89,3,0)*0.475*44/12</f>
        <v>1.0564167841523431</v>
      </c>
      <c r="BS32" s="22">
        <f t="shared" si="9"/>
        <v>26.24139215174139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16.666666666666668</v>
      </c>
      <c r="BY32" s="12">
        <f>IF('Données projet'!$A$114&gt;35,BY31+BX32-CG31,IF(A32&lt;'Données projet'!$A$114,$BV$205^A32,IF(A32='Données projet'!$A$114,'Données projet'!$B$114,BY31+BX32-CG31)))</f>
        <v>238.33333333333329</v>
      </c>
      <c r="BZ32" s="13">
        <f>BY32*VLOOKUP('Données projet'!$B$12,Paramètres!$A$1:$I$89,3,0)*VLOOKUP('Données projet'!$B$12,Paramètres!$A$1:$I$89,5,0)</f>
        <v>130.12999999999997</v>
      </c>
      <c r="CA32" s="13">
        <f t="shared" si="39"/>
        <v>34.026396767825609</v>
      </c>
      <c r="CB32" s="20">
        <f t="shared" si="10"/>
        <v>285.90572437062957</v>
      </c>
      <c r="CC32" s="59">
        <f t="shared" si="11"/>
        <v>579.23905770396289</v>
      </c>
      <c r="CD32" s="59">
        <f ca="1">AVERAGE(OFFSET($CC$3,0,0,'Données projet'!$E$12+1,1))-AVERAGE(OFFSET($H$3,0,0,'Données projet'!$E$12+1,1))</f>
        <v>159.92263609041913</v>
      </c>
      <c r="CE32" s="59">
        <f t="shared" si="40"/>
        <v>271.78119133009307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55.906448267271848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55.906448267271848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4.0628205128205126</v>
      </c>
      <c r="CT32" s="12">
        <f>IF('Données projet'!$A$140&gt;35,CT31+CS32-DB31,IF(A32&lt;'Données projet'!$A$140,$CQ$205^A32,IF(A32='Données projet'!$A$140,'Données projet'!$B$140,CT31+CS32-DB31)))</f>
        <v>103.85257315361756</v>
      </c>
      <c r="CU32" s="17">
        <f>CT32*VLOOKUP('Données projet'!$B$13,Paramètres!$A$1:$I$89,3,0)*VLOOKUP('Données projet'!$B$13,Paramètres!$A$1:$I$89,5,0)</f>
        <v>93.965808189393158</v>
      </c>
      <c r="CV32" s="13">
        <f t="shared" si="41"/>
        <v>25.519268853524185</v>
      </c>
      <c r="CW32" s="20">
        <f t="shared" si="13"/>
        <v>208.10317584974769</v>
      </c>
      <c r="CX32" s="59">
        <f t="shared" si="14"/>
        <v>501.436509183081</v>
      </c>
      <c r="CY32" s="59">
        <f ca="1">AVERAGE(OFFSET($CX$3,0,0,'Données projet'!$E$13+1,1))-AVERAGE(OFFSET($H$3,0,0,'Données projet'!$E$13+1,1))</f>
        <v>280.25710840677186</v>
      </c>
      <c r="CZ32" s="59">
        <f t="shared" si="42"/>
        <v>209.65224013288037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9.8000000000000007</v>
      </c>
      <c r="DO32" s="12">
        <f>IF('Données projet'!$A$166&gt;35,DO31+DN32-DW31,IF(A32&lt;'Données projet'!$A$166,$DL$205^A32,IF(A32='Données projet'!$A$166,'Données projet'!$B$166,DO31+DN32-DW31)))</f>
        <v>139.20000000000002</v>
      </c>
      <c r="DP32" s="17">
        <f>DO32*VLOOKUP('Données projet'!$B$14,Paramètres!$A$1:$I$89,3,0)*VLOOKUP('Données projet'!$B$14,Paramètres!$A$1:$I$89,5,0)</f>
        <v>145.49184000000002</v>
      </c>
      <c r="DQ32" s="13">
        <f t="shared" si="43"/>
        <v>37.552277703979321</v>
      </c>
      <c r="DR32" s="20">
        <f t="shared" si="16"/>
        <v>318.80183833443067</v>
      </c>
      <c r="DS32" s="59">
        <f t="shared" si="17"/>
        <v>612.13517166776398</v>
      </c>
      <c r="DT32" s="59">
        <f ca="1">AVERAGE(OFFSET($DS$3,0,0,'Données projet'!$E$14+1,1))-AVERAGE(OFFSET($H$3,0,0,'Données projet'!$E$14+1,1))</f>
        <v>330.14201227773452</v>
      </c>
      <c r="DU32" s="59">
        <f t="shared" si="44"/>
        <v>307.07297894926467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8.8000000000000007</v>
      </c>
      <c r="EJ32" s="12">
        <f>IF('Données projet'!$A$192&gt;35,EJ31+EI32-ER31,IF(A32&lt;'Données projet'!$A$192,$EG$205^A32,IF(A32='Données projet'!$A$192,'Données projet'!$B$192,EJ31+EI32-ER31)))</f>
        <v>152.20000000000002</v>
      </c>
      <c r="EK32" s="17">
        <f>EJ32*VLOOKUP('Données projet'!$B$15,Paramètres!$A$1:$I$89,3,0)*VLOOKUP('Données projet'!$B$15,Paramètres!$A$1:$I$89,5,0)</f>
        <v>99.721440000000015</v>
      </c>
      <c r="EL32" s="13">
        <f t="shared" si="45"/>
        <v>26.895623699520389</v>
      </c>
      <c r="EM32" s="20">
        <f t="shared" si="19"/>
        <v>220.52471927666468</v>
      </c>
      <c r="EN32" s="59">
        <f t="shared" si="20"/>
        <v>513.85805260999803</v>
      </c>
      <c r="EO32" s="59">
        <f ca="1">AVERAGE(OFFSET($EN$3,0,0,'Données projet'!$E$15+1,1))-AVERAGE(OFFSET($H$3,0,0,'Données projet'!$E$15+1,1))</f>
        <v>183.30081488041924</v>
      </c>
      <c r="EP32" s="59">
        <f t="shared" si="46"/>
        <v>199.33099759570928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0.92728825268738613</v>
      </c>
      <c r="EX32" s="21">
        <f>EXP(-LN(2)/2)*EX31+(1-EXP(-LN(2)/2))/(LN(2)/2)*ER32*EU32*VLOOKUP('Données projet'!$B$15,Paramètres!$A$1:$I$89,3,0)*0.475*44/12</f>
        <v>1.0616772709492615</v>
      </c>
      <c r="EY32" s="22">
        <f t="shared" si="21"/>
        <v>1.9889655236366477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216.79230769230767</v>
      </c>
      <c r="L33" s="12">
        <f>VLOOKUP(A33,'Données projet'!$A$35:$I$55,9,0)</f>
        <v>7.2264102564102561</v>
      </c>
      <c r="M33" s="12">
        <f t="array" ref="M33">INDEX(L:L,MIN(IF(ISNUMBER(L33:L229),ROW(L33:L229),"")))</f>
        <v>7.2264102564102561</v>
      </c>
      <c r="N33" s="13">
        <f>IF('Données projet'!$A$36&gt;35,N32+M33-V32,IF(A33&lt;'Données projet'!$A$36,$K$205^A33,IF(A33='Données projet'!$A$36,'Données projet'!$B$36,N32+M33-V32)))</f>
        <v>216.79230769230767</v>
      </c>
      <c r="O33" s="13">
        <f>N33*VLOOKUP('Données projet'!$B$9,Paramètres!$A$1:$I$89,3,0)*VLOOKUP('Données projet'!$B$9,Paramètres!$A$1:$I$89,5,0)</f>
        <v>101.45879999999998</v>
      </c>
      <c r="P33" s="13">
        <f t="shared" si="33"/>
        <v>27.309243053465156</v>
      </c>
      <c r="Q33" s="20">
        <f t="shared" si="2"/>
        <v>224.27100831811845</v>
      </c>
      <c r="R33" s="59">
        <f t="shared" si="0"/>
        <v>517.6043416514517</v>
      </c>
      <c r="S33" s="59">
        <f ca="1">AVERAGE(OFFSET($R$3,0,0,'Données projet'!$E$9+1,1))-AVERAGE(OFFSET($H$3,0,0,'Données projet'!$E$9+1,1))</f>
        <v>205.73717397588365</v>
      </c>
      <c r="T33" s="59">
        <f t="shared" si="34"/>
        <v>190.64998698136026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283.73369613548124</v>
      </c>
      <c r="AO33" s="59">
        <f t="shared" si="36"/>
        <v>249.77804091581208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331.86923076923074</v>
      </c>
      <c r="BB33" s="12">
        <f>VLOOKUP(A33,'Données projet'!$A$87:$I$107,9,0)</f>
        <v>22.828205128205127</v>
      </c>
      <c r="BC33" s="12">
        <f t="array" ref="BC33">INDEX(BB:BB,MIN(IF(ISNUMBER(BB33:BB229),ROW(BB33:BB229),"")))</f>
        <v>22.828205128205127</v>
      </c>
      <c r="BD33" s="12">
        <f>IF('Données projet'!$A$88&gt;35,BD32+BC33-BL32,IF(A33&lt;'Données projet'!$A$88,$BA$205^A33,IF(A33='Données projet'!$A$88,'Données projet'!$B$88,BD32+BC33-BL32)))</f>
        <v>331.86923076923063</v>
      </c>
      <c r="BE33" s="13">
        <f>BD33*VLOOKUP('Données projet'!$B$11,Paramètres!$A$1:$I$89,3,0)*VLOOKUP('Données projet'!$B$11,Paramètres!$A$1:$I$89,5,0)</f>
        <v>185.5148999999999</v>
      </c>
      <c r="BF33" s="13">
        <f t="shared" si="37"/>
        <v>46.546986497298995</v>
      </c>
      <c r="BG33" s="20">
        <f t="shared" si="7"/>
        <v>404.17445231612891</v>
      </c>
      <c r="BH33" s="59">
        <f t="shared" si="8"/>
        <v>697.50778564946222</v>
      </c>
      <c r="BI33" s="59">
        <f ca="1">AVERAGE(OFFSET($BH$3,0,0,'Données projet'!$E$11+1,1))-AVERAGE(OFFSET($H$3,0,0,'Données projet'!$E$11+1,1))</f>
        <v>278.5296012747549</v>
      </c>
      <c r="BJ33" s="59">
        <f t="shared" si="38"/>
        <v>370.55343097937077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65.669230769230765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29.563483054643072</v>
      </c>
      <c r="BQ33" s="21">
        <f>EXP(-LN(2)/25)*BQ32+(1-EXP(-LN(2)/25))/(LN(2)/25)*Calculateur!BL33*Calculateur!BN33*VLOOKUP('Données projet'!$B$11,Paramètres!$A$1:$I$89,3,0)*0.475*44/12</f>
        <v>18.248368581460394</v>
      </c>
      <c r="BR33" s="21">
        <f>EXP(-LN(2)/2)*BR32+(1-EXP(-LN(2)/2))/(LN(2)/2)*BL33*BO33*VLOOKUP('Données projet'!$B$11,Paramètres!$A$1:$I$89,3,0)*0.475*44/12</f>
        <v>6.233345651406407</v>
      </c>
      <c r="BS33" s="22">
        <f t="shared" si="9"/>
        <v>54.045197287509879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255</v>
      </c>
      <c r="BW33" s="12">
        <f>VLOOKUP(A33,'Données projet'!$A$113:$I$133,9,0)</f>
        <v>16.666666666666668</v>
      </c>
      <c r="BX33" s="12">
        <f t="array" ref="BX33">INDEX(BW:BW,MIN(IF(ISNUMBER(BW33:BW229),ROW(BW33:BW229),"")))</f>
        <v>16.666666666666668</v>
      </c>
      <c r="BY33" s="12">
        <f>IF('Données projet'!$A$114&gt;35,BY32+BX33-CG32,IF(A33&lt;'Données projet'!$A$114,$BV$205^A33,IF(A33='Données projet'!$A$114,'Données projet'!$B$114,BY32+BX33-CG32)))</f>
        <v>254.99999999999994</v>
      </c>
      <c r="BZ33" s="13">
        <f>BY33*VLOOKUP('Données projet'!$B$12,Paramètres!$A$1:$I$89,3,0)*VLOOKUP('Données projet'!$B$12,Paramètres!$A$1:$I$89,5,0)</f>
        <v>139.22999999999996</v>
      </c>
      <c r="CA33" s="13">
        <f t="shared" si="39"/>
        <v>36.120552727378737</v>
      </c>
      <c r="CB33" s="20">
        <f t="shared" si="10"/>
        <v>305.4022126668512</v>
      </c>
      <c r="CC33" s="59">
        <f t="shared" si="11"/>
        <v>598.73554600018451</v>
      </c>
      <c r="CD33" s="59">
        <f ca="1">AVERAGE(OFFSET($CC$3,0,0,'Données projet'!$E$12+1,1))-AVERAGE(OFFSET($H$3,0,0,'Données projet'!$E$12+1,1))</f>
        <v>159.92263609041913</v>
      </c>
      <c r="CE33" s="59">
        <f t="shared" si="40"/>
        <v>271.78119133009307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76</v>
      </c>
      <c r="CH33" s="16">
        <f>IF(ISNA(VLOOKUP(A33,'Données projet'!$A$113:$I$133,5,0)),0%,VLOOKUP(A33,'Données projet'!$A$113:$I$133,5,0)*VLOOKUP('Données projet'!$B$12,Paramètres!$A$1:$I$89,7,0))</f>
        <v>0.18</v>
      </c>
      <c r="CI33" s="16">
        <f>IF(ISNA(VLOOKUP(A33,'Données projet'!$A$113:$I$133,6,0)),0%,VLOOKUP(A33,'Données projet'!$A$113:$I$133,6,0)*VLOOKUP('Données projet'!$B$12,Paramètres!$A$1:$I$89,7,0))</f>
        <v>0.36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9.9084813557254474</v>
      </c>
      <c r="CL33" s="21">
        <f>EXP(-LN(2)/25)*CL32+(1-EXP(-LN(2)/25))/(LN(2)/25)*Calculateur!CG33*Calculateur!CI33*VLOOKUP('Données projet'!$B$12,Paramètres!$A$1:$I$89,3,0)*0.475*44/12</f>
        <v>74.116619277812106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84.025100633537548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121.88461538461537</v>
      </c>
      <c r="CR33" s="12">
        <f>VLOOKUP(A33,'Données projet'!$A$139:$I$159,9,0)</f>
        <v>4.0628205128205126</v>
      </c>
      <c r="CS33" s="12">
        <f t="array" ref="CS33">INDEX(CR:CR,MIN(IF(ISNUMBER(CR33:CR229),ROW(CR33:CR229),"")))</f>
        <v>4.0628205128205126</v>
      </c>
      <c r="CT33" s="12">
        <f>IF('Données projet'!$A$140&gt;35,CT32+CS33-DB32,IF(A33&lt;'Données projet'!$A$140,$CQ$205^A33,IF(A33='Données projet'!$A$140,'Données projet'!$B$140,CT32+CS33-DB32)))</f>
        <v>121.88461538461537</v>
      </c>
      <c r="CU33" s="17">
        <f>CT33*VLOOKUP('Données projet'!$B$13,Paramètres!$A$1:$I$89,3,0)*VLOOKUP('Données projet'!$B$13,Paramètres!$A$1:$I$89,5,0)</f>
        <v>110.2812</v>
      </c>
      <c r="CV33" s="13">
        <f t="shared" si="41"/>
        <v>29.397227638069996</v>
      </c>
      <c r="CW33" s="20">
        <f t="shared" si="13"/>
        <v>243.27326146963856</v>
      </c>
      <c r="CX33" s="59">
        <f t="shared" si="14"/>
        <v>536.60659480297181</v>
      </c>
      <c r="CY33" s="59">
        <f ca="1">AVERAGE(OFFSET($CX$3,0,0,'Données projet'!$E$13+1,1))-AVERAGE(OFFSET($H$3,0,0,'Données projet'!$E$13+1,1))</f>
        <v>280.25710840677186</v>
      </c>
      <c r="CZ33" s="59">
        <f t="shared" si="42"/>
        <v>209.65224013288037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149</v>
      </c>
      <c r="DM33" s="12">
        <f>VLOOKUP(A33,'Données projet'!$A$165:$I$185,9,0)</f>
        <v>9.8000000000000007</v>
      </c>
      <c r="DN33" s="12">
        <f t="array" ref="DN33">INDEX(DM:DM,MIN(IF(ISNUMBER(DM33:DM229),ROW(DM33:DM229),"")))</f>
        <v>9.8000000000000007</v>
      </c>
      <c r="DO33" s="12">
        <f>IF('Données projet'!$A$166&gt;35,DO32+DN33-DW32,IF(A33&lt;'Données projet'!$A$166,$DL$205^A33,IF(A33='Données projet'!$A$166,'Données projet'!$B$166,DO32+DN33-DW32)))</f>
        <v>149.00000000000003</v>
      </c>
      <c r="DP33" s="17">
        <f>DO33*VLOOKUP('Données projet'!$B$14,Paramètres!$A$1:$I$89,3,0)*VLOOKUP('Données projet'!$B$14,Paramètres!$A$1:$I$89,5,0)</f>
        <v>155.73480000000004</v>
      </c>
      <c r="DQ33" s="13">
        <f t="shared" si="43"/>
        <v>39.878980068529806</v>
      </c>
      <c r="DR33" s="20">
        <f t="shared" si="16"/>
        <v>340.6940002860228</v>
      </c>
      <c r="DS33" s="59">
        <f t="shared" si="17"/>
        <v>634.02733361935611</v>
      </c>
      <c r="DT33" s="59">
        <f ca="1">AVERAGE(OFFSET($DS$3,0,0,'Données projet'!$E$14+1,1))-AVERAGE(OFFSET($H$3,0,0,'Données projet'!$E$14+1,1))</f>
        <v>330.14201227773452</v>
      </c>
      <c r="DU33" s="59">
        <f t="shared" si="44"/>
        <v>307.07297894926467</v>
      </c>
      <c r="DV33" s="15">
        <f>IF(ISNA(VLOOKUP(A33,'Données projet'!$A$165:$I$185,3,0)),0,VLOOKUP(A33,'Données projet'!$A$165:$I$185,3,0))</f>
        <v>3</v>
      </c>
      <c r="DW33" s="15" t="str">
        <f>IF(ISNA(VLOOKUP(A33,'Données projet'!$A$165:$I$185,4,0)),0,VLOOKUP(A33,'Données projet'!$A$165:$I$185,4,0))</f>
        <v>27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161</v>
      </c>
      <c r="EH33" s="12">
        <f>VLOOKUP(A33,'Données projet'!$A$191:$I$211,9,0)</f>
        <v>8.8000000000000007</v>
      </c>
      <c r="EI33" s="12">
        <f t="array" ref="EI33">INDEX(EH:EH,MIN(IF(ISNUMBER(EH33:EH229),ROW(EH33:EH229),"")))</f>
        <v>8.8000000000000007</v>
      </c>
      <c r="EJ33" s="12">
        <f>IF('Données projet'!$A$192&gt;35,EJ32+EI33-ER32,IF(A33&lt;'Données projet'!$A$192,$EG$205^A33,IF(A33='Données projet'!$A$192,'Données projet'!$B$192,EJ32+EI33-ER32)))</f>
        <v>161.00000000000003</v>
      </c>
      <c r="EK33" s="17">
        <f>EJ33*VLOOKUP('Données projet'!$B$15,Paramètres!$A$1:$I$89,3,0)*VLOOKUP('Données projet'!$B$15,Paramètres!$A$1:$I$89,5,0)</f>
        <v>105.48720000000002</v>
      </c>
      <c r="EL33" s="13">
        <f t="shared" si="45"/>
        <v>28.265155367923839</v>
      </c>
      <c r="EM33" s="20">
        <f t="shared" si="19"/>
        <v>232.95201893246738</v>
      </c>
      <c r="EN33" s="59">
        <f t="shared" si="20"/>
        <v>526.28535226580073</v>
      </c>
      <c r="EO33" s="59">
        <f ca="1">AVERAGE(OFFSET($EN$3,0,0,'Données projet'!$E$15+1,1))-AVERAGE(OFFSET($H$3,0,0,'Données projet'!$E$15+1,1))</f>
        <v>183.30081488041924</v>
      </c>
      <c r="EP33" s="59">
        <f t="shared" si="46"/>
        <v>199.33099759570928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23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4.3000000000000003E-2</v>
      </c>
      <c r="EU33" s="16">
        <f>IF(ISNA(VLOOKUP(A33,'Données projet'!$A$191:$I$211,7,0)),0%,VLOOKUP(A33,'Données projet'!$A$191:$I$211,7,0))</f>
        <v>0.3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1.6154478620936921</v>
      </c>
      <c r="EX33" s="21">
        <f>EXP(-LN(2)/2)*EX32+(1-EXP(-LN(2)/2))/(LN(2)/2)*ER33*EU33*VLOOKUP('Données projet'!$B$15,Paramètres!$A$1:$I$89,3,0)*0.475*44/12</f>
        <v>5.0162911554210581</v>
      </c>
      <c r="EY33" s="22">
        <f t="shared" si="21"/>
        <v>6.6317390175147501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16.131410256410259</v>
      </c>
      <c r="N34" s="13">
        <f>IF('Données projet'!$A$36&gt;35,N33+M34-V33,IF(A34&lt;'Données projet'!$A$36,$K$205^A34,IF(A34='Données projet'!$A$36,'Données projet'!$B$36,N33+M34-V33)))</f>
        <v>232.92371794871792</v>
      </c>
      <c r="O34" s="13">
        <f>N34*VLOOKUP('Données projet'!$B$9,Paramètres!$A$1:$I$89,3,0)*VLOOKUP('Données projet'!$B$9,Paramètres!$A$1:$I$89,5,0)</f>
        <v>109.00829999999998</v>
      </c>
      <c r="P34" s="13">
        <f t="shared" si="33"/>
        <v>29.097209307093255</v>
      </c>
      <c r="Q34" s="20">
        <f t="shared" si="2"/>
        <v>240.53376204318738</v>
      </c>
      <c r="R34" s="59">
        <f t="shared" si="0"/>
        <v>533.86709537652064</v>
      </c>
      <c r="S34" s="59">
        <f ca="1">AVERAGE(OFFSET($R$3,0,0,'Données projet'!$E$9+1,1))-AVERAGE(OFFSET($H$3,0,0,'Données projet'!$E$9+1,1))</f>
        <v>205.73717397588365</v>
      </c>
      <c r="T34" s="59">
        <f t="shared" si="34"/>
        <v>190.64998698136026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283.73369613548124</v>
      </c>
      <c r="AO34" s="59">
        <f t="shared" si="36"/>
        <v>249.77804091581208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22.884615384615397</v>
      </c>
      <c r="BD34" s="12">
        <f>IF('Données projet'!$A$88&gt;35,BD33+BC34-BL33,IF(A34&lt;'Données projet'!$A$88,$BA$205^A34,IF(A34='Données projet'!$A$88,'Données projet'!$B$88,BD33+BC34-BL33)))</f>
        <v>289.08461538461529</v>
      </c>
      <c r="BE34" s="13">
        <f>BD34*VLOOKUP('Données projet'!$B$11,Paramètres!$A$1:$I$89,3,0)*VLOOKUP('Données projet'!$B$11,Paramètres!$A$1:$I$89,5,0)</f>
        <v>161.59829999999994</v>
      </c>
      <c r="BF34" s="13">
        <f t="shared" si="37"/>
        <v>41.202807619439731</v>
      </c>
      <c r="BG34" s="20">
        <f t="shared" si="7"/>
        <v>353.21192910385736</v>
      </c>
      <c r="BH34" s="59">
        <f t="shared" si="8"/>
        <v>646.54526243719067</v>
      </c>
      <c r="BI34" s="59">
        <f ca="1">AVERAGE(OFFSET($BH$3,0,0,'Données projet'!$E$11+1,1))-AVERAGE(OFFSET($H$3,0,0,'Données projet'!$E$11+1,1))</f>
        <v>278.5296012747549</v>
      </c>
      <c r="BJ34" s="59">
        <f t="shared" si="38"/>
        <v>370.55343097937077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28.983761183885679</v>
      </c>
      <c r="BQ34" s="21">
        <f>EXP(-LN(2)/25)*BQ33+(1-EXP(-LN(2)/25))/(LN(2)/25)*Calculateur!BL34*Calculateur!BN34*VLOOKUP('Données projet'!$B$11,Paramètres!$A$1:$I$89,3,0)*0.475*44/12</f>
        <v>17.749365982960363</v>
      </c>
      <c r="BR34" s="21">
        <f>EXP(-LN(2)/2)*BR33+(1-EXP(-LN(2)/2))/(LN(2)/2)*BL34*BO34*VLOOKUP('Données projet'!$B$11,Paramètres!$A$1:$I$89,3,0)*0.475*44/12</f>
        <v>4.4076409795891482</v>
      </c>
      <c r="BS34" s="22">
        <f t="shared" si="9"/>
        <v>51.140768146435192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</v>
      </c>
      <c r="BY34" s="12">
        <f>IF('Données projet'!$A$114&gt;35,BY33+BX34-CG33,IF(A34&lt;'Données projet'!$A$114,$BV$205^A34,IF(A34='Données projet'!$A$114,'Données projet'!$B$114,BY33+BX34-CG33)))</f>
        <v>193.99999999999994</v>
      </c>
      <c r="BZ34" s="13">
        <f>BY34*VLOOKUP('Données projet'!$B$12,Paramètres!$A$1:$I$89,3,0)*VLOOKUP('Données projet'!$B$12,Paramètres!$A$1:$I$89,5,0)</f>
        <v>105.92399999999998</v>
      </c>
      <c r="CA34" s="13">
        <f t="shared" si="39"/>
        <v>28.36854701055546</v>
      </c>
      <c r="CB34" s="20">
        <f t="shared" si="10"/>
        <v>233.89285271005073</v>
      </c>
      <c r="CC34" s="59">
        <f t="shared" si="11"/>
        <v>527.22618604338402</v>
      </c>
      <c r="CD34" s="59">
        <f ca="1">AVERAGE(OFFSET($CC$3,0,0,'Données projet'!$E$12+1,1))-AVERAGE(OFFSET($H$3,0,0,'Données projet'!$E$12+1,1))</f>
        <v>159.92263609041913</v>
      </c>
      <c r="CE34" s="59">
        <f t="shared" si="40"/>
        <v>271.78119133009307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9.7141820799165455</v>
      </c>
      <c r="CL34" s="21">
        <f>EXP(-LN(2)/25)*CL33+(1-EXP(-LN(2)/25))/(LN(2)/25)*Calculateur!CG34*Calculateur!CI34*VLOOKUP('Données projet'!$B$12,Paramètres!$A$1:$I$89,3,0)*0.475*44/12</f>
        <v>72.089896426036717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81.804078505953257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8.0564102564102633</v>
      </c>
      <c r="CT34" s="12">
        <f>IF('Données projet'!$A$140&gt;35,CT33+CS34-DB33,IF(A34&lt;'Données projet'!$A$140,$CQ$205^A34,IF(A34='Données projet'!$A$140,'Données projet'!$B$140,CT33+CS34-DB33)))</f>
        <v>129.94102564102565</v>
      </c>
      <c r="CU34" s="17">
        <f>CT34*VLOOKUP('Données projet'!$B$13,Paramètres!$A$1:$I$89,3,0)*VLOOKUP('Données projet'!$B$13,Paramètres!$A$1:$I$89,5,0)</f>
        <v>117.57064000000001</v>
      </c>
      <c r="CV34" s="13">
        <f t="shared" si="41"/>
        <v>31.107718284302781</v>
      </c>
      <c r="CW34" s="20">
        <f t="shared" si="13"/>
        <v>258.94814067849398</v>
      </c>
      <c r="CX34" s="59">
        <f t="shared" si="14"/>
        <v>552.2814740118273</v>
      </c>
      <c r="CY34" s="59">
        <f ca="1">AVERAGE(OFFSET($CX$3,0,0,'Données projet'!$E$13+1,1))-AVERAGE(OFFSET($H$3,0,0,'Données projet'!$E$13+1,1))</f>
        <v>280.25710840677186</v>
      </c>
      <c r="CZ34" s="59">
        <f t="shared" si="42"/>
        <v>209.65224013288037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9.1999999999999993</v>
      </c>
      <c r="DO34" s="12">
        <f>IF('Données projet'!$A$166&gt;35,DO33+DN34-DW33,IF(A34&lt;'Données projet'!$A$166,$DL$205^A34,IF(A34='Données projet'!$A$166,'Données projet'!$B$166,DO33+DN34-DW33)))</f>
        <v>131.20000000000002</v>
      </c>
      <c r="DP34" s="17">
        <f>DO34*VLOOKUP('Données projet'!$B$14,Paramètres!$A$1:$I$89,3,0)*VLOOKUP('Données projet'!$B$14,Paramètres!$A$1:$I$89,5,0)</f>
        <v>137.13024000000001</v>
      </c>
      <c r="DQ34" s="13">
        <f t="shared" si="43"/>
        <v>35.638793424767798</v>
      </c>
      <c r="DR34" s="20">
        <f t="shared" si="16"/>
        <v>300.90606654813729</v>
      </c>
      <c r="DS34" s="59">
        <f t="shared" si="17"/>
        <v>594.2393998814706</v>
      </c>
      <c r="DT34" s="59">
        <f ca="1">AVERAGE(OFFSET($DS$3,0,0,'Données projet'!$E$14+1,1))-AVERAGE(OFFSET($H$3,0,0,'Données projet'!$E$14+1,1))</f>
        <v>330.14201227773452</v>
      </c>
      <c r="DU34" s="59">
        <f t="shared" si="44"/>
        <v>307.07297894926467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8.6</v>
      </c>
      <c r="EJ34" s="12">
        <f>IF('Données projet'!$A$192&gt;35,EJ33+EI34-ER33,IF(A34&lt;'Données projet'!$A$192,$EG$205^A34,IF(A34='Données projet'!$A$192,'Données projet'!$B$192,EJ33+EI34-ER33)))</f>
        <v>146.60000000000002</v>
      </c>
      <c r="EK34" s="17">
        <f>EJ34*VLOOKUP('Données projet'!$B$15,Paramètres!$A$1:$I$89,3,0)*VLOOKUP('Données projet'!$B$15,Paramètres!$A$1:$I$89,5,0)</f>
        <v>96.052320000000023</v>
      </c>
      <c r="EL34" s="13">
        <f t="shared" si="45"/>
        <v>26.019324001860248</v>
      </c>
      <c r="EM34" s="20">
        <f t="shared" si="19"/>
        <v>212.60811330323997</v>
      </c>
      <c r="EN34" s="59">
        <f t="shared" si="20"/>
        <v>505.94144663657329</v>
      </c>
      <c r="EO34" s="59">
        <f ca="1">AVERAGE(OFFSET($EN$3,0,0,'Données projet'!$E$15+1,1))-AVERAGE(OFFSET($H$3,0,0,'Données projet'!$E$15+1,1))</f>
        <v>183.30081488041924</v>
      </c>
      <c r="EP34" s="59">
        <f t="shared" si="46"/>
        <v>199.33099759570928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1.5712733553520291</v>
      </c>
      <c r="EX34" s="21">
        <f>EXP(-LN(2)/2)*EX33+(1-EXP(-LN(2)/2))/(LN(2)/2)*ER34*EU34*VLOOKUP('Données projet'!$B$15,Paramètres!$A$1:$I$89,3,0)*0.475*44/12</f>
        <v>3.547053492404332</v>
      </c>
      <c r="EY34" s="22">
        <f t="shared" si="21"/>
        <v>5.1183268477563608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16.131410256410259</v>
      </c>
      <c r="N35" s="13">
        <f>IF('Données projet'!$A$36&gt;35,N34+M35-V34,IF(A35&lt;'Données projet'!$A$36,$K$205^A35,IF(A35='Données projet'!$A$36,'Données projet'!$B$36,N34+M35-V34)))</f>
        <v>249.05512820512817</v>
      </c>
      <c r="O35" s="13">
        <f>N35*VLOOKUP('Données projet'!$B$9,Paramètres!$A$1:$I$89,3,0)*VLOOKUP('Données projet'!$B$9,Paramètres!$A$1:$I$89,5,0)</f>
        <v>116.55779999999997</v>
      </c>
      <c r="P35" s="13">
        <f t="shared" si="33"/>
        <v>30.870807833785406</v>
      </c>
      <c r="Q35" s="20">
        <f t="shared" ref="Q35:Q66" si="53">(O35+P35)*0.475*44/12</f>
        <v>256.7714919771762</v>
      </c>
      <c r="R35" s="59">
        <f t="shared" si="0"/>
        <v>550.10482531050957</v>
      </c>
      <c r="S35" s="59">
        <f ca="1">AVERAGE(OFFSET($R$3,0,0,'Données projet'!$E$9+1,1))-AVERAGE(OFFSET($H$3,0,0,'Données projet'!$E$9+1,1))</f>
        <v>205.73717397588365</v>
      </c>
      <c r="T35" s="59">
        <f t="shared" si="34"/>
        <v>190.64998698136026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283.73369613548124</v>
      </c>
      <c r="AO35" s="59">
        <f t="shared" si="36"/>
        <v>249.77804091581208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22.884615384615397</v>
      </c>
      <c r="BD35" s="12">
        <f>IF('Données projet'!$A$88&gt;35,BD34+BC35-BL34,IF(A35&lt;'Données projet'!$A$88,$BA$205^A35,IF(A35='Données projet'!$A$88,'Données projet'!$B$88,BD34+BC35-BL34)))</f>
        <v>311.96923076923071</v>
      </c>
      <c r="BE35" s="13">
        <f>BD35*VLOOKUP('Données projet'!$B$11,Paramètres!$A$1:$I$89,3,0)*VLOOKUP('Données projet'!$B$11,Paramètres!$A$1:$I$89,5,0)</f>
        <v>174.39079999999996</v>
      </c>
      <c r="BF35" s="13">
        <f t="shared" si="37"/>
        <v>44.071952499783528</v>
      </c>
      <c r="BG35" s="20">
        <f t="shared" si="7"/>
        <v>380.48929393712291</v>
      </c>
      <c r="BH35" s="59">
        <f t="shared" si="8"/>
        <v>673.82262727045622</v>
      </c>
      <c r="BI35" s="59">
        <f ca="1">AVERAGE(OFFSET($BH$3,0,0,'Données projet'!$E$11+1,1))-AVERAGE(OFFSET($H$3,0,0,'Données projet'!$E$11+1,1))</f>
        <v>278.5296012747549</v>
      </c>
      <c r="BJ35" s="59">
        <f t="shared" si="38"/>
        <v>370.55343097937077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28.415407305418412</v>
      </c>
      <c r="BQ35" s="21">
        <f>EXP(-LN(2)/25)*BQ34+(1-EXP(-LN(2)/25))/(LN(2)/25)*Calculateur!BL35*Calculateur!BN35*VLOOKUP('Données projet'!$B$11,Paramètres!$A$1:$I$89,3,0)*0.475*44/12</f>
        <v>17.264008636757723</v>
      </c>
      <c r="BR35" s="21">
        <f>EXP(-LN(2)/2)*BR34+(1-EXP(-LN(2)/2))/(LN(2)/2)*BL35*BO35*VLOOKUP('Données projet'!$B$11,Paramètres!$A$1:$I$89,3,0)*0.475*44/12</f>
        <v>3.1166728257032039</v>
      </c>
      <c r="BS35" s="22">
        <f t="shared" si="9"/>
        <v>48.79608876787934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</v>
      </c>
      <c r="BY35" s="12">
        <f>IF('Données projet'!$A$114&gt;35,BY34+BX35-CG34,IF(A35&lt;'Données projet'!$A$114,$BV$205^A35,IF(A35='Données projet'!$A$114,'Données projet'!$B$114,BY34+BX35-CG34)))</f>
        <v>208.99999999999994</v>
      </c>
      <c r="BZ35" s="13">
        <f>BY35*VLOOKUP('Données projet'!$B$12,Paramètres!$A$1:$I$89,3,0)*VLOOKUP('Données projet'!$B$12,Paramètres!$A$1:$I$89,5,0)</f>
        <v>114.11399999999996</v>
      </c>
      <c r="CA35" s="13">
        <f t="shared" si="39"/>
        <v>30.298194021728271</v>
      </c>
      <c r="CB35" s="20">
        <f t="shared" si="10"/>
        <v>251.5179045878433</v>
      </c>
      <c r="CC35" s="59">
        <f t="shared" si="11"/>
        <v>544.85123792117656</v>
      </c>
      <c r="CD35" s="59">
        <f ca="1">AVERAGE(OFFSET($CC$3,0,0,'Données projet'!$E$12+1,1))-AVERAGE(OFFSET($H$3,0,0,'Données projet'!$E$12+1,1))</f>
        <v>159.92263609041913</v>
      </c>
      <c r="CE35" s="59">
        <f t="shared" si="40"/>
        <v>271.78119133009307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9.5236928943953991</v>
      </c>
      <c r="CL35" s="21">
        <f>EXP(-LN(2)/25)*CL34+(1-EXP(-LN(2)/25))/(LN(2)/25)*Calculateur!CG35*Calculateur!CI35*VLOOKUP('Données projet'!$B$12,Paramètres!$A$1:$I$89,3,0)*0.475*44/12</f>
        <v>70.118594417223846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79.642287311619242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8.0564102564102633</v>
      </c>
      <c r="CT35" s="12">
        <f>IF('Données projet'!$A$140&gt;35,CT34+CS35-DB34,IF(A35&lt;'Données projet'!$A$140,$CQ$205^A35,IF(A35='Données projet'!$A$140,'Données projet'!$B$140,CT34+CS35-DB34)))</f>
        <v>137.99743589743591</v>
      </c>
      <c r="CU35" s="17">
        <f>CT35*VLOOKUP('Données projet'!$B$13,Paramètres!$A$1:$I$89,3,0)*VLOOKUP('Données projet'!$B$13,Paramètres!$A$1:$I$89,5,0)</f>
        <v>124.86008000000001</v>
      </c>
      <c r="CV35" s="13">
        <f t="shared" si="41"/>
        <v>32.805900674075268</v>
      </c>
      <c r="CW35" s="20">
        <f t="shared" si="13"/>
        <v>274.60158300734776</v>
      </c>
      <c r="CX35" s="59">
        <f t="shared" si="14"/>
        <v>567.93491634068107</v>
      </c>
      <c r="CY35" s="59">
        <f ca="1">AVERAGE(OFFSET($CX$3,0,0,'Données projet'!$E$13+1,1))-AVERAGE(OFFSET($H$3,0,0,'Données projet'!$E$13+1,1))</f>
        <v>280.25710840677186</v>
      </c>
      <c r="CZ35" s="59">
        <f t="shared" si="42"/>
        <v>209.65224013288037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9.1999999999999993</v>
      </c>
      <c r="DO35" s="12">
        <f>IF('Données projet'!$A$166&gt;35,DO34+DN35-DW34,IF(A35&lt;'Données projet'!$A$166,$DL$205^A35,IF(A35='Données projet'!$A$166,'Données projet'!$B$166,DO34+DN35-DW34)))</f>
        <v>140.4</v>
      </c>
      <c r="DP35" s="17">
        <f>DO35*VLOOKUP('Données projet'!$B$14,Paramètres!$A$1:$I$89,3,0)*VLOOKUP('Données projet'!$B$14,Paramètres!$A$1:$I$89,5,0)</f>
        <v>146.74608000000003</v>
      </c>
      <c r="DQ35" s="13">
        <f t="shared" si="43"/>
        <v>37.83817941034674</v>
      </c>
      <c r="DR35" s="20">
        <f t="shared" si="16"/>
        <v>321.48425180635394</v>
      </c>
      <c r="DS35" s="59">
        <f t="shared" si="17"/>
        <v>614.81758513968725</v>
      </c>
      <c r="DT35" s="59">
        <f ca="1">AVERAGE(OFFSET($DS$3,0,0,'Données projet'!$E$14+1,1))-AVERAGE(OFFSET($H$3,0,0,'Données projet'!$E$14+1,1))</f>
        <v>330.14201227773452</v>
      </c>
      <c r="DU35" s="59">
        <f t="shared" si="44"/>
        <v>307.07297894926467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8.6</v>
      </c>
      <c r="EJ35" s="12">
        <f>IF('Données projet'!$A$192&gt;35,EJ34+EI35-ER34,IF(A35&lt;'Données projet'!$A$192,$EG$205^A35,IF(A35='Données projet'!$A$192,'Données projet'!$B$192,EJ34+EI35-ER34)))</f>
        <v>155.20000000000002</v>
      </c>
      <c r="EK35" s="17">
        <f>EJ35*VLOOKUP('Données projet'!$B$15,Paramètres!$A$1:$I$89,3,0)*VLOOKUP('Données projet'!$B$15,Paramètres!$A$1:$I$89,5,0)</f>
        <v>101.68704000000002</v>
      </c>
      <c r="EL35" s="13">
        <f t="shared" si="45"/>
        <v>27.363519398004541</v>
      </c>
      <c r="EM35" s="20">
        <f t="shared" si="19"/>
        <v>224.76305761819128</v>
      </c>
      <c r="EN35" s="59">
        <f t="shared" si="20"/>
        <v>518.09639095152465</v>
      </c>
      <c r="EO35" s="59">
        <f ca="1">AVERAGE(OFFSET($EN$3,0,0,'Données projet'!$E$15+1,1))-AVERAGE(OFFSET($H$3,0,0,'Données projet'!$E$15+1,1))</f>
        <v>183.30081488041924</v>
      </c>
      <c r="EP35" s="59">
        <f t="shared" si="46"/>
        <v>199.33099759570928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1.5283068028202533</v>
      </c>
      <c r="EX35" s="21">
        <f>EXP(-LN(2)/2)*EX34+(1-EXP(-LN(2)/2))/(LN(2)/2)*ER35*EU35*VLOOKUP('Données projet'!$B$15,Paramètres!$A$1:$I$89,3,0)*0.475*44/12</f>
        <v>2.5081455777105295</v>
      </c>
      <c r="EY35" s="22">
        <f t="shared" si="21"/>
        <v>4.0364523805307826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16.131410256410259</v>
      </c>
      <c r="N36" s="13">
        <f>IF('Données projet'!$A$36&gt;35,N35+M36-V35,IF(A36&lt;'Données projet'!$A$36,$K$205^A36,IF(A36='Données projet'!$A$36,'Données projet'!$B$36,N35+M36-V35)))</f>
        <v>265.18653846153842</v>
      </c>
      <c r="O36" s="13">
        <f>N36*VLOOKUP('Données projet'!$B$9,Paramètres!$A$1:$I$89,3,0)*VLOOKUP('Données projet'!$B$9,Paramètres!$A$1:$I$89,5,0)</f>
        <v>124.10729999999997</v>
      </c>
      <c r="P36" s="13">
        <f t="shared" si="33"/>
        <v>32.631075149258578</v>
      </c>
      <c r="Q36" s="20">
        <f t="shared" si="53"/>
        <v>272.98600338495862</v>
      </c>
      <c r="R36" s="59">
        <f t="shared" si="0"/>
        <v>566.31933671829188</v>
      </c>
      <c r="S36" s="59">
        <f ca="1">AVERAGE(OFFSET($R$3,0,0,'Données projet'!$E$9+1,1))-AVERAGE(OFFSET($H$3,0,0,'Données projet'!$E$9+1,1))</f>
        <v>205.73717397588365</v>
      </c>
      <c r="T36" s="59">
        <f t="shared" si="34"/>
        <v>190.64998698136026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283.73369613548124</v>
      </c>
      <c r="AO36" s="59">
        <f t="shared" si="36"/>
        <v>249.77804091581208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22.884615384615397</v>
      </c>
      <c r="BD36" s="12">
        <f>IF('Données projet'!$A$88&gt;35,BD35+BC36-BL35,IF(A36&lt;'Données projet'!$A$88,$BA$205^A36,IF(A36='Données projet'!$A$88,'Données projet'!$B$88,BD35+BC36-BL35)))</f>
        <v>334.85384615384612</v>
      </c>
      <c r="BE36" s="13">
        <f>BD36*VLOOKUP('Données projet'!$B$11,Paramètres!$A$1:$I$89,3,0)*VLOOKUP('Données projet'!$B$11,Paramètres!$A$1:$I$89,5,0)</f>
        <v>187.18329999999997</v>
      </c>
      <c r="BF36" s="13">
        <f t="shared" si="37"/>
        <v>46.91668019244311</v>
      </c>
      <c r="BG36" s="20">
        <f t="shared" si="7"/>
        <v>407.72413216850504</v>
      </c>
      <c r="BH36" s="59">
        <f t="shared" si="8"/>
        <v>701.05746550183835</v>
      </c>
      <c r="BI36" s="59">
        <f ca="1">AVERAGE(OFFSET($BH$3,0,0,'Données projet'!$E$11+1,1))-AVERAGE(OFFSET($H$3,0,0,'Données projet'!$E$11+1,1))</f>
        <v>278.5296012747549</v>
      </c>
      <c r="BJ36" s="59">
        <f t="shared" si="38"/>
        <v>370.55343097937077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27.858198499846253</v>
      </c>
      <c r="BQ36" s="21">
        <f>EXP(-LN(2)/25)*BQ35+(1-EXP(-LN(2)/25))/(LN(2)/25)*Calculateur!BL36*Calculateur!BN36*VLOOKUP('Données projet'!$B$11,Paramètres!$A$1:$I$89,3,0)*0.475*44/12</f>
        <v>16.791923412710826</v>
      </c>
      <c r="BR36" s="21">
        <f>EXP(-LN(2)/2)*BR35+(1-EXP(-LN(2)/2))/(LN(2)/2)*BL36*BO36*VLOOKUP('Données projet'!$B$11,Paramètres!$A$1:$I$89,3,0)*0.475*44/12</f>
        <v>2.2038204897945741</v>
      </c>
      <c r="BS36" s="22">
        <f t="shared" si="9"/>
        <v>46.853942402351656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</v>
      </c>
      <c r="BY36" s="12">
        <f>IF('Données projet'!$A$114&gt;35,BY35+BX36-CG35,IF(A36&lt;'Données projet'!$A$114,$BV$205^A36,IF(A36='Données projet'!$A$114,'Données projet'!$B$114,BY35+BX36-CG35)))</f>
        <v>223.99999999999994</v>
      </c>
      <c r="BZ36" s="13">
        <f>BY36*VLOOKUP('Données projet'!$B$12,Paramètres!$A$1:$I$89,3,0)*VLOOKUP('Données projet'!$B$12,Paramètres!$A$1:$I$89,5,0)</f>
        <v>122.30399999999996</v>
      </c>
      <c r="CA36" s="13">
        <f t="shared" si="39"/>
        <v>32.211773226559373</v>
      </c>
      <c r="CB36" s="20">
        <f t="shared" si="10"/>
        <v>269.11497170292415</v>
      </c>
      <c r="CC36" s="59">
        <f t="shared" si="11"/>
        <v>562.44830503625747</v>
      </c>
      <c r="CD36" s="59">
        <f ca="1">AVERAGE(OFFSET($CC$3,0,0,'Données projet'!$E$12+1,1))-AVERAGE(OFFSET($H$3,0,0,'Données projet'!$E$12+1,1))</f>
        <v>159.92263609041913</v>
      </c>
      <c r="CE36" s="59">
        <f t="shared" si="40"/>
        <v>271.78119133009307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9.3369390856153913</v>
      </c>
      <c r="CL36" s="21">
        <f>EXP(-LN(2)/25)*CL35+(1-EXP(-LN(2)/25))/(LN(2)/25)*Calculateur!CG36*Calculateur!CI36*VLOOKUP('Données projet'!$B$12,Paramètres!$A$1:$I$89,3,0)*0.475*44/12</f>
        <v>68.20119776550824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77.538136851123625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8.0564102564102633</v>
      </c>
      <c r="CT36" s="12">
        <f>IF('Données projet'!$A$140&gt;35,CT35+CS36-DB35,IF(A36&lt;'Données projet'!$A$140,$CQ$205^A36,IF(A36='Données projet'!$A$140,'Données projet'!$B$140,CT35+CS36-DB35)))</f>
        <v>146.05384615384617</v>
      </c>
      <c r="CU36" s="17">
        <f>CT36*VLOOKUP('Données projet'!$B$13,Paramètres!$A$1:$I$89,3,0)*VLOOKUP('Données projet'!$B$13,Paramètres!$A$1:$I$89,5,0)</f>
        <v>132.14952</v>
      </c>
      <c r="CV36" s="13">
        <f t="shared" si="41"/>
        <v>34.49257523106499</v>
      </c>
      <c r="CW36" s="20">
        <f t="shared" si="13"/>
        <v>290.23498252743815</v>
      </c>
      <c r="CX36" s="59">
        <f t="shared" si="14"/>
        <v>583.56831586077146</v>
      </c>
      <c r="CY36" s="59">
        <f ca="1">AVERAGE(OFFSET($CX$3,0,0,'Données projet'!$E$13+1,1))-AVERAGE(OFFSET($H$3,0,0,'Données projet'!$E$13+1,1))</f>
        <v>280.25710840677186</v>
      </c>
      <c r="CZ36" s="59">
        <f t="shared" si="42"/>
        <v>209.65224013288037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9.1999999999999993</v>
      </c>
      <c r="DO36" s="12">
        <f>IF('Données projet'!$A$166&gt;35,DO35+DN36-DW35,IF(A36&lt;'Données projet'!$A$166,$DL$205^A36,IF(A36='Données projet'!$A$166,'Données projet'!$B$166,DO35+DN36-DW35)))</f>
        <v>149.6</v>
      </c>
      <c r="DP36" s="17">
        <f>DO36*VLOOKUP('Données projet'!$B$14,Paramètres!$A$1:$I$89,3,0)*VLOOKUP('Données projet'!$B$14,Paramètres!$A$1:$I$89,5,0)</f>
        <v>156.36192</v>
      </c>
      <c r="DQ36" s="13">
        <f t="shared" si="43"/>
        <v>40.020841092261293</v>
      </c>
      <c r="DR36" s="20">
        <f t="shared" si="16"/>
        <v>342.03330890235503</v>
      </c>
      <c r="DS36" s="59">
        <f t="shared" si="17"/>
        <v>635.36664223568835</v>
      </c>
      <c r="DT36" s="59">
        <f ca="1">AVERAGE(OFFSET($DS$3,0,0,'Données projet'!$E$14+1,1))-AVERAGE(OFFSET($H$3,0,0,'Données projet'!$E$14+1,1))</f>
        <v>330.14201227773452</v>
      </c>
      <c r="DU36" s="59">
        <f t="shared" si="44"/>
        <v>307.07297894926467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8.6</v>
      </c>
      <c r="EJ36" s="12">
        <f>IF('Données projet'!$A$192&gt;35,EJ35+EI36-ER35,IF(A36&lt;'Données projet'!$A$192,$EG$205^A36,IF(A36='Données projet'!$A$192,'Données projet'!$B$192,EJ35+EI36-ER35)))</f>
        <v>163.80000000000001</v>
      </c>
      <c r="EK36" s="17">
        <f>EJ36*VLOOKUP('Données projet'!$B$15,Paramètres!$A$1:$I$89,3,0)*VLOOKUP('Données projet'!$B$15,Paramètres!$A$1:$I$89,5,0)</f>
        <v>107.32176000000001</v>
      </c>
      <c r="EL36" s="13">
        <f t="shared" si="45"/>
        <v>28.699067963776873</v>
      </c>
      <c r="EM36" s="20">
        <f t="shared" si="19"/>
        <v>236.90294203691141</v>
      </c>
      <c r="EN36" s="59">
        <f t="shared" si="20"/>
        <v>530.2362753702447</v>
      </c>
      <c r="EO36" s="59">
        <f ca="1">AVERAGE(OFFSET($EN$3,0,0,'Données projet'!$E$15+1,1))-AVERAGE(OFFSET($H$3,0,0,'Données projet'!$E$15+1,1))</f>
        <v>183.30081488041924</v>
      </c>
      <c r="EP36" s="59">
        <f t="shared" si="46"/>
        <v>199.33099759570928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1.4865151729269717</v>
      </c>
      <c r="EX36" s="21">
        <f>EXP(-LN(2)/2)*EX35+(1-EXP(-LN(2)/2))/(LN(2)/2)*ER36*EU36*VLOOKUP('Données projet'!$B$15,Paramètres!$A$1:$I$89,3,0)*0.475*44/12</f>
        <v>1.7735267462021662</v>
      </c>
      <c r="EY36" s="22">
        <f t="shared" si="21"/>
        <v>3.2600419191291379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16.131410256410259</v>
      </c>
      <c r="N37" s="13">
        <f>IF('Données projet'!$A$36&gt;35,N36+M37-V36,IF(A37&lt;'Données projet'!$A$36,$K$205^A37,IF(A37='Données projet'!$A$36,'Données projet'!$B$36,N36+M37-V36)))</f>
        <v>281.3179487179487</v>
      </c>
      <c r="O37" s="13">
        <f>N37*VLOOKUP('Données projet'!$B$9,Paramètres!$A$1:$I$89,3,0)*VLOOKUP('Données projet'!$B$9,Paramètres!$A$1:$I$89,5,0)</f>
        <v>131.65679999999998</v>
      </c>
      <c r="P37" s="13">
        <f t="shared" si="33"/>
        <v>34.378914540413547</v>
      </c>
      <c r="Q37" s="20">
        <f t="shared" si="53"/>
        <v>289.17886949122021</v>
      </c>
      <c r="R37" s="59">
        <f t="shared" si="0"/>
        <v>582.51220282455347</v>
      </c>
      <c r="S37" s="59">
        <f ca="1">AVERAGE(OFFSET($R$3,0,0,'Données projet'!$E$9+1,1))-AVERAGE(OFFSET($H$3,0,0,'Données projet'!$E$9+1,1))</f>
        <v>205.73717397588365</v>
      </c>
      <c r="T37" s="59">
        <f t="shared" si="34"/>
        <v>190.64998698136026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283.73369613548124</v>
      </c>
      <c r="AO37" s="59">
        <f t="shared" si="36"/>
        <v>249.77804091581208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22.884615384615397</v>
      </c>
      <c r="BD37" s="12">
        <f>IF('Données projet'!$A$88&gt;35,BD36+BC37-BL36,IF(A37&lt;'Données projet'!$A$88,$BA$205^A37,IF(A37='Données projet'!$A$88,'Données projet'!$B$88,BD36+BC37-BL36)))</f>
        <v>357.73846153846154</v>
      </c>
      <c r="BE37" s="13">
        <f>BD37*VLOOKUP('Données projet'!$B$11,Paramètres!$A$1:$I$89,3,0)*VLOOKUP('Données projet'!$B$11,Paramètres!$A$1:$I$89,5,0)</f>
        <v>199.97580000000002</v>
      </c>
      <c r="BF37" s="13">
        <f t="shared" si="37"/>
        <v>49.738849260389202</v>
      </c>
      <c r="BG37" s="20">
        <f t="shared" si="7"/>
        <v>434.91968079517784</v>
      </c>
      <c r="BH37" s="59">
        <f t="shared" si="8"/>
        <v>728.25301412851115</v>
      </c>
      <c r="BI37" s="59">
        <f ca="1">AVERAGE(OFFSET($BH$3,0,0,'Données projet'!$E$11+1,1))-AVERAGE(OFFSET($H$3,0,0,'Données projet'!$E$11+1,1))</f>
        <v>278.5296012747549</v>
      </c>
      <c r="BJ37" s="59">
        <f t="shared" si="38"/>
        <v>370.55343097937077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27.31191621908755</v>
      </c>
      <c r="BQ37" s="21">
        <f>EXP(-LN(2)/25)*BQ36+(1-EXP(-LN(2)/25))/(LN(2)/25)*Calculateur!BL37*Calculateur!BN37*VLOOKUP('Données projet'!$B$11,Paramètres!$A$1:$I$89,3,0)*0.475*44/12</f>
        <v>16.332747383941374</v>
      </c>
      <c r="BR37" s="21">
        <f>EXP(-LN(2)/2)*BR36+(1-EXP(-LN(2)/2))/(LN(2)/2)*BL37*BO37*VLOOKUP('Données projet'!$B$11,Paramètres!$A$1:$I$89,3,0)*0.475*44/12</f>
        <v>1.558336412851602</v>
      </c>
      <c r="BS37" s="22">
        <f t="shared" si="9"/>
        <v>45.203000015880527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</v>
      </c>
      <c r="BY37" s="12">
        <f>IF('Données projet'!$A$114&gt;35,BY36+BX37-CG36,IF(A37&lt;'Données projet'!$A$114,$BV$205^A37,IF(A37='Données projet'!$A$114,'Données projet'!$B$114,BY36+BX37-CG36)))</f>
        <v>238.99999999999994</v>
      </c>
      <c r="BZ37" s="13">
        <f>BY37*VLOOKUP('Données projet'!$B$12,Paramètres!$A$1:$I$89,3,0)*VLOOKUP('Données projet'!$B$12,Paramètres!$A$1:$I$89,5,0)</f>
        <v>130.49399999999997</v>
      </c>
      <c r="CA37" s="13">
        <f t="shared" si="39"/>
        <v>34.110483018610772</v>
      </c>
      <c r="CB37" s="20">
        <f t="shared" si="10"/>
        <v>286.68614125741368</v>
      </c>
      <c r="CC37" s="59">
        <f t="shared" si="11"/>
        <v>580.019474590747</v>
      </c>
      <c r="CD37" s="59">
        <f ca="1">AVERAGE(OFFSET($CC$3,0,0,'Données projet'!$E$12+1,1))-AVERAGE(OFFSET($H$3,0,0,'Données projet'!$E$12+1,1))</f>
        <v>159.92263609041913</v>
      </c>
      <c r="CE37" s="59">
        <f t="shared" si="40"/>
        <v>271.78119133009307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9.1538474051169842</v>
      </c>
      <c r="CL37" s="21">
        <f>EXP(-LN(2)/25)*CL36+(1-EXP(-LN(2)/25))/(LN(2)/25)*Calculateur!CG37*Calculateur!CI37*VLOOKUP('Données projet'!$B$12,Paramètres!$A$1:$I$89,3,0)*0.475*44/12</f>
        <v>66.336232426065308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75.4900798311823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8.0564102564102633</v>
      </c>
      <c r="CT37" s="12">
        <f>IF('Données projet'!$A$140&gt;35,CT36+CS37-DB36,IF(A37&lt;'Données projet'!$A$140,$CQ$205^A37,IF(A37='Données projet'!$A$140,'Données projet'!$B$140,CT36+CS37-DB36)))</f>
        <v>154.11025641025643</v>
      </c>
      <c r="CU37" s="17">
        <f>CT37*VLOOKUP('Données projet'!$B$13,Paramètres!$A$1:$I$89,3,0)*VLOOKUP('Données projet'!$B$13,Paramètres!$A$1:$I$89,5,0)</f>
        <v>139.43896000000001</v>
      </c>
      <c r="CV37" s="13">
        <f t="shared" si="41"/>
        <v>36.168449088081644</v>
      </c>
      <c r="CW37" s="20">
        <f t="shared" si="13"/>
        <v>305.8495708284089</v>
      </c>
      <c r="CX37" s="59">
        <f t="shared" si="14"/>
        <v>599.18290416174227</v>
      </c>
      <c r="CY37" s="59">
        <f ca="1">AVERAGE(OFFSET($CX$3,0,0,'Données projet'!$E$13+1,1))-AVERAGE(OFFSET($H$3,0,0,'Données projet'!$E$13+1,1))</f>
        <v>280.25710840677186</v>
      </c>
      <c r="CZ37" s="59">
        <f t="shared" si="42"/>
        <v>209.65224013288037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9.1999999999999993</v>
      </c>
      <c r="DO37" s="12">
        <f>IF('Données projet'!$A$166&gt;35,DO36+DN37-DW36,IF(A37&lt;'Données projet'!$A$166,$DL$205^A37,IF(A37='Données projet'!$A$166,'Données projet'!$B$166,DO36+DN37-DW36)))</f>
        <v>158.79999999999998</v>
      </c>
      <c r="DP37" s="17">
        <f>DO37*VLOOKUP('Données projet'!$B$14,Paramètres!$A$1:$I$89,3,0)*VLOOKUP('Données projet'!$B$14,Paramètres!$A$1:$I$89,5,0)</f>
        <v>165.97776000000002</v>
      </c>
      <c r="DQ37" s="13">
        <f t="shared" si="43"/>
        <v>42.18792407593731</v>
      </c>
      <c r="DR37" s="20">
        <f t="shared" si="16"/>
        <v>362.55523309892413</v>
      </c>
      <c r="DS37" s="59">
        <f t="shared" si="17"/>
        <v>655.88856643225745</v>
      </c>
      <c r="DT37" s="59">
        <f ca="1">AVERAGE(OFFSET($DS$3,0,0,'Données projet'!$E$14+1,1))-AVERAGE(OFFSET($H$3,0,0,'Données projet'!$E$14+1,1))</f>
        <v>330.14201227773452</v>
      </c>
      <c r="DU37" s="59">
        <f t="shared" si="44"/>
        <v>307.07297894926467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8.6</v>
      </c>
      <c r="EJ37" s="12">
        <f>IF('Données projet'!$A$192&gt;35,EJ36+EI37-ER36,IF(A37&lt;'Données projet'!$A$192,$EG$205^A37,IF(A37='Données projet'!$A$192,'Données projet'!$B$192,EJ36+EI37-ER36)))</f>
        <v>172.4</v>
      </c>
      <c r="EK37" s="17">
        <f>EJ37*VLOOKUP('Données projet'!$B$15,Paramètres!$A$1:$I$89,3,0)*VLOOKUP('Données projet'!$B$15,Paramètres!$A$1:$I$89,5,0)</f>
        <v>112.95648</v>
      </c>
      <c r="EL37" s="13">
        <f t="shared" si="45"/>
        <v>30.026475458997034</v>
      </c>
      <c r="EM37" s="20">
        <f t="shared" si="19"/>
        <v>249.0286474244198</v>
      </c>
      <c r="EN37" s="59">
        <f t="shared" si="20"/>
        <v>542.36198075775314</v>
      </c>
      <c r="EO37" s="59">
        <f ca="1">AVERAGE(OFFSET($EN$3,0,0,'Données projet'!$E$15+1,1))-AVERAGE(OFFSET($H$3,0,0,'Données projet'!$E$15+1,1))</f>
        <v>183.30081488041924</v>
      </c>
      <c r="EP37" s="59">
        <f t="shared" si="46"/>
        <v>199.33099759570928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1.4458663373508482</v>
      </c>
      <c r="EX37" s="21">
        <f>EXP(-LN(2)/2)*EX36+(1-EXP(-LN(2)/2))/(LN(2)/2)*ER37*EU37*VLOOKUP('Données projet'!$B$15,Paramètres!$A$1:$I$89,3,0)*0.475*44/12</f>
        <v>1.2540727888552647</v>
      </c>
      <c r="EY37" s="22">
        <f t="shared" si="21"/>
        <v>2.6999391262061128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16.131410256410259</v>
      </c>
      <c r="N38" s="13">
        <f>IF('Données projet'!$A$36&gt;35,N37+M38-V37,IF(A38&lt;'Données projet'!$A$36,$K$205^A38,IF(A38='Données projet'!$A$36,'Données projet'!$B$36,N37+M38-V37)))</f>
        <v>297.44935897435897</v>
      </c>
      <c r="O38" s="13">
        <f>N38*VLOOKUP('Données projet'!$B$9,Paramètres!$A$1:$I$89,3,0)*VLOOKUP('Données projet'!$B$9,Paramètres!$A$1:$I$89,5,0)</f>
        <v>139.2063</v>
      </c>
      <c r="P38" s="13">
        <f t="shared" si="33"/>
        <v>36.115119849784641</v>
      </c>
      <c r="Q38" s="20">
        <f t="shared" si="53"/>
        <v>305.35147290504159</v>
      </c>
      <c r="R38" s="59">
        <f t="shared" si="0"/>
        <v>598.6848062383749</v>
      </c>
      <c r="S38" s="59">
        <f ca="1">AVERAGE(OFFSET($R$3,0,0,'Données projet'!$E$9+1,1))-AVERAGE(OFFSET($H$3,0,0,'Données projet'!$E$9+1,1))</f>
        <v>205.73717397588365</v>
      </c>
      <c r="T38" s="59">
        <f t="shared" si="34"/>
        <v>190.64998698136026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283.73369613548124</v>
      </c>
      <c r="AO38" s="59">
        <f t="shared" si="36"/>
        <v>249.77804091581208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22.884615384615397</v>
      </c>
      <c r="BD38" s="12">
        <f>IF('Données projet'!$A$88&gt;35,BD37+BC38-BL37,IF(A38&lt;'Données projet'!$A$88,$BA$205^A38,IF(A38='Données projet'!$A$88,'Données projet'!$B$88,BD37+BC38-BL37)))</f>
        <v>380.62307692307695</v>
      </c>
      <c r="BE38" s="13">
        <f>BD38*VLOOKUP('Données projet'!$B$11,Paramètres!$A$1:$I$89,3,0)*VLOOKUP('Données projet'!$B$11,Paramètres!$A$1:$I$89,5,0)</f>
        <v>212.76830000000001</v>
      </c>
      <c r="BF38" s="13">
        <f t="shared" si="37"/>
        <v>52.540067037520508</v>
      </c>
      <c r="BG38" s="20">
        <f t="shared" si="7"/>
        <v>462.07873925701483</v>
      </c>
      <c r="BH38" s="59">
        <f t="shared" si="8"/>
        <v>755.41207259034809</v>
      </c>
      <c r="BI38" s="59">
        <f ca="1">AVERAGE(OFFSET($BH$3,0,0,'Données projet'!$E$11+1,1))-AVERAGE(OFFSET($H$3,0,0,'Données projet'!$E$11+1,1))</f>
        <v>278.5296012747549</v>
      </c>
      <c r="BJ38" s="59">
        <f t="shared" si="38"/>
        <v>370.55343097937077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26.776346200655233</v>
      </c>
      <c r="BQ38" s="21">
        <f>EXP(-LN(2)/25)*BQ37+(1-EXP(-LN(2)/25))/(LN(2)/25)*Calculateur!BL38*Calculateur!BN38*VLOOKUP('Données projet'!$B$11,Paramètres!$A$1:$I$89,3,0)*0.475*44/12</f>
        <v>15.886127547825641</v>
      </c>
      <c r="BR38" s="21">
        <f>EXP(-LN(2)/2)*BR37+(1-EXP(-LN(2)/2))/(LN(2)/2)*BL38*BO38*VLOOKUP('Données projet'!$B$11,Paramètres!$A$1:$I$89,3,0)*0.475*44/12</f>
        <v>1.1019102448972871</v>
      </c>
      <c r="BS38" s="22">
        <f t="shared" si="9"/>
        <v>43.764383993378168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</v>
      </c>
      <c r="BY38" s="12">
        <f>IF('Données projet'!$A$114&gt;35,BY37+BX38-CG37,IF(A38&lt;'Données projet'!$A$114,$BV$205^A38,IF(A38='Données projet'!$A$114,'Données projet'!$B$114,BY37+BX38-CG37)))</f>
        <v>253.99999999999994</v>
      </c>
      <c r="BZ38" s="13">
        <f>BY38*VLOOKUP('Données projet'!$B$12,Paramètres!$A$1:$I$89,3,0)*VLOOKUP('Données projet'!$B$12,Paramètres!$A$1:$I$89,5,0)</f>
        <v>138.68399999999997</v>
      </c>
      <c r="CA38" s="13">
        <f t="shared" si="39"/>
        <v>35.995362862956796</v>
      </c>
      <c r="CB38" s="20">
        <f t="shared" si="10"/>
        <v>304.23322365298299</v>
      </c>
      <c r="CC38" s="59">
        <f t="shared" si="11"/>
        <v>597.5665569863163</v>
      </c>
      <c r="CD38" s="59">
        <f ca="1">AVERAGE(OFFSET($CC$3,0,0,'Données projet'!$E$12+1,1))-AVERAGE(OFFSET($H$3,0,0,'Données projet'!$E$12+1,1))</f>
        <v>159.92263609041913</v>
      </c>
      <c r="CE38" s="59">
        <f t="shared" si="40"/>
        <v>271.78119133009307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8.9743460407982525</v>
      </c>
      <c r="CL38" s="21">
        <f>EXP(-LN(2)/25)*CL37+(1-EXP(-LN(2)/25))/(LN(2)/25)*Calculateur!CG38*Calculateur!CI38*VLOOKUP('Données projet'!$B$12,Paramètres!$A$1:$I$89,3,0)*0.475*44/12</f>
        <v>64.522264661903705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73.496610702701958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162.16666666666669</v>
      </c>
      <c r="CR38" s="12">
        <f>VLOOKUP(A38,'Données projet'!$A$139:$I$159,9,0)</f>
        <v>8.0564102564102633</v>
      </c>
      <c r="CS38" s="12">
        <f t="array" ref="CS38">INDEX(CR:CR,MIN(IF(ISNUMBER(CR38:CR234),ROW(CR38:CR234),"")))</f>
        <v>8.0564102564102633</v>
      </c>
      <c r="CT38" s="12">
        <f>IF('Données projet'!$A$140&gt;35,CT37+CS38-DB37,IF(A38&lt;'Données projet'!$A$140,$CQ$205^A38,IF(A38='Données projet'!$A$140,'Données projet'!$B$140,CT37+CS38-DB37)))</f>
        <v>162.16666666666669</v>
      </c>
      <c r="CU38" s="17">
        <f>CT38*VLOOKUP('Données projet'!$B$13,Paramètres!$A$1:$I$89,3,0)*VLOOKUP('Données projet'!$B$13,Paramètres!$A$1:$I$89,5,0)</f>
        <v>146.72840000000002</v>
      </c>
      <c r="CV38" s="13">
        <f t="shared" si="41"/>
        <v>37.834151268675086</v>
      </c>
      <c r="CW38" s="20">
        <f t="shared" si="13"/>
        <v>321.44644345960916</v>
      </c>
      <c r="CX38" s="59">
        <f t="shared" si="14"/>
        <v>614.77977679294247</v>
      </c>
      <c r="CY38" s="59">
        <f ca="1">AVERAGE(OFFSET($CX$3,0,0,'Données projet'!$E$13+1,1))-AVERAGE(OFFSET($H$3,0,0,'Données projet'!$E$13+1,1))</f>
        <v>280.25710840677186</v>
      </c>
      <c r="CZ38" s="59">
        <f t="shared" si="42"/>
        <v>209.65224013288037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60.602564102564102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168</v>
      </c>
      <c r="DM38" s="12">
        <f>VLOOKUP(A38,'Données projet'!$A$165:$I$185,9,0)</f>
        <v>9.1999999999999993</v>
      </c>
      <c r="DN38" s="12">
        <f t="array" ref="DN38">INDEX(DM:DM,MIN(IF(ISNUMBER(DM38:DM234),ROW(DM38:DM234),"")))</f>
        <v>9.1999999999999993</v>
      </c>
      <c r="DO38" s="12">
        <f>IF('Données projet'!$A$166&gt;35,DO37+DN38-DW37,IF(A38&lt;'Données projet'!$A$166,$DL$205^A38,IF(A38='Données projet'!$A$166,'Données projet'!$B$166,DO37+DN38-DW37)))</f>
        <v>167.99999999999997</v>
      </c>
      <c r="DP38" s="17">
        <f>DO38*VLOOKUP('Données projet'!$B$14,Paramètres!$A$1:$I$89,3,0)*VLOOKUP('Données projet'!$B$14,Paramètres!$A$1:$I$89,5,0)</f>
        <v>175.59359999999998</v>
      </c>
      <c r="DQ38" s="13">
        <f t="shared" si="43"/>
        <v>44.340433728638573</v>
      </c>
      <c r="DR38" s="20">
        <f t="shared" si="16"/>
        <v>383.05177541071208</v>
      </c>
      <c r="DS38" s="59">
        <f t="shared" si="17"/>
        <v>676.3851087440454</v>
      </c>
      <c r="DT38" s="59">
        <f ca="1">AVERAGE(OFFSET($DS$3,0,0,'Données projet'!$E$14+1,1))-AVERAGE(OFFSET($H$3,0,0,'Données projet'!$E$14+1,1))</f>
        <v>330.14201227773452</v>
      </c>
      <c r="DU38" s="59">
        <f t="shared" si="44"/>
        <v>307.07297894926467</v>
      </c>
      <c r="DV38" s="15">
        <f>IF(ISNA(VLOOKUP(A38,'Données projet'!$A$165:$I$185,3,0)),0,VLOOKUP(A38,'Données projet'!$A$165:$I$185,3,0))</f>
        <v>4</v>
      </c>
      <c r="DW38" s="15" t="str">
        <f>IF(ISNA(VLOOKUP(A38,'Données projet'!$A$165:$I$185,4,0)),0,VLOOKUP(A38,'Données projet'!$A$165:$I$185,4,0))</f>
        <v>27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0.215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6.6809062473653311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6.6809062473653311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181</v>
      </c>
      <c r="EH38" s="12">
        <f>VLOOKUP(A38,'Données projet'!$A$191:$I$211,9,0)</f>
        <v>8.6</v>
      </c>
      <c r="EI38" s="12">
        <f t="array" ref="EI38">INDEX(EH:EH,MIN(IF(ISNUMBER(EH38:EH234),ROW(EH38:EH234),"")))</f>
        <v>8.6</v>
      </c>
      <c r="EJ38" s="12">
        <f>IF('Données projet'!$A$192&gt;35,EJ37+EI38-ER37,IF(A38&lt;'Données projet'!$A$192,$EG$205^A38,IF(A38='Données projet'!$A$192,'Données projet'!$B$192,EJ37+EI38-ER37)))</f>
        <v>181</v>
      </c>
      <c r="EK38" s="17">
        <f>EJ38*VLOOKUP('Données projet'!$B$15,Paramètres!$A$1:$I$89,3,0)*VLOOKUP('Données projet'!$B$15,Paramètres!$A$1:$I$89,5,0)</f>
        <v>118.5912</v>
      </c>
      <c r="EL38" s="13">
        <f t="shared" si="45"/>
        <v>31.346194334434067</v>
      </c>
      <c r="EM38" s="20">
        <f t="shared" si="19"/>
        <v>261.14096179913935</v>
      </c>
      <c r="EN38" s="59">
        <f t="shared" si="20"/>
        <v>554.47429513247266</v>
      </c>
      <c r="EO38" s="59">
        <f ca="1">AVERAGE(OFFSET($EN$3,0,0,'Données projet'!$E$15+1,1))-AVERAGE(OFFSET($H$3,0,0,'Données projet'!$E$15+1,1))</f>
        <v>183.30081488041924</v>
      </c>
      <c r="EP38" s="59">
        <f t="shared" si="46"/>
        <v>199.33099759570928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25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4.3000000000000003E-2</v>
      </c>
      <c r="EU38" s="16">
        <f>IF(ISNA(VLOOKUP(A38,'Données projet'!$A$191:$I$211,7,0)),0%,VLOOKUP(A38,'Données projet'!$A$191:$I$211,7,0))</f>
        <v>0.3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2.18189030223424</v>
      </c>
      <c r="EX38" s="21">
        <f>EXP(-LN(2)/2)*EX37+(1-EXP(-LN(2)/2))/(LN(2)/2)*ER38*EU38*VLOOKUP('Données projet'!$B$15,Paramètres!$A$1:$I$89,3,0)*0.475*44/12</f>
        <v>5.5232546314719606</v>
      </c>
      <c r="EY38" s="22">
        <f t="shared" si="21"/>
        <v>7.705144933706201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16.131410256410259</v>
      </c>
      <c r="N39" s="13">
        <f>IF('Données projet'!$A$36&gt;35,N38+M39-V38,IF(A39&lt;'Données projet'!$A$36,$K$205^A39,IF(A39='Données projet'!$A$36,'Données projet'!$B$36,N38+M39-V38)))</f>
        <v>313.58076923076925</v>
      </c>
      <c r="O39" s="13">
        <f>N39*VLOOKUP('Données projet'!$B$9,Paramètres!$A$1:$I$89,3,0)*VLOOKUP('Données projet'!$B$9,Paramètres!$A$1:$I$89,5,0)</f>
        <v>146.75580000000002</v>
      </c>
      <c r="P39" s="13">
        <f t="shared" si="33"/>
        <v>37.840393952855997</v>
      </c>
      <c r="Q39" s="20">
        <f t="shared" si="53"/>
        <v>321.5050378012242</v>
      </c>
      <c r="R39" s="59">
        <f t="shared" si="0"/>
        <v>614.83837113455752</v>
      </c>
      <c r="S39" s="59">
        <f ca="1">AVERAGE(OFFSET($R$3,0,0,'Données projet'!$E$9+1,1))-AVERAGE(OFFSET($H$3,0,0,'Données projet'!$E$9+1,1))</f>
        <v>205.73717397588365</v>
      </c>
      <c r="T39" s="59">
        <f t="shared" si="34"/>
        <v>190.64998698136026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283.73369613548124</v>
      </c>
      <c r="AO39" s="59">
        <f t="shared" si="36"/>
        <v>249.77804091581208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403.50769230769237</v>
      </c>
      <c r="BB39" s="12">
        <f>VLOOKUP(A39,'Données projet'!$A$87:$I$107,9,0)</f>
        <v>22.884615384615397</v>
      </c>
      <c r="BC39" s="12">
        <f t="array" ref="BC39">INDEX(BB:BB,MIN(IF(ISNUMBER(BB39:BB235),ROW(BB39:BB235),"")))</f>
        <v>22.884615384615397</v>
      </c>
      <c r="BD39" s="12">
        <f>IF('Données projet'!$A$88&gt;35,BD38+BC39-BL38,IF(A39&lt;'Données projet'!$A$88,$BA$205^A39,IF(A39='Données projet'!$A$88,'Données projet'!$B$88,BD38+BC39-BL38)))</f>
        <v>403.50769230769237</v>
      </c>
      <c r="BE39" s="13">
        <f>BD39*VLOOKUP('Données projet'!$B$11,Paramètres!$A$1:$I$89,3,0)*VLOOKUP('Données projet'!$B$11,Paramètres!$A$1:$I$89,5,0)</f>
        <v>225.56080000000003</v>
      </c>
      <c r="BF39" s="13">
        <f t="shared" si="37"/>
        <v>55.321736658663667</v>
      </c>
      <c r="BG39" s="20">
        <f t="shared" si="7"/>
        <v>489.20375134717256</v>
      </c>
      <c r="BH39" s="59">
        <f t="shared" si="8"/>
        <v>782.53708468050581</v>
      </c>
      <c r="BI39" s="59">
        <f ca="1">AVERAGE(OFFSET($BH$3,0,0,'Données projet'!$E$11+1,1))-AVERAGE(OFFSET($H$3,0,0,'Données projet'!$E$11+1,1))</f>
        <v>278.5296012747549</v>
      </c>
      <c r="BJ39" s="59">
        <f t="shared" si="38"/>
        <v>370.55343097937077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69.3</v>
      </c>
      <c r="BM39" s="16">
        <f>IF(ISNA(VLOOKUP(A39,'Données projet'!$A$87:$I$107,5,0)),0%,VLOOKUP(A39,'Données projet'!$A$87:$I$107,5,0)*VLOOKUP('Données projet'!$B$11,Paramètres!$A$1:$I$89,7,0))</f>
        <v>0.38500000000000001</v>
      </c>
      <c r="BN39" s="16">
        <f>IF(ISNA(VLOOKUP(A39,'Données projet'!$A$87:$I$107,6,0)),0%,VLOOKUP(A39,'Données projet'!$A$87:$I$107,6,0)*VLOOKUP('Données projet'!$B$11,Paramètres!$A$1:$I$89,7,0))</f>
        <v>9.240000000000001E-2</v>
      </c>
      <c r="BO39" s="16">
        <f>IF(ISNA(VLOOKUP(A39,'Données projet'!$A$87:$I$107,7,0)),0%,VLOOKUP(A39,'Données projet'!$A$87:$I$107,7,0))</f>
        <v>0.13200000000000001</v>
      </c>
      <c r="BP39" s="21">
        <f>EXP(-LN(2)/35)*BP38+(1-EXP(-LN(2)/35))/(LN(2)/35)*BL39*BM39*VLOOKUP('Données projet'!$B$11,Paramètres!$A$1:$I$89,3,0)*0.475*44/12</f>
        <v>46.036190634544177</v>
      </c>
      <c r="BQ39" s="21">
        <f>EXP(-LN(2)/25)*BQ38+(1-EXP(-LN(2)/25))/(LN(2)/25)*Calculateur!BL39*Calculateur!BN39*VLOOKUP('Données projet'!$B$11,Paramètres!$A$1:$I$89,3,0)*0.475*44/12</f>
        <v>20.181403317675393</v>
      </c>
      <c r="BR39" s="21">
        <f>EXP(-LN(2)/2)*BR38+(1-EXP(-LN(2)/2))/(LN(2)/2)*BL39*BO39*VLOOKUP('Données projet'!$B$11,Paramètres!$A$1:$I$89,3,0)*0.475*44/12</f>
        <v>6.5688475705786837</v>
      </c>
      <c r="BS39" s="22">
        <f t="shared" si="9"/>
        <v>72.786441522798256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269</v>
      </c>
      <c r="BW39" s="12">
        <f>VLOOKUP(A39,'Données projet'!$A$113:$I$133,9,0)</f>
        <v>15</v>
      </c>
      <c r="BX39" s="12">
        <f t="array" ref="BX39">INDEX(BW:BW,MIN(IF(ISNUMBER(BW39:BW235),ROW(BW39:BW235),"")))</f>
        <v>15</v>
      </c>
      <c r="BY39" s="12">
        <f>IF('Données projet'!$A$114&gt;35,BY38+BX39-CG38,IF(A39&lt;'Données projet'!$A$114,$BV$205^A39,IF(A39='Données projet'!$A$114,'Données projet'!$B$114,BY38+BX39-CG38)))</f>
        <v>268.99999999999994</v>
      </c>
      <c r="BZ39" s="13">
        <f>BY39*VLOOKUP('Données projet'!$B$12,Paramètres!$A$1:$I$89,3,0)*VLOOKUP('Données projet'!$B$12,Paramètres!$A$1:$I$89,5,0)</f>
        <v>146.87399999999997</v>
      </c>
      <c r="CA39" s="13">
        <f t="shared" si="39"/>
        <v>37.867322517591383</v>
      </c>
      <c r="CB39" s="20">
        <f t="shared" si="10"/>
        <v>321.75780338480496</v>
      </c>
      <c r="CC39" s="59">
        <f t="shared" si="11"/>
        <v>615.09113671813827</v>
      </c>
      <c r="CD39" s="59">
        <f ca="1">AVERAGE(OFFSET($CC$3,0,0,'Données projet'!$E$12+1,1))-AVERAGE(OFFSET($H$3,0,0,'Données projet'!$E$12+1,1))</f>
        <v>159.92263609041913</v>
      </c>
      <c r="CE39" s="59">
        <f t="shared" si="40"/>
        <v>271.78119133009307</v>
      </c>
      <c r="CF39" s="15">
        <f>IF(ISNA(VLOOKUP(A39,'Données projet'!$A$113:$I$133,3,0)),0,VLOOKUP(A39,'Données projet'!$A$113:$I$133,3,0))</f>
        <v>6</v>
      </c>
      <c r="CG39" s="15">
        <f>IF(ISNA(VLOOKUP(A39,'Données projet'!$A$113:$I$133,4,0)),0,VLOOKUP(A39,'Données projet'!$A$113:$I$133,4,0))</f>
        <v>75</v>
      </c>
      <c r="CH39" s="16">
        <f>IF(ISNA(VLOOKUP(A39,'Données projet'!$A$113:$I$133,5,0)),0%,VLOOKUP(A39,'Données projet'!$A$113:$I$133,5,0)*VLOOKUP('Données projet'!$B$12,Paramètres!$A$1:$I$89,7,0))</f>
        <v>0.18</v>
      </c>
      <c r="CI39" s="16">
        <f>IF(ISNA(VLOOKUP(A39,'Données projet'!$A$113:$I$133,6,0)),0%,VLOOKUP(A39,'Données projet'!$A$113:$I$133,6,0)*VLOOKUP('Données projet'!$B$12,Paramètres!$A$1:$I$89,7,0))</f>
        <v>0.36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18.576471189793637</v>
      </c>
      <c r="CL39" s="21">
        <f>EXP(-LN(2)/25)*CL38+(1-EXP(-LN(2)/25))/(LN(2)/25)*Calculateur!CG39*Calculateur!CI39*VLOOKUP('Données projet'!$B$12,Paramètres!$A$1:$I$89,3,0)*0.475*44/12</f>
        <v>82.237112880857168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100.8135840706508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9.3141025641025621</v>
      </c>
      <c r="CT39" s="12">
        <f>IF('Données projet'!$A$140&gt;35,CT38+CS39-DB38,IF(A39&lt;'Données projet'!$A$140,$CQ$205^A39,IF(A39='Données projet'!$A$140,'Données projet'!$B$140,CT38+CS39-DB38)))</f>
        <v>110.87820512820515</v>
      </c>
      <c r="CU39" s="17">
        <f>CT39*VLOOKUP('Données projet'!$B$13,Paramètres!$A$1:$I$89,3,0)*VLOOKUP('Données projet'!$B$13,Paramètres!$A$1:$I$89,5,0)</f>
        <v>100.32260000000002</v>
      </c>
      <c r="CV39" s="13">
        <f t="shared" si="41"/>
        <v>27.038838137326771</v>
      </c>
      <c r="CW39" s="20">
        <f t="shared" si="13"/>
        <v>221.82117142251082</v>
      </c>
      <c r="CX39" s="59">
        <f t="shared" si="14"/>
        <v>515.15450475584407</v>
      </c>
      <c r="CY39" s="59">
        <f ca="1">AVERAGE(OFFSET($CX$3,0,0,'Données projet'!$E$13+1,1))-AVERAGE(OFFSET($H$3,0,0,'Données projet'!$E$13+1,1))</f>
        <v>280.25710840677186</v>
      </c>
      <c r="CZ39" s="59">
        <f t="shared" si="42"/>
        <v>209.65224013288037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8.8000000000000007</v>
      </c>
      <c r="DO39" s="12">
        <f>IF('Données projet'!$A$166&gt;35,DO38+DN39-DW38,IF(A39&lt;'Données projet'!$A$166,$DL$205^A39,IF(A39='Données projet'!$A$166,'Données projet'!$B$166,DO38+DN39-DW38)))</f>
        <v>149.79999999999998</v>
      </c>
      <c r="DP39" s="17">
        <f>DO39*VLOOKUP('Données projet'!$B$14,Paramètres!$A$1:$I$89,3,0)*VLOOKUP('Données projet'!$B$14,Paramètres!$A$1:$I$89,5,0)</f>
        <v>156.57096000000001</v>
      </c>
      <c r="DQ39" s="13">
        <f t="shared" si="43"/>
        <v>40.0681133718019</v>
      </c>
      <c r="DR39" s="20">
        <f t="shared" si="16"/>
        <v>342.4797194558883</v>
      </c>
      <c r="DS39" s="59">
        <f t="shared" si="17"/>
        <v>635.81305278922162</v>
      </c>
      <c r="DT39" s="59">
        <f ca="1">AVERAGE(OFFSET($DS$3,0,0,'Données projet'!$E$14+1,1))-AVERAGE(OFFSET($H$3,0,0,'Données projet'!$E$14+1,1))</f>
        <v>330.14201227773452</v>
      </c>
      <c r="DU39" s="59">
        <f t="shared" si="44"/>
        <v>307.07297894926467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6.4982165146975364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6.4982165146975364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7.8</v>
      </c>
      <c r="EJ39" s="12">
        <f>IF('Données projet'!$A$192&gt;35,EJ38+EI39-ER38,IF(A39&lt;'Données projet'!$A$192,$EG$205^A39,IF(A39='Données projet'!$A$192,'Données projet'!$B$192,EJ38+EI39-ER38)))</f>
        <v>163.80000000000001</v>
      </c>
      <c r="EK39" s="17">
        <f>EJ39*VLOOKUP('Données projet'!$B$15,Paramètres!$A$1:$I$89,3,0)*VLOOKUP('Données projet'!$B$15,Paramètres!$A$1:$I$89,5,0)</f>
        <v>107.32176000000001</v>
      </c>
      <c r="EL39" s="13">
        <f t="shared" si="45"/>
        <v>28.699067963776873</v>
      </c>
      <c r="EM39" s="20">
        <f t="shared" si="19"/>
        <v>236.90294203691141</v>
      </c>
      <c r="EN39" s="59">
        <f t="shared" si="20"/>
        <v>530.2362753702447</v>
      </c>
      <c r="EO39" s="59">
        <f ca="1">AVERAGE(OFFSET($EN$3,0,0,'Données projet'!$E$15+1,1))-AVERAGE(OFFSET($H$3,0,0,'Données projet'!$E$15+1,1))</f>
        <v>183.30081488041924</v>
      </c>
      <c r="EP39" s="59">
        <f t="shared" si="46"/>
        <v>199.33099759570928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2.1222263971790203</v>
      </c>
      <c r="EX39" s="21">
        <f>EXP(-LN(2)/2)*EX38+(1-EXP(-LN(2)/2))/(LN(2)/2)*ER39*EU39*VLOOKUP('Données projet'!$B$15,Paramètres!$A$1:$I$89,3,0)*0.475*44/12</f>
        <v>3.905530804133829</v>
      </c>
      <c r="EY39" s="22">
        <f t="shared" si="21"/>
        <v>6.0277572013128493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16.131410256410259</v>
      </c>
      <c r="N40" s="13">
        <f>IF('Données projet'!$A$36&gt;35,N39+M40-V39,IF(A40&lt;'Données projet'!$A$36,$K$205^A40,IF(A40='Données projet'!$A$36,'Données projet'!$B$36,N39+M40-V39)))</f>
        <v>329.71217948717953</v>
      </c>
      <c r="O40" s="13">
        <f>N40*VLOOKUP('Données projet'!$B$9,Paramètres!$A$1:$I$89,3,0)*VLOOKUP('Données projet'!$B$9,Paramètres!$A$1:$I$89,5,0)</f>
        <v>154.30530000000002</v>
      </c>
      <c r="P40" s="13">
        <f t="shared" si="33"/>
        <v>39.555363325024224</v>
      </c>
      <c r="Q40" s="20">
        <f t="shared" si="53"/>
        <v>337.64065529108387</v>
      </c>
      <c r="R40" s="59">
        <f t="shared" si="0"/>
        <v>630.97398862441719</v>
      </c>
      <c r="S40" s="59">
        <f ca="1">AVERAGE(OFFSET($R$3,0,0,'Données projet'!$E$9+1,1))-AVERAGE(OFFSET($H$3,0,0,'Données projet'!$E$9+1,1))</f>
        <v>205.73717397588365</v>
      </c>
      <c r="T40" s="59">
        <f t="shared" si="34"/>
        <v>190.64998698136026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283.73369613548124</v>
      </c>
      <c r="AO40" s="59">
        <f t="shared" si="36"/>
        <v>249.77804091581208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22.419230769230751</v>
      </c>
      <c r="BD40" s="12">
        <f>IF('Données projet'!$A$88&gt;35,BD39+BC40-BL39,IF(A40&lt;'Données projet'!$A$88,$BA$205^A40,IF(A40='Données projet'!$A$88,'Données projet'!$B$88,BD39+BC40-BL39)))</f>
        <v>356.62692307692311</v>
      </c>
      <c r="BE40" s="13">
        <f>BD40*VLOOKUP('Données projet'!$B$11,Paramètres!$A$1:$I$89,3,0)*VLOOKUP('Données projet'!$B$11,Paramètres!$A$1:$I$89,5,0)</f>
        <v>199.35445000000001</v>
      </c>
      <c r="BF40" s="13">
        <f t="shared" si="37"/>
        <v>49.60226869073324</v>
      </c>
      <c r="BG40" s="20">
        <f t="shared" si="7"/>
        <v>433.59961838636042</v>
      </c>
      <c r="BH40" s="59">
        <f t="shared" si="8"/>
        <v>726.93295171969373</v>
      </c>
      <c r="BI40" s="59">
        <f ca="1">AVERAGE(OFFSET($BH$3,0,0,'Données projet'!$E$11+1,1))-AVERAGE(OFFSET($H$3,0,0,'Données projet'!$E$11+1,1))</f>
        <v>278.5296012747549</v>
      </c>
      <c r="BJ40" s="59">
        <f t="shared" si="38"/>
        <v>370.55343097937077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45.133449015504453</v>
      </c>
      <c r="BQ40" s="21">
        <f>EXP(-LN(2)/25)*BQ39+(1-EXP(-LN(2)/25))/(LN(2)/25)*Calculateur!BL40*Calculateur!BN40*VLOOKUP('Données projet'!$B$11,Paramètres!$A$1:$I$89,3,0)*0.475*44/12</f>
        <v>19.629541782659683</v>
      </c>
      <c r="BR40" s="21">
        <f>EXP(-LN(2)/2)*BR39+(1-EXP(-LN(2)/2))/(LN(2)/2)*BL40*BO40*VLOOKUP('Données projet'!$B$11,Paramètres!$A$1:$I$89,3,0)*0.475*44/12</f>
        <v>4.6448766617369657</v>
      </c>
      <c r="BS40" s="22">
        <f t="shared" si="9"/>
        <v>69.407867459901098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</v>
      </c>
      <c r="BY40" s="12">
        <f>IF('Données projet'!$A$114&gt;35,BY39+BX40-CG39,IF(A40&lt;'Données projet'!$A$114,$BV$205^A40,IF(A40='Données projet'!$A$114,'Données projet'!$B$114,BY39+BX40-CG39)))</f>
        <v>207.99999999999994</v>
      </c>
      <c r="BZ40" s="13">
        <f>BY40*VLOOKUP('Données projet'!$B$12,Paramètres!$A$1:$I$89,3,0)*VLOOKUP('Données projet'!$B$12,Paramètres!$A$1:$I$89,5,0)</f>
        <v>113.56799999999997</v>
      </c>
      <c r="CA40" s="13">
        <f t="shared" si="39"/>
        <v>30.170065062058185</v>
      </c>
      <c r="CB40" s="20">
        <f t="shared" si="10"/>
        <v>250.34379664975128</v>
      </c>
      <c r="CC40" s="59">
        <f t="shared" si="11"/>
        <v>543.67712998308457</v>
      </c>
      <c r="CD40" s="59">
        <f ca="1">AVERAGE(OFFSET($CC$3,0,0,'Données projet'!$E$12+1,1))-AVERAGE(OFFSET($H$3,0,0,'Données projet'!$E$12+1,1))</f>
        <v>159.92263609041913</v>
      </c>
      <c r="CE40" s="59">
        <f t="shared" si="40"/>
        <v>271.78119133009307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18.212197920290411</v>
      </c>
      <c r="CL40" s="21">
        <f>EXP(-LN(2)/25)*CL39+(1-EXP(-LN(2)/25))/(LN(2)/25)*Calculateur!CG40*Calculateur!CI40*VLOOKUP('Données projet'!$B$12,Paramètres!$A$1:$I$89,3,0)*0.475*44/12</f>
        <v>79.988334704468315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98.200532624758722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9.3141025641025621</v>
      </c>
      <c r="CT40" s="12">
        <f>IF('Données projet'!$A$140&gt;35,CT39+CS40-DB39,IF(A40&lt;'Données projet'!$A$140,$CQ$205^A40,IF(A40='Données projet'!$A$140,'Données projet'!$B$140,CT39+CS40-DB39)))</f>
        <v>120.19230769230771</v>
      </c>
      <c r="CU40" s="17">
        <f>CT40*VLOOKUP('Données projet'!$B$13,Paramètres!$A$1:$I$89,3,0)*VLOOKUP('Données projet'!$B$13,Paramètres!$A$1:$I$89,5,0)</f>
        <v>108.75000000000001</v>
      </c>
      <c r="CV40" s="13">
        <f t="shared" si="41"/>
        <v>29.036279216217448</v>
      </c>
      <c r="CW40" s="20">
        <f t="shared" si="13"/>
        <v>239.97776963491205</v>
      </c>
      <c r="CX40" s="59">
        <f t="shared" si="14"/>
        <v>533.31110296824534</v>
      </c>
      <c r="CY40" s="59">
        <f ca="1">AVERAGE(OFFSET($CX$3,0,0,'Données projet'!$E$13+1,1))-AVERAGE(OFFSET($H$3,0,0,'Données projet'!$E$13+1,1))</f>
        <v>280.25710840677186</v>
      </c>
      <c r="CZ40" s="59">
        <f t="shared" si="42"/>
        <v>209.65224013288037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8.8000000000000007</v>
      </c>
      <c r="DO40" s="12">
        <f>IF('Données projet'!$A$166&gt;35,DO39+DN40-DW39,IF(A40&lt;'Données projet'!$A$166,$DL$205^A40,IF(A40='Données projet'!$A$166,'Données projet'!$B$166,DO39+DN40-DW39)))</f>
        <v>158.6</v>
      </c>
      <c r="DP40" s="17">
        <f>DO40*VLOOKUP('Données projet'!$B$14,Paramètres!$A$1:$I$89,3,0)*VLOOKUP('Données projet'!$B$14,Paramètres!$A$1:$I$89,5,0)</f>
        <v>165.76872</v>
      </c>
      <c r="DQ40" s="13">
        <f t="shared" si="43"/>
        <v>42.140971955776095</v>
      </c>
      <c r="DR40" s="20">
        <f t="shared" si="16"/>
        <v>362.10938015631001</v>
      </c>
      <c r="DS40" s="59">
        <f t="shared" si="17"/>
        <v>655.44271348964332</v>
      </c>
      <c r="DT40" s="59">
        <f ca="1">AVERAGE(OFFSET($DS$3,0,0,'Données projet'!$E$14+1,1))-AVERAGE(OFFSET($H$3,0,0,'Données projet'!$E$14+1,1))</f>
        <v>330.14201227773452</v>
      </c>
      <c r="DU40" s="59">
        <f t="shared" si="44"/>
        <v>307.07297894926467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6.3205224423767774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6.3205224423767774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7.8</v>
      </c>
      <c r="EJ40" s="12">
        <f>IF('Données projet'!$A$192&gt;35,EJ39+EI40-ER39,IF(A40&lt;'Données projet'!$A$192,$EG$205^A40,IF(A40='Données projet'!$A$192,'Données projet'!$B$192,EJ39+EI40-ER39)))</f>
        <v>171.60000000000002</v>
      </c>
      <c r="EK40" s="17">
        <f>EJ40*VLOOKUP('Données projet'!$B$15,Paramètres!$A$1:$I$89,3,0)*VLOOKUP('Données projet'!$B$15,Paramètres!$A$1:$I$89,5,0)</f>
        <v>112.43232</v>
      </c>
      <c r="EL40" s="13">
        <f t="shared" si="45"/>
        <v>29.903326635598326</v>
      </c>
      <c r="EM40" s="20">
        <f t="shared" si="19"/>
        <v>247.90125122366706</v>
      </c>
      <c r="EN40" s="59">
        <f t="shared" si="20"/>
        <v>541.2345845570004</v>
      </c>
      <c r="EO40" s="59">
        <f ca="1">AVERAGE(OFFSET($EN$3,0,0,'Données projet'!$E$15+1,1))-AVERAGE(OFFSET($H$3,0,0,'Données projet'!$E$15+1,1))</f>
        <v>183.30081488041924</v>
      </c>
      <c r="EP40" s="59">
        <f t="shared" si="46"/>
        <v>199.33099759570928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2.0641940047451244</v>
      </c>
      <c r="EX40" s="21">
        <f>EXP(-LN(2)/2)*EX39+(1-EXP(-LN(2)/2))/(LN(2)/2)*ER40*EU40*VLOOKUP('Données projet'!$B$15,Paramètres!$A$1:$I$89,3,0)*0.475*44/12</f>
        <v>2.7616273157359807</v>
      </c>
      <c r="EY40" s="22">
        <f t="shared" si="21"/>
        <v>4.8258213204811051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16.131410256410259</v>
      </c>
      <c r="N41" s="13">
        <f>IF('Données projet'!$A$36&gt;35,N40+M41-V40,IF(A41&lt;'Données projet'!$A$36,$K$205^A41,IF(A41='Données projet'!$A$36,'Données projet'!$B$36,N40+M41-V40)))</f>
        <v>345.8435897435898</v>
      </c>
      <c r="O41" s="13">
        <f>N41*VLOOKUP('Données projet'!$B$9,Paramètres!$A$1:$I$89,3,0)*VLOOKUP('Données projet'!$B$9,Paramètres!$A$1:$I$89,5,0)</f>
        <v>161.85480000000001</v>
      </c>
      <c r="P41" s="13">
        <f t="shared" si="33"/>
        <v>41.260589676862445</v>
      </c>
      <c r="Q41" s="20">
        <f t="shared" si="53"/>
        <v>353.75930368720213</v>
      </c>
      <c r="R41" s="59">
        <f t="shared" si="0"/>
        <v>647.09263702053545</v>
      </c>
      <c r="S41" s="59">
        <f ca="1">AVERAGE(OFFSET($R$3,0,0,'Données projet'!$E$9+1,1))-AVERAGE(OFFSET($H$3,0,0,'Données projet'!$E$9+1,1))</f>
        <v>205.73717397588365</v>
      </c>
      <c r="T41" s="59">
        <f t="shared" si="34"/>
        <v>190.64998698136026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283.73369613548124</v>
      </c>
      <c r="AO41" s="59">
        <f t="shared" si="36"/>
        <v>249.77804091581208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22.419230769230751</v>
      </c>
      <c r="BD41" s="12">
        <f>IF('Données projet'!$A$88&gt;35,BD40+BC41-BL40,IF(A41&lt;'Données projet'!$A$88,$BA$205^A41,IF(A41='Données projet'!$A$88,'Données projet'!$B$88,BD40+BC41-BL40)))</f>
        <v>379.04615384615386</v>
      </c>
      <c r="BE41" s="13">
        <f>BD41*VLOOKUP('Données projet'!$B$11,Paramètres!$A$1:$I$89,3,0)*VLOOKUP('Données projet'!$B$11,Paramètres!$A$1:$I$89,5,0)</f>
        <v>211.88679999999999</v>
      </c>
      <c r="BF41" s="13">
        <f t="shared" si="37"/>
        <v>52.347684082939317</v>
      </c>
      <c r="BG41" s="20">
        <f t="shared" si="7"/>
        <v>460.20839311111928</v>
      </c>
      <c r="BH41" s="59">
        <f t="shared" si="8"/>
        <v>753.54172644445259</v>
      </c>
      <c r="BI41" s="59">
        <f ca="1">AVERAGE(OFFSET($BH$3,0,0,'Données projet'!$E$11+1,1))-AVERAGE(OFFSET($H$3,0,0,'Données projet'!$E$11+1,1))</f>
        <v>278.5296012747549</v>
      </c>
      <c r="BJ41" s="59">
        <f t="shared" si="38"/>
        <v>370.55343097937077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44.248409608996077</v>
      </c>
      <c r="BQ41" s="21">
        <f>EXP(-LN(2)/25)*BQ40+(1-EXP(-LN(2)/25))/(LN(2)/25)*Calculateur!BL41*Calculateur!BN41*VLOOKUP('Données projet'!$B$11,Paramètres!$A$1:$I$89,3,0)*0.475*44/12</f>
        <v>19.092770930340116</v>
      </c>
      <c r="BR41" s="21">
        <f>EXP(-LN(2)/2)*BR40+(1-EXP(-LN(2)/2))/(LN(2)/2)*BL41*BO41*VLOOKUP('Données projet'!$B$11,Paramètres!$A$1:$I$89,3,0)*0.475*44/12</f>
        <v>3.2844237852893423</v>
      </c>
      <c r="BS41" s="22">
        <f t="shared" si="9"/>
        <v>66.625604324625542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</v>
      </c>
      <c r="BY41" s="12">
        <f>IF('Données projet'!$A$114&gt;35,BY40+BX41-CG40,IF(A41&lt;'Données projet'!$A$114,$BV$205^A41,IF(A41='Données projet'!$A$114,'Données projet'!$B$114,BY40+BX41-CG40)))</f>
        <v>221.99999999999994</v>
      </c>
      <c r="BZ41" s="13">
        <f>BY41*VLOOKUP('Données projet'!$B$12,Paramètres!$A$1:$I$89,3,0)*VLOOKUP('Données projet'!$B$12,Paramètres!$A$1:$I$89,5,0)</f>
        <v>121.21199999999996</v>
      </c>
      <c r="CA41" s="13">
        <f t="shared" si="39"/>
        <v>31.95751284761706</v>
      </c>
      <c r="CB41" s="20">
        <f t="shared" si="10"/>
        <v>266.77023487626633</v>
      </c>
      <c r="CC41" s="59">
        <f t="shared" si="11"/>
        <v>560.10356820959964</v>
      </c>
      <c r="CD41" s="59">
        <f ca="1">AVERAGE(OFFSET($CC$3,0,0,'Données projet'!$E$12+1,1))-AVERAGE(OFFSET($H$3,0,0,'Données projet'!$E$12+1,1))</f>
        <v>159.92263609041913</v>
      </c>
      <c r="CE41" s="59">
        <f t="shared" si="40"/>
        <v>271.78119133009307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17.85506782741739</v>
      </c>
      <c r="CL41" s="21">
        <f>EXP(-LN(2)/25)*CL40+(1-EXP(-LN(2)/25))/(LN(2)/25)*Calculateur!CG41*Calculateur!CI41*VLOOKUP('Données projet'!$B$12,Paramètres!$A$1:$I$89,3,0)*0.475*44/12</f>
        <v>77.801049485570928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95.656117312988314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9.3141025641025621</v>
      </c>
      <c r="CT41" s="12">
        <f>IF('Données projet'!$A$140&gt;35,CT40+CS41-DB40,IF(A41&lt;'Données projet'!$A$140,$CQ$205^A41,IF(A41='Données projet'!$A$140,'Données projet'!$B$140,CT40+CS41-DB40)))</f>
        <v>129.50641025641028</v>
      </c>
      <c r="CU41" s="17">
        <f>CT41*VLOOKUP('Données projet'!$B$13,Paramètres!$A$1:$I$89,3,0)*VLOOKUP('Données projet'!$B$13,Paramètres!$A$1:$I$89,5,0)</f>
        <v>117.17740000000002</v>
      </c>
      <c r="CV41" s="13">
        <f t="shared" si="41"/>
        <v>31.015764986886897</v>
      </c>
      <c r="CW41" s="20">
        <f t="shared" si="13"/>
        <v>258.10309568549474</v>
      </c>
      <c r="CX41" s="59">
        <f t="shared" si="14"/>
        <v>551.43642901882799</v>
      </c>
      <c r="CY41" s="59">
        <f ca="1">AVERAGE(OFFSET($CX$3,0,0,'Données projet'!$E$13+1,1))-AVERAGE(OFFSET($H$3,0,0,'Données projet'!$E$13+1,1))</f>
        <v>280.25710840677186</v>
      </c>
      <c r="CZ41" s="59">
        <f t="shared" si="42"/>
        <v>209.65224013288037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8.8000000000000007</v>
      </c>
      <c r="DO41" s="12">
        <f>IF('Données projet'!$A$166&gt;35,DO40+DN41-DW40,IF(A41&lt;'Données projet'!$A$166,$DL$205^A41,IF(A41='Données projet'!$A$166,'Données projet'!$B$166,DO40+DN41-DW40)))</f>
        <v>167.4</v>
      </c>
      <c r="DP41" s="17">
        <f>DO41*VLOOKUP('Données projet'!$B$14,Paramètres!$A$1:$I$89,3,0)*VLOOKUP('Données projet'!$B$14,Paramètres!$A$1:$I$89,5,0)</f>
        <v>174.96648000000002</v>
      </c>
      <c r="DQ41" s="13">
        <f t="shared" si="43"/>
        <v>44.20047886519378</v>
      </c>
      <c r="DR41" s="20">
        <f t="shared" si="16"/>
        <v>381.71578669021255</v>
      </c>
      <c r="DS41" s="59">
        <f t="shared" si="17"/>
        <v>675.04912002354581</v>
      </c>
      <c r="DT41" s="59">
        <f ca="1">AVERAGE(OFFSET($DS$3,0,0,'Données projet'!$E$14+1,1))-AVERAGE(OFFSET($H$3,0,0,'Données projet'!$E$14+1,1))</f>
        <v>330.14201227773452</v>
      </c>
      <c r="DU41" s="59">
        <f t="shared" si="44"/>
        <v>307.07297894926467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6.1476874238081551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6.1476874238081551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7.8</v>
      </c>
      <c r="EJ41" s="12">
        <f>IF('Données projet'!$A$192&gt;35,EJ40+EI41-ER40,IF(A41&lt;'Données projet'!$A$192,$EG$205^A41,IF(A41='Données projet'!$A$192,'Données projet'!$B$192,EJ40+EI41-ER40)))</f>
        <v>179.40000000000003</v>
      </c>
      <c r="EK41" s="17">
        <f>EJ41*VLOOKUP('Données projet'!$B$15,Paramètres!$A$1:$I$89,3,0)*VLOOKUP('Données projet'!$B$15,Paramètres!$A$1:$I$89,5,0)</f>
        <v>117.54288000000003</v>
      </c>
      <c r="EL41" s="13">
        <f t="shared" si="45"/>
        <v>31.101228198889224</v>
      </c>
      <c r="EM41" s="20">
        <f t="shared" si="19"/>
        <v>258.88848844639881</v>
      </c>
      <c r="EN41" s="59">
        <f t="shared" si="20"/>
        <v>552.22182177973218</v>
      </c>
      <c r="EO41" s="59">
        <f ca="1">AVERAGE(OFFSET($EN$3,0,0,'Données projet'!$E$15+1,1))-AVERAGE(OFFSET($H$3,0,0,'Données projet'!$E$15+1,1))</f>
        <v>183.30081488041924</v>
      </c>
      <c r="EP41" s="59">
        <f t="shared" si="46"/>
        <v>199.33099759570928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2.0077485111341242</v>
      </c>
      <c r="EX41" s="21">
        <f>EXP(-LN(2)/2)*EX40+(1-EXP(-LN(2)/2))/(LN(2)/2)*ER41*EU41*VLOOKUP('Données projet'!$B$15,Paramètres!$A$1:$I$89,3,0)*0.475*44/12</f>
        <v>1.952765402066915</v>
      </c>
      <c r="EY41" s="22">
        <f t="shared" si="21"/>
        <v>3.960513913201039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16.131410256410259</v>
      </c>
      <c r="N42" s="13">
        <f>IF('Données projet'!$A$36&gt;35,N41+M42-V41,IF(A42&lt;'Données projet'!$A$36,$K$205^A42,IF(A42='Données projet'!$A$36,'Données projet'!$B$36,N41+M42-V41)))</f>
        <v>361.97500000000008</v>
      </c>
      <c r="O42" s="13">
        <f>N42*VLOOKUP('Données projet'!$B$9,Paramètres!$A$1:$I$89,3,0)*VLOOKUP('Données projet'!$B$9,Paramètres!$A$1:$I$89,5,0)</f>
        <v>169.40430000000006</v>
      </c>
      <c r="P42" s="13">
        <f t="shared" si="33"/>
        <v>42.956579357099159</v>
      </c>
      <c r="Q42" s="20">
        <f t="shared" si="53"/>
        <v>369.86186488028119</v>
      </c>
      <c r="R42" s="59">
        <f t="shared" si="0"/>
        <v>663.1951982136145</v>
      </c>
      <c r="S42" s="59">
        <f ca="1">AVERAGE(OFFSET($R$3,0,0,'Données projet'!$E$9+1,1))-AVERAGE(OFFSET($H$3,0,0,'Données projet'!$E$9+1,1))</f>
        <v>205.73717397588365</v>
      </c>
      <c r="T42" s="59">
        <f t="shared" si="34"/>
        <v>190.64998698136026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283.73369613548124</v>
      </c>
      <c r="AO42" s="59">
        <f t="shared" si="36"/>
        <v>249.77804091581208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22.419230769230751</v>
      </c>
      <c r="BD42" s="12">
        <f>IF('Données projet'!$A$88&gt;35,BD41+BC42-BL41,IF(A42&lt;'Données projet'!$A$88,$BA$205^A42,IF(A42='Données projet'!$A$88,'Données projet'!$B$88,BD41+BC42-BL41)))</f>
        <v>401.46538461538461</v>
      </c>
      <c r="BE42" s="13">
        <f>BD42*VLOOKUP('Données projet'!$B$11,Paramètres!$A$1:$I$89,3,0)*VLOOKUP('Données projet'!$B$11,Paramètres!$A$1:$I$89,5,0)</f>
        <v>224.41915</v>
      </c>
      <c r="BF42" s="13">
        <f t="shared" si="37"/>
        <v>55.074251579267461</v>
      </c>
      <c r="BG42" s="20">
        <f t="shared" si="7"/>
        <v>486.78434108389075</v>
      </c>
      <c r="BH42" s="59">
        <f t="shared" si="8"/>
        <v>780.11767441722407</v>
      </c>
      <c r="BI42" s="59">
        <f ca="1">AVERAGE(OFFSET($BH$3,0,0,'Données projet'!$E$11+1,1))-AVERAGE(OFFSET($H$3,0,0,'Données projet'!$E$11+1,1))</f>
        <v>278.5296012747549</v>
      </c>
      <c r="BJ42" s="59">
        <f t="shared" si="38"/>
        <v>370.55343097937077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43.380725285428596</v>
      </c>
      <c r="BQ42" s="21">
        <f>EXP(-LN(2)/25)*BQ41+(1-EXP(-LN(2)/25))/(LN(2)/25)*Calculateur!BL42*Calculateur!BN42*VLOOKUP('Données projet'!$B$11,Paramètres!$A$1:$I$89,3,0)*0.475*44/12</f>
        <v>18.570678105204781</v>
      </c>
      <c r="BR42" s="21">
        <f>EXP(-LN(2)/2)*BR41+(1-EXP(-LN(2)/2))/(LN(2)/2)*BL42*BO42*VLOOKUP('Données projet'!$B$11,Paramètres!$A$1:$I$89,3,0)*0.475*44/12</f>
        <v>2.3224383308684833</v>
      </c>
      <c r="BS42" s="22">
        <f t="shared" si="9"/>
        <v>64.273841721501853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</v>
      </c>
      <c r="BY42" s="12">
        <f>IF('Données projet'!$A$114&gt;35,BY41+BX42-CG41,IF(A42&lt;'Données projet'!$A$114,$BV$205^A42,IF(A42='Données projet'!$A$114,'Données projet'!$B$114,BY41+BX42-CG41)))</f>
        <v>235.99999999999994</v>
      </c>
      <c r="BZ42" s="13">
        <f>BY42*VLOOKUP('Données projet'!$B$12,Paramètres!$A$1:$I$89,3,0)*VLOOKUP('Données projet'!$B$12,Paramètres!$A$1:$I$89,5,0)</f>
        <v>128.85599999999997</v>
      </c>
      <c r="CA42" s="13">
        <f t="shared" si="39"/>
        <v>33.731878688740906</v>
      </c>
      <c r="CB42" s="20">
        <f t="shared" si="10"/>
        <v>283.1738887162237</v>
      </c>
      <c r="CC42" s="59">
        <f t="shared" si="11"/>
        <v>576.50722204955696</v>
      </c>
      <c r="CD42" s="59">
        <f ca="1">AVERAGE(OFFSET($CC$3,0,0,'Données projet'!$E$12+1,1))-AVERAGE(OFFSET($H$3,0,0,'Données projet'!$E$12+1,1))</f>
        <v>159.92263609041913</v>
      </c>
      <c r="CE42" s="59">
        <f t="shared" si="40"/>
        <v>271.78119133009307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17.504940837837761</v>
      </c>
      <c r="CL42" s="21">
        <f>EXP(-LN(2)/25)*CL41+(1-EXP(-LN(2)/25))/(LN(2)/25)*Calculateur!CG42*Calculateur!CI42*VLOOKUP('Données projet'!$B$12,Paramètres!$A$1:$I$89,3,0)*0.475*44/12</f>
        <v>75.673575696008612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93.178516533846377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9.3141025641025621</v>
      </c>
      <c r="CT42" s="12">
        <f>IF('Données projet'!$A$140&gt;35,CT41+CS42-DB41,IF(A42&lt;'Données projet'!$A$140,$CQ$205^A42,IF(A42='Données projet'!$A$140,'Données projet'!$B$140,CT41+CS42-DB41)))</f>
        <v>138.82051282051285</v>
      </c>
      <c r="CU42" s="17">
        <f>CT42*VLOOKUP('Données projet'!$B$13,Paramètres!$A$1:$I$89,3,0)*VLOOKUP('Données projet'!$B$13,Paramètres!$A$1:$I$89,5,0)</f>
        <v>125.60480000000001</v>
      </c>
      <c r="CV42" s="13">
        <f t="shared" si="41"/>
        <v>32.978733659615138</v>
      </c>
      <c r="CW42" s="20">
        <f t="shared" si="13"/>
        <v>276.19965445716304</v>
      </c>
      <c r="CX42" s="59">
        <f t="shared" si="14"/>
        <v>569.53298779049635</v>
      </c>
      <c r="CY42" s="59">
        <f ca="1">AVERAGE(OFFSET($CX$3,0,0,'Données projet'!$E$13+1,1))-AVERAGE(OFFSET($H$3,0,0,'Données projet'!$E$13+1,1))</f>
        <v>280.25710840677186</v>
      </c>
      <c r="CZ42" s="59">
        <f t="shared" si="42"/>
        <v>209.65224013288037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8.8000000000000007</v>
      </c>
      <c r="DO42" s="12">
        <f>IF('Données projet'!$A$166&gt;35,DO41+DN42-DW41,IF(A42&lt;'Données projet'!$A$166,$DL$205^A42,IF(A42='Données projet'!$A$166,'Données projet'!$B$166,DO41+DN42-DW41)))</f>
        <v>176.20000000000002</v>
      </c>
      <c r="DP42" s="17">
        <f>DO42*VLOOKUP('Données projet'!$B$14,Paramètres!$A$1:$I$89,3,0)*VLOOKUP('Données projet'!$B$14,Paramètres!$A$1:$I$89,5,0)</f>
        <v>184.16424000000004</v>
      </c>
      <c r="DQ42" s="13">
        <f t="shared" si="43"/>
        <v>46.247416025180279</v>
      </c>
      <c r="DR42" s="20">
        <f t="shared" si="16"/>
        <v>401.30030091052237</v>
      </c>
      <c r="DS42" s="59">
        <f t="shared" si="17"/>
        <v>694.63363424385568</v>
      </c>
      <c r="DT42" s="59">
        <f ca="1">AVERAGE(OFFSET($DS$3,0,0,'Données projet'!$E$14+1,1))-AVERAGE(OFFSET($H$3,0,0,'Données projet'!$E$14+1,1))</f>
        <v>330.14201227773452</v>
      </c>
      <c r="DU42" s="59">
        <f t="shared" si="44"/>
        <v>307.07297894926467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5.9795785879112904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5.9795785879112904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7.8</v>
      </c>
      <c r="EJ42" s="12">
        <f>IF('Données projet'!$A$192&gt;35,EJ41+EI42-ER41,IF(A42&lt;'Données projet'!$A$192,$EG$205^A42,IF(A42='Données projet'!$A$192,'Données projet'!$B$192,EJ41+EI42-ER41)))</f>
        <v>187.20000000000005</v>
      </c>
      <c r="EK42" s="17">
        <f>EJ42*VLOOKUP('Données projet'!$B$15,Paramètres!$A$1:$I$89,3,0)*VLOOKUP('Données projet'!$B$15,Paramètres!$A$1:$I$89,5,0)</f>
        <v>122.65344000000002</v>
      </c>
      <c r="EL42" s="13">
        <f t="shared" si="45"/>
        <v>32.293080640759037</v>
      </c>
      <c r="EM42" s="20">
        <f t="shared" si="19"/>
        <v>269.8651901159887</v>
      </c>
      <c r="EN42" s="59">
        <f t="shared" si="20"/>
        <v>563.19852344932201</v>
      </c>
      <c r="EO42" s="59">
        <f ca="1">AVERAGE(OFFSET($EN$3,0,0,'Données projet'!$E$15+1,1))-AVERAGE(OFFSET($H$3,0,0,'Données projet'!$E$15+1,1))</f>
        <v>183.30081488041924</v>
      </c>
      <c r="EP42" s="59">
        <f t="shared" si="46"/>
        <v>199.33099759570928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1.9528465225142562</v>
      </c>
      <c r="EX42" s="21">
        <f>EXP(-LN(2)/2)*EX41+(1-EXP(-LN(2)/2))/(LN(2)/2)*ER42*EU42*VLOOKUP('Données projet'!$B$15,Paramètres!$A$1:$I$89,3,0)*0.475*44/12</f>
        <v>1.3808136578679906</v>
      </c>
      <c r="EY42" s="22">
        <f t="shared" si="21"/>
        <v>3.333660180382247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16.131410256410259</v>
      </c>
      <c r="N43" s="13">
        <f>IF('Données projet'!$A$36&gt;35,N42+M43-V42,IF(A43&lt;'Données projet'!$A$36,$K$205^A43,IF(A43='Données projet'!$A$36,'Données projet'!$B$36,N42+M43-V42)))</f>
        <v>378.10641025641036</v>
      </c>
      <c r="O43" s="13">
        <f>N43*VLOOKUP('Données projet'!$B$9,Paramètres!$A$1:$I$89,3,0)*VLOOKUP('Données projet'!$B$9,Paramètres!$A$1:$I$89,5,0)</f>
        <v>176.95380000000006</v>
      </c>
      <c r="P43" s="13">
        <f t="shared" si="33"/>
        <v>44.643791032081154</v>
      </c>
      <c r="Q43" s="20">
        <f t="shared" si="53"/>
        <v>385.94913771420806</v>
      </c>
      <c r="R43" s="59">
        <f t="shared" si="0"/>
        <v>679.28247104754132</v>
      </c>
      <c r="S43" s="59">
        <f ca="1">AVERAGE(OFFSET($R$3,0,0,'Données projet'!$E$9+1,1))-AVERAGE(OFFSET($H$3,0,0,'Données projet'!$E$9+1,1))</f>
        <v>205.73717397588365</v>
      </c>
      <c r="T43" s="59">
        <f t="shared" si="34"/>
        <v>190.64998698136026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283.73369613548124</v>
      </c>
      <c r="AO43" s="59">
        <f t="shared" si="36"/>
        <v>249.77804091581208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22.419230769230751</v>
      </c>
      <c r="BD43" s="12">
        <f>IF('Données projet'!$A$88&gt;35,BD42+BC43-BL42,IF(A43&lt;'Données projet'!$A$88,$BA$205^A43,IF(A43='Données projet'!$A$88,'Données projet'!$B$88,BD42+BC43-BL42)))</f>
        <v>423.88461538461536</v>
      </c>
      <c r="BE43" s="13">
        <f>BD43*VLOOKUP('Données projet'!$B$11,Paramètres!$A$1:$I$89,3,0)*VLOOKUP('Données projet'!$B$11,Paramètres!$A$1:$I$89,5,0)</f>
        <v>236.95150000000001</v>
      </c>
      <c r="BF43" s="13">
        <f t="shared" si="37"/>
        <v>57.783143668102753</v>
      </c>
      <c r="BG43" s="20">
        <f t="shared" si="7"/>
        <v>513.32950438861235</v>
      </c>
      <c r="BH43" s="59">
        <f t="shared" si="8"/>
        <v>806.66283772194561</v>
      </c>
      <c r="BI43" s="59">
        <f ca="1">AVERAGE(OFFSET($BH$3,0,0,'Données projet'!$E$11+1,1))-AVERAGE(OFFSET($H$3,0,0,'Données projet'!$E$11+1,1))</f>
        <v>278.5296012747549</v>
      </c>
      <c r="BJ43" s="59">
        <f t="shared" si="38"/>
        <v>370.55343097937077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42.530055722211095</v>
      </c>
      <c r="BQ43" s="21">
        <f>EXP(-LN(2)/25)*BQ42+(1-EXP(-LN(2)/25))/(LN(2)/25)*Calculateur!BL43*Calculateur!BN43*VLOOKUP('Données projet'!$B$11,Paramètres!$A$1:$I$89,3,0)*0.475*44/12</f>
        <v>18.062861935828437</v>
      </c>
      <c r="BR43" s="21">
        <f>EXP(-LN(2)/2)*BR42+(1-EXP(-LN(2)/2))/(LN(2)/2)*BL43*BO43*VLOOKUP('Données projet'!$B$11,Paramètres!$A$1:$I$89,3,0)*0.475*44/12</f>
        <v>1.6422118926446714</v>
      </c>
      <c r="BS43" s="22">
        <f t="shared" si="9"/>
        <v>62.235129550684206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14</v>
      </c>
      <c r="BY43" s="12">
        <f>IF('Données projet'!$A$114&gt;35,BY42+BX43-CG42,IF(A43&lt;'Données projet'!$A$114,$BV$205^A43,IF(A43='Données projet'!$A$114,'Données projet'!$B$114,BY42+BX43-CG42)))</f>
        <v>249.99999999999994</v>
      </c>
      <c r="BZ43" s="13">
        <f>BY43*VLOOKUP('Données projet'!$B$12,Paramètres!$A$1:$I$89,3,0)*VLOOKUP('Données projet'!$B$12,Paramètres!$A$1:$I$89,5,0)</f>
        <v>136.49999999999997</v>
      </c>
      <c r="CA43" s="13">
        <f t="shared" si="39"/>
        <v>35.494027024087352</v>
      </c>
      <c r="CB43" s="20">
        <f t="shared" si="10"/>
        <v>299.55626373361878</v>
      </c>
      <c r="CC43" s="59">
        <f t="shared" si="11"/>
        <v>592.88959706695209</v>
      </c>
      <c r="CD43" s="59">
        <f ca="1">AVERAGE(OFFSET($CC$3,0,0,'Données projet'!$E$12+1,1))-AVERAGE(OFFSET($H$3,0,0,'Données projet'!$E$12+1,1))</f>
        <v>159.92263609041913</v>
      </c>
      <c r="CE43" s="59">
        <f t="shared" si="40"/>
        <v>271.78119133009307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17.161679624967412</v>
      </c>
      <c r="CL43" s="21">
        <f>EXP(-LN(2)/25)*CL42+(1-EXP(-LN(2)/25))/(LN(2)/25)*Calculateur!CG43*Calculateur!CI43*VLOOKUP('Données projet'!$B$12,Paramètres!$A$1:$I$89,3,0)*0.475*44/12</f>
        <v>73.604277789100863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90.765957414068282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9.3141025641025621</v>
      </c>
      <c r="CT43" s="12">
        <f>IF('Données projet'!$A$140&gt;35,CT42+CS43-DB42,IF(A43&lt;'Données projet'!$A$140,$CQ$205^A43,IF(A43='Données projet'!$A$140,'Données projet'!$B$140,CT42+CS43-DB42)))</f>
        <v>148.13461538461542</v>
      </c>
      <c r="CU43" s="17">
        <f>CT43*VLOOKUP('Données projet'!$B$13,Paramètres!$A$1:$I$89,3,0)*VLOOKUP('Données projet'!$B$13,Paramètres!$A$1:$I$89,5,0)</f>
        <v>134.03220000000002</v>
      </c>
      <c r="CV43" s="13">
        <f t="shared" si="41"/>
        <v>34.926419532696755</v>
      </c>
      <c r="CW43" s="20">
        <f t="shared" si="13"/>
        <v>294.26959568611358</v>
      </c>
      <c r="CX43" s="59">
        <f t="shared" si="14"/>
        <v>587.60292901944695</v>
      </c>
      <c r="CY43" s="59">
        <f ca="1">AVERAGE(OFFSET($CX$3,0,0,'Données projet'!$E$13+1,1))-AVERAGE(OFFSET($H$3,0,0,'Données projet'!$E$13+1,1))</f>
        <v>280.25710840677186</v>
      </c>
      <c r="CZ43" s="59">
        <f t="shared" si="42"/>
        <v>209.65224013288037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185</v>
      </c>
      <c r="DM43" s="12">
        <f>VLOOKUP(A43,'Données projet'!$A$165:$I$185,9,0)</f>
        <v>8.8000000000000007</v>
      </c>
      <c r="DN43" s="12">
        <f t="array" ref="DN43">INDEX(DM:DM,MIN(IF(ISNUMBER(DM43:DM239),ROW(DM43:DM239),"")))</f>
        <v>8.8000000000000007</v>
      </c>
      <c r="DO43" s="12">
        <f>IF('Données projet'!$A$166&gt;35,DO42+DN43-DW42,IF(A43&lt;'Données projet'!$A$166,$DL$205^A43,IF(A43='Données projet'!$A$166,'Données projet'!$B$166,DO42+DN43-DW42)))</f>
        <v>185.00000000000003</v>
      </c>
      <c r="DP43" s="17">
        <f>DO43*VLOOKUP('Données projet'!$B$14,Paramètres!$A$1:$I$89,3,0)*VLOOKUP('Données projet'!$B$14,Paramètres!$A$1:$I$89,5,0)</f>
        <v>193.36200000000005</v>
      </c>
      <c r="DQ43" s="13">
        <f t="shared" si="43"/>
        <v>48.282482845036888</v>
      </c>
      <c r="DR43" s="20">
        <f t="shared" si="16"/>
        <v>420.864140955106</v>
      </c>
      <c r="DS43" s="59">
        <f t="shared" si="17"/>
        <v>714.19747428843925</v>
      </c>
      <c r="DT43" s="59">
        <f ca="1">AVERAGE(OFFSET($DS$3,0,0,'Données projet'!$E$14+1,1))-AVERAGE(OFFSET($H$3,0,0,'Données projet'!$E$14+1,1))</f>
        <v>330.14201227773452</v>
      </c>
      <c r="DU43" s="59">
        <f t="shared" si="44"/>
        <v>307.07297894926467</v>
      </c>
      <c r="DV43" s="15">
        <f>IF(ISNA(VLOOKUP(A43,'Données projet'!$A$165:$I$185,3,0)),0,VLOOKUP(A43,'Données projet'!$A$165:$I$185,3,0))</f>
        <v>5</v>
      </c>
      <c r="DW43" s="15" t="str">
        <f>IF(ISNA(VLOOKUP(A43,'Données projet'!$A$165:$I$185,4,0)),0,VLOOKUP(A43,'Données projet'!$A$165:$I$185,4,0))</f>
        <v>27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12.496972944337816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12.496972944337816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195</v>
      </c>
      <c r="EH43" s="12">
        <f>VLOOKUP(A43,'Données projet'!$A$191:$I$211,9,0)</f>
        <v>7.8</v>
      </c>
      <c r="EI43" s="12">
        <f t="array" ref="EI43">INDEX(EH:EH,MIN(IF(ISNUMBER(EH43:EH239),ROW(EH43:EH239),"")))</f>
        <v>7.8</v>
      </c>
      <c r="EJ43" s="12">
        <f>IF('Données projet'!$A$192&gt;35,EJ42+EI43-ER42,IF(A43&lt;'Données projet'!$A$192,$EG$205^A43,IF(A43='Données projet'!$A$192,'Données projet'!$B$192,EJ42+EI43-ER42)))</f>
        <v>195.00000000000006</v>
      </c>
      <c r="EK43" s="17">
        <f>EJ43*VLOOKUP('Données projet'!$B$15,Paramètres!$A$1:$I$89,3,0)*VLOOKUP('Données projet'!$B$15,Paramètres!$A$1:$I$89,5,0)</f>
        <v>127.76400000000004</v>
      </c>
      <c r="EL43" s="13">
        <f t="shared" si="45"/>
        <v>33.479164830670079</v>
      </c>
      <c r="EM43" s="20">
        <f t="shared" si="19"/>
        <v>280.83184541341706</v>
      </c>
      <c r="EN43" s="59">
        <f t="shared" si="20"/>
        <v>574.16517874675037</v>
      </c>
      <c r="EO43" s="59">
        <f ca="1">AVERAGE(OFFSET($EN$3,0,0,'Données projet'!$E$15+1,1))-AVERAGE(OFFSET($H$3,0,0,'Données projet'!$E$15+1,1))</f>
        <v>183.30081488041924</v>
      </c>
      <c r="EP43" s="59">
        <f t="shared" si="46"/>
        <v>199.33099759570928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25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4.3000000000000003E-2</v>
      </c>
      <c r="EU43" s="16">
        <f>IF(ISNA(VLOOKUP(A43,'Données projet'!$A$191:$I$211,7,0)),0%,VLOOKUP(A43,'Données projet'!$A$191:$I$211,7,0))</f>
        <v>0.3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2.6750070875734249</v>
      </c>
      <c r="EX43" s="21">
        <f>EXP(-LN(2)/2)*EX42+(1-EXP(-LN(2)/2))/(LN(2)/2)*ER43*EU43*VLOOKUP('Données projet'!$B$15,Paramètres!$A$1:$I$89,3,0)*0.475*44/12</f>
        <v>5.6128739594043342</v>
      </c>
      <c r="EY43" s="22">
        <f t="shared" si="21"/>
        <v>8.2878810469777591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16.131410256410259</v>
      </c>
      <c r="N44" s="13">
        <f>IF('Données projet'!$A$36&gt;35,N43+M44-V43,IF(A44&lt;'Données projet'!$A$36,$K$205^A44,IF(A44='Données projet'!$A$36,'Données projet'!$B$36,N43+M44-V43)))</f>
        <v>394.23782051282063</v>
      </c>
      <c r="O44" s="13">
        <f>N44*VLOOKUP('Données projet'!$B$9,Paramètres!$A$1:$I$89,3,0)*VLOOKUP('Données projet'!$B$9,Paramètres!$A$1:$I$89,5,0)</f>
        <v>184.50330000000005</v>
      </c>
      <c r="P44" s="13">
        <f t="shared" si="33"/>
        <v>46.32264201774467</v>
      </c>
      <c r="Q44" s="20">
        <f t="shared" si="53"/>
        <v>402.02184901423874</v>
      </c>
      <c r="R44" s="59">
        <f t="shared" si="0"/>
        <v>695.35518234757205</v>
      </c>
      <c r="S44" s="59">
        <f ca="1">AVERAGE(OFFSET($R$3,0,0,'Données projet'!$E$9+1,1))-AVERAGE(OFFSET($H$3,0,0,'Données projet'!$E$9+1,1))</f>
        <v>205.73717397588365</v>
      </c>
      <c r="T44" s="59">
        <f t="shared" si="34"/>
        <v>190.64998698136026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283.73369613548124</v>
      </c>
      <c r="AO44" s="59">
        <f t="shared" si="36"/>
        <v>249.77804091581208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22.419230769230751</v>
      </c>
      <c r="BD44" s="12">
        <f>IF('Données projet'!$A$88&gt;35,BD43+BC44-BL43,IF(A44&lt;'Données projet'!$A$88,$BA$205^A44,IF(A44='Données projet'!$A$88,'Données projet'!$B$88,BD43+BC44-BL43)))</f>
        <v>446.30384615384611</v>
      </c>
      <c r="BE44" s="13">
        <f>BD44*VLOOKUP('Données projet'!$B$11,Paramètres!$A$1:$I$89,3,0)*VLOOKUP('Données projet'!$B$11,Paramètres!$A$1:$I$89,5,0)</f>
        <v>249.48384999999996</v>
      </c>
      <c r="BF44" s="13">
        <f t="shared" si="37"/>
        <v>60.475401807280001</v>
      </c>
      <c r="BG44" s="20">
        <f t="shared" si="7"/>
        <v>539.8456968976792</v>
      </c>
      <c r="BH44" s="59">
        <f t="shared" si="8"/>
        <v>833.17903023101258</v>
      </c>
      <c r="BI44" s="59">
        <f ca="1">AVERAGE(OFFSET($BH$3,0,0,'Données projet'!$E$11+1,1))-AVERAGE(OFFSET($H$3,0,0,'Données projet'!$E$11+1,1))</f>
        <v>278.5296012747549</v>
      </c>
      <c r="BJ44" s="59">
        <f t="shared" si="38"/>
        <v>370.55343097937077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41.696067270271087</v>
      </c>
      <c r="BQ44" s="21">
        <f>EXP(-LN(2)/25)*BQ43+(1-EXP(-LN(2)/25))/(LN(2)/25)*Calculateur!BL44*Calculateur!BN44*VLOOKUP('Données projet'!$B$11,Paramètres!$A$1:$I$89,3,0)*0.475*44/12</f>
        <v>17.568932026308584</v>
      </c>
      <c r="BR44" s="21">
        <f>EXP(-LN(2)/2)*BR43+(1-EXP(-LN(2)/2))/(LN(2)/2)*BL44*BO44*VLOOKUP('Données projet'!$B$11,Paramètres!$A$1:$I$89,3,0)*0.475*44/12</f>
        <v>1.1612191654342419</v>
      </c>
      <c r="BS44" s="22">
        <f t="shared" si="9"/>
        <v>60.426218462013914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14</v>
      </c>
      <c r="BY44" s="12">
        <f>IF('Données projet'!$A$114&gt;35,BY43+BX44-CG43,IF(A44&lt;'Données projet'!$A$114,$BV$205^A44,IF(A44='Données projet'!$A$114,'Données projet'!$B$114,BY43+BX44-CG43)))</f>
        <v>263.99999999999994</v>
      </c>
      <c r="BZ44" s="13">
        <f>BY44*VLOOKUP('Données projet'!$B$12,Paramètres!$A$1:$I$89,3,0)*VLOOKUP('Données projet'!$B$12,Paramètres!$A$1:$I$89,5,0)</f>
        <v>144.14399999999995</v>
      </c>
      <c r="CA44" s="13">
        <f t="shared" si="39"/>
        <v>37.244720006976216</v>
      </c>
      <c r="CB44" s="20">
        <f t="shared" si="10"/>
        <v>315.91868734548348</v>
      </c>
      <c r="CC44" s="59">
        <f t="shared" si="11"/>
        <v>609.25202067881673</v>
      </c>
      <c r="CD44" s="59">
        <f ca="1">AVERAGE(OFFSET($CC$3,0,0,'Données projet'!$E$12+1,1))-AVERAGE(OFFSET($H$3,0,0,'Données projet'!$E$12+1,1))</f>
        <v>159.92263609041913</v>
      </c>
      <c r="CE44" s="59">
        <f t="shared" si="40"/>
        <v>271.78119133009307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16.825149555112784</v>
      </c>
      <c r="CL44" s="21">
        <f>EXP(-LN(2)/25)*CL43+(1-EXP(-LN(2)/25))/(LN(2)/25)*Calculateur!CG44*Calculateur!CI44*VLOOKUP('Données projet'!$B$12,Paramètres!$A$1:$I$89,3,0)*0.475*44/12</f>
        <v>71.591564942277159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88.416714497389947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157.44871794871796</v>
      </c>
      <c r="CR44" s="12">
        <f>VLOOKUP(A44,'Données projet'!$A$139:$I$159,9,0)</f>
        <v>9.3141025641025621</v>
      </c>
      <c r="CS44" s="12">
        <f t="array" ref="CS44">INDEX(CR:CR,MIN(IF(ISNUMBER(CR44:CR240),ROW(CR44:CR240),"")))</f>
        <v>9.3141025641025621</v>
      </c>
      <c r="CT44" s="12">
        <f>IF('Données projet'!$A$140&gt;35,CT43+CS44-DB43,IF(A44&lt;'Données projet'!$A$140,$CQ$205^A44,IF(A44='Données projet'!$A$140,'Données projet'!$B$140,CT43+CS44-DB43)))</f>
        <v>157.44871794871798</v>
      </c>
      <c r="CU44" s="17">
        <f>CT44*VLOOKUP('Données projet'!$B$13,Paramètres!$A$1:$I$89,3,0)*VLOOKUP('Données projet'!$B$13,Paramètres!$A$1:$I$89,5,0)</f>
        <v>142.45960000000002</v>
      </c>
      <c r="CV44" s="13">
        <f t="shared" si="41"/>
        <v>36.859892915688405</v>
      </c>
      <c r="CW44" s="20">
        <f t="shared" si="13"/>
        <v>312.31478349482404</v>
      </c>
      <c r="CX44" s="59">
        <f t="shared" si="14"/>
        <v>605.6481168281573</v>
      </c>
      <c r="CY44" s="59">
        <f ca="1">AVERAGE(OFFSET($CX$3,0,0,'Données projet'!$E$13+1,1))-AVERAGE(OFFSET($H$3,0,0,'Données projet'!$E$13+1,1))</f>
        <v>280.25710840677186</v>
      </c>
      <c r="CZ44" s="59">
        <f t="shared" si="42"/>
        <v>209.65224013288037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38.512820512820511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</v>
      </c>
      <c r="DO44" s="12">
        <f>IF('Données projet'!$A$166&gt;35,DO43+DN44-DW43,IF(A44&lt;'Données projet'!$A$166,$DL$205^A44,IF(A44='Données projet'!$A$166,'Données projet'!$B$166,DO43+DN44-DW43)))</f>
        <v>166.00000000000003</v>
      </c>
      <c r="DP44" s="17">
        <f>DO44*VLOOKUP('Données projet'!$B$14,Paramètres!$A$1:$I$89,3,0)*VLOOKUP('Données projet'!$B$14,Paramètres!$A$1:$I$89,5,0)</f>
        <v>173.50320000000005</v>
      </c>
      <c r="DQ44" s="13">
        <f t="shared" si="43"/>
        <v>43.873689992225962</v>
      </c>
      <c r="DR44" s="20">
        <f t="shared" si="16"/>
        <v>378.59808340312696</v>
      </c>
      <c r="DS44" s="59">
        <f t="shared" si="17"/>
        <v>671.93141673646028</v>
      </c>
      <c r="DT44" s="59">
        <f ca="1">AVERAGE(OFFSET($DS$3,0,0,'Données projet'!$E$14+1,1))-AVERAGE(OFFSET($H$3,0,0,'Données projet'!$E$14+1,1))</f>
        <v>330.14201227773452</v>
      </c>
      <c r="DU44" s="59">
        <f t="shared" si="44"/>
        <v>307.07297894926467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12.155242561987654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12.155242561987654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7.4</v>
      </c>
      <c r="EJ44" s="12">
        <f>IF('Données projet'!$A$192&gt;35,EJ43+EI44-ER43,IF(A44&lt;'Données projet'!$A$192,$EG$205^A44,IF(A44='Données projet'!$A$192,'Données projet'!$B$192,EJ43+EI44-ER43)))</f>
        <v>177.40000000000006</v>
      </c>
      <c r="EK44" s="17">
        <f>EJ44*VLOOKUP('Données projet'!$B$15,Paramètres!$A$1:$I$89,3,0)*VLOOKUP('Données projet'!$B$15,Paramètres!$A$1:$I$89,5,0)</f>
        <v>116.23248000000004</v>
      </c>
      <c r="EL44" s="13">
        <f t="shared" si="45"/>
        <v>30.794662422308217</v>
      </c>
      <c r="EM44" s="20">
        <f t="shared" si="19"/>
        <v>256.07227305218686</v>
      </c>
      <c r="EN44" s="59">
        <f t="shared" si="20"/>
        <v>549.40560638552017</v>
      </c>
      <c r="EO44" s="59">
        <f ca="1">AVERAGE(OFFSET($EN$3,0,0,'Données projet'!$E$15+1,1))-AVERAGE(OFFSET($H$3,0,0,'Données projet'!$E$15+1,1))</f>
        <v>183.30081488041924</v>
      </c>
      <c r="EP44" s="59">
        <f t="shared" si="46"/>
        <v>199.33099759570928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2.6018588780912206</v>
      </c>
      <c r="EX44" s="21">
        <f>EXP(-LN(2)/2)*EX43+(1-EXP(-LN(2)/2))/(LN(2)/2)*ER44*EU44*VLOOKUP('Données projet'!$B$15,Paramètres!$A$1:$I$89,3,0)*0.475*44/12</f>
        <v>3.9689012386401914</v>
      </c>
      <c r="EY44" s="22">
        <f t="shared" si="21"/>
        <v>6.570760116731412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410.3692307692308</v>
      </c>
      <c r="L45" s="12">
        <f>VLOOKUP(A45,'Données projet'!$A$35:$I$55,9,0)</f>
        <v>16.131410256410259</v>
      </c>
      <c r="M45" s="12">
        <f t="array" ref="M45">INDEX(L:L,MIN(IF(ISNUMBER(L45:L241),ROW(L45:L241),"")))</f>
        <v>16.131410256410259</v>
      </c>
      <c r="N45" s="13">
        <f>IF('Données projet'!$A$36&gt;35,N44+M45-V44,IF(A45&lt;'Données projet'!$A$36,$K$205^A45,IF(A45='Données projet'!$A$36,'Données projet'!$B$36,N44+M45-V44)))</f>
        <v>410.36923076923091</v>
      </c>
      <c r="O45" s="13">
        <f>N45*VLOOKUP('Données projet'!$B$9,Paramètres!$A$1:$I$89,3,0)*VLOOKUP('Données projet'!$B$9,Paramètres!$A$1:$I$89,5,0)</f>
        <v>192.05280000000008</v>
      </c>
      <c r="P45" s="13">
        <f t="shared" si="33"/>
        <v>47.993513546032311</v>
      </c>
      <c r="Q45" s="20">
        <f t="shared" si="53"/>
        <v>418.08066275933976</v>
      </c>
      <c r="R45" s="59">
        <f t="shared" si="0"/>
        <v>711.41399609267307</v>
      </c>
      <c r="S45" s="59">
        <f ca="1">AVERAGE(OFFSET($R$3,0,0,'Données projet'!$E$9+1,1))-AVERAGE(OFFSET($H$3,0,0,'Données projet'!$E$9+1,1))</f>
        <v>205.73717397588365</v>
      </c>
      <c r="T45" s="59">
        <f t="shared" si="34"/>
        <v>190.64998698136026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179.84615384615384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0.30800000000000005</v>
      </c>
      <c r="Y45" s="16">
        <f>IF(ISNA(VLOOKUP(A45,'Données projet'!$A$35:$I$55,7,0)),0%,VLOOKUP(A45,'Données projet'!$A$35:$I$55,7,0))</f>
        <v>0.44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34.254112709103957</v>
      </c>
      <c r="AB45" s="21">
        <f>EXP(-LN(2)/2)*AB44+(1-EXP(-LN(2)/2))/(LN(2)/2)*V45*Y45*VLOOKUP('Données projet'!$B$9,Paramètres!$A$1:$I$89,3,0)*0.475*44/12</f>
        <v>41.931000328011329</v>
      </c>
      <c r="AC45" s="22">
        <f t="shared" si="3"/>
        <v>76.185113037115286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283.73369613548124</v>
      </c>
      <c r="AO45" s="59">
        <f t="shared" si="36"/>
        <v>249.77804091581208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468.72307692307686</v>
      </c>
      <c r="BB45" s="12">
        <f>VLOOKUP(A45,'Données projet'!$A$87:$I$107,9,0)</f>
        <v>22.419230769230751</v>
      </c>
      <c r="BC45" s="12">
        <f t="array" ref="BC45">INDEX(BB:BB,MIN(IF(ISNUMBER(BB45:BB241),ROW(BB45:BB241),"")))</f>
        <v>22.419230769230751</v>
      </c>
      <c r="BD45" s="12">
        <f>IF('Données projet'!$A$88&gt;35,BD44+BC45-BL44,IF(A45&lt;'Données projet'!$A$88,$BA$205^A45,IF(A45='Données projet'!$A$88,'Données projet'!$B$88,BD44+BC45-BL44)))</f>
        <v>468.72307692307686</v>
      </c>
      <c r="BE45" s="13">
        <f>BD45*VLOOKUP('Données projet'!$B$11,Paramètres!$A$1:$I$89,3,0)*VLOOKUP('Données projet'!$B$11,Paramètres!$A$1:$I$89,5,0)</f>
        <v>262.01619999999997</v>
      </c>
      <c r="BF45" s="13">
        <f t="shared" si="37"/>
        <v>63.151956912854622</v>
      </c>
      <c r="BG45" s="20">
        <f t="shared" si="7"/>
        <v>566.33453995655509</v>
      </c>
      <c r="BH45" s="59">
        <f t="shared" si="8"/>
        <v>859.66787328988835</v>
      </c>
      <c r="BI45" s="59">
        <f ca="1">AVERAGE(OFFSET($BH$3,0,0,'Données projet'!$E$11+1,1))-AVERAGE(OFFSET($H$3,0,0,'Données projet'!$E$11+1,1))</f>
        <v>278.5296012747549</v>
      </c>
      <c r="BJ45" s="59">
        <f t="shared" si="38"/>
        <v>370.55343097937077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73.392307692307682</v>
      </c>
      <c r="BM45" s="16">
        <f>IF(ISNA(VLOOKUP(A45,'Données projet'!$A$87:$I$107,5,0)),0%,VLOOKUP(A45,'Données projet'!$A$87:$I$107,5,0)*VLOOKUP('Données projet'!$B$11,Paramètres!$A$1:$I$89,7,0))</f>
        <v>0.38500000000000001</v>
      </c>
      <c r="BN45" s="16">
        <f>IF(ISNA(VLOOKUP(A45,'Données projet'!$A$87:$I$107,6,0)),0%,VLOOKUP(A45,'Données projet'!$A$87:$I$107,6,0)*VLOOKUP('Données projet'!$B$11,Paramètres!$A$1:$I$89,7,0))</f>
        <v>9.240000000000001E-2</v>
      </c>
      <c r="BO45" s="16">
        <f>IF(ISNA(VLOOKUP(A45,'Données projet'!$A$87:$I$107,7,0)),0%,VLOOKUP(A45,'Données projet'!$A$87:$I$107,7,0))</f>
        <v>0.13200000000000001</v>
      </c>
      <c r="BP45" s="21">
        <f>EXP(-LN(2)/35)*BP44+(1-EXP(-LN(2)/35))/(LN(2)/35)*BL45*BM45*VLOOKUP('Données projet'!$B$11,Paramètres!$A$1:$I$89,3,0)*0.475*44/12</f>
        <v>61.831684880697594</v>
      </c>
      <c r="BQ45" s="21">
        <f>EXP(-LN(2)/25)*BQ44+(1-EXP(-LN(2)/25))/(LN(2)/25)*Calculateur!BL45*Calculateur!BN45*VLOOKUP('Données projet'!$B$11,Paramètres!$A$1:$I$89,3,0)*0.475*44/12</f>
        <v>22.097488925021114</v>
      </c>
      <c r="BR45" s="21">
        <f>EXP(-LN(2)/2)*BR44+(1-EXP(-LN(2)/2))/(LN(2)/2)*BL45*BO45*VLOOKUP('Données projet'!$B$11,Paramètres!$A$1:$I$89,3,0)*0.475*44/12</f>
        <v>6.9526777981796624</v>
      </c>
      <c r="BS45" s="22">
        <f t="shared" si="9"/>
        <v>90.881851603898369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278</v>
      </c>
      <c r="BW45" s="12">
        <f>VLOOKUP(A45,'Données projet'!$A$113:$I$133,9,0)</f>
        <v>14</v>
      </c>
      <c r="BX45" s="12">
        <f t="array" ref="BX45">INDEX(BW:BW,MIN(IF(ISNUMBER(BW45:BW241),ROW(BW45:BW241),"")))</f>
        <v>14</v>
      </c>
      <c r="BY45" s="12">
        <f>IF('Données projet'!$A$114&gt;35,BY44+BX45-CG44,IF(A45&lt;'Données projet'!$A$114,$BV$205^A45,IF(A45='Données projet'!$A$114,'Données projet'!$B$114,BY44+BX45-CG44)))</f>
        <v>277.99999999999994</v>
      </c>
      <c r="BZ45" s="13">
        <f>BY45*VLOOKUP('Données projet'!$B$12,Paramètres!$A$1:$I$89,3,0)*VLOOKUP('Données projet'!$B$12,Paramètres!$A$1:$I$89,5,0)</f>
        <v>151.78799999999998</v>
      </c>
      <c r="CA45" s="13">
        <f t="shared" si="39"/>
        <v>38.984634390835623</v>
      </c>
      <c r="CB45" s="20">
        <f t="shared" si="10"/>
        <v>332.26233823070532</v>
      </c>
      <c r="CC45" s="59">
        <f t="shared" si="11"/>
        <v>625.59567156403864</v>
      </c>
      <c r="CD45" s="59">
        <f ca="1">AVERAGE(OFFSET($CC$3,0,0,'Données projet'!$E$12+1,1))-AVERAGE(OFFSET($H$3,0,0,'Données projet'!$E$12+1,1))</f>
        <v>159.92263609041913</v>
      </c>
      <c r="CE45" s="59">
        <f t="shared" si="40"/>
        <v>271.78119133009307</v>
      </c>
      <c r="CF45" s="15" t="str">
        <f>IF(ISNA(VLOOKUP(A45,'Données projet'!$A$113:$I$133,3,0)),0,VLOOKUP(A45,'Données projet'!$A$113:$I$133,3,0))</f>
        <v>CR</v>
      </c>
      <c r="CG45" s="15">
        <f>IF(ISNA(VLOOKUP(A45,'Données projet'!$A$113:$I$133,4,0)),0,VLOOKUP(A45,'Données projet'!$A$113:$I$133,4,0))</f>
        <v>278</v>
      </c>
      <c r="CH45" s="16">
        <f>IF(ISNA(VLOOKUP(A45,'Données projet'!$A$113:$I$133,5,0)),0%,VLOOKUP(A45,'Données projet'!$A$113:$I$133,5,0)*VLOOKUP('Données projet'!$B$12,Paramètres!$A$1:$I$89,7,0))</f>
        <v>0.24</v>
      </c>
      <c r="CI45" s="16">
        <f>IF(ISNA(VLOOKUP(A45,'Données projet'!$A$113:$I$133,6,0)),0%,VLOOKUP(A45,'Données projet'!$A$113:$I$133,6,0)*VLOOKUP('Données projet'!$B$12,Paramètres!$A$1:$I$89,7,0))</f>
        <v>0.36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64.820794369606588</v>
      </c>
      <c r="CL45" s="21">
        <f>EXP(-LN(2)/25)*CL44+(1-EXP(-LN(2)/25))/(LN(2)/25)*Calculateur!CG45*Calculateur!CI45*VLOOKUP('Données projet'!$B$12,Paramètres!$A$1:$I$89,3,0)*0.475*44/12</f>
        <v>141.83683912877169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206.65763349837829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9.3452380952380913</v>
      </c>
      <c r="CT45" s="12">
        <f>IF('Données projet'!$A$140&gt;35,CT44+CS45-DB44,IF(A45&lt;'Données projet'!$A$140,$CQ$205^A45,IF(A45='Données projet'!$A$140,'Données projet'!$B$140,CT44+CS45-DB44)))</f>
        <v>128.28113553113559</v>
      </c>
      <c r="CU45" s="17">
        <f>CT45*VLOOKUP('Données projet'!$B$13,Paramètres!$A$1:$I$89,3,0)*VLOOKUP('Données projet'!$B$13,Paramètres!$A$1:$I$89,5,0)</f>
        <v>116.06877142857148</v>
      </c>
      <c r="CV45" s="13">
        <f t="shared" si="41"/>
        <v>30.75633490516044</v>
      </c>
      <c r="CW45" s="20">
        <f t="shared" si="13"/>
        <v>255.72039353124975</v>
      </c>
      <c r="CX45" s="59">
        <f t="shared" si="14"/>
        <v>549.05372686458304</v>
      </c>
      <c r="CY45" s="59">
        <f ca="1">AVERAGE(OFFSET($CX$3,0,0,'Données projet'!$E$13+1,1))-AVERAGE(OFFSET($H$3,0,0,'Données projet'!$E$13+1,1))</f>
        <v>280.25710840677186</v>
      </c>
      <c r="CZ45" s="59">
        <f t="shared" si="42"/>
        <v>209.65224013288037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</v>
      </c>
      <c r="DO45" s="12">
        <f>IF('Données projet'!$A$166&gt;35,DO44+DN45-DW44,IF(A45&lt;'Données projet'!$A$166,$DL$205^A45,IF(A45='Données projet'!$A$166,'Données projet'!$B$166,DO44+DN45-DW44)))</f>
        <v>174.00000000000003</v>
      </c>
      <c r="DP45" s="17">
        <f>DO45*VLOOKUP('Données projet'!$B$14,Paramètres!$A$1:$I$89,3,0)*VLOOKUP('Données projet'!$B$14,Paramètres!$A$1:$I$89,5,0)</f>
        <v>181.86480000000006</v>
      </c>
      <c r="DQ45" s="13">
        <f t="shared" si="43"/>
        <v>45.73682061391029</v>
      </c>
      <c r="DR45" s="20">
        <f t="shared" si="16"/>
        <v>396.40615590256056</v>
      </c>
      <c r="DS45" s="59">
        <f t="shared" si="17"/>
        <v>689.73948923589387</v>
      </c>
      <c r="DT45" s="59">
        <f ca="1">AVERAGE(OFFSET($DS$3,0,0,'Données projet'!$E$14+1,1))-AVERAGE(OFFSET($H$3,0,0,'Données projet'!$E$14+1,1))</f>
        <v>330.14201227773452</v>
      </c>
      <c r="DU45" s="59">
        <f t="shared" si="44"/>
        <v>307.07297894926467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11.822856814913676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11.822856814913676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7.4</v>
      </c>
      <c r="EJ45" s="12">
        <f>IF('Données projet'!$A$192&gt;35,EJ44+EI45-ER44,IF(A45&lt;'Données projet'!$A$192,$EG$205^A45,IF(A45='Données projet'!$A$192,'Données projet'!$B$192,EJ44+EI45-ER44)))</f>
        <v>184.80000000000007</v>
      </c>
      <c r="EK45" s="17">
        <f>EJ45*VLOOKUP('Données projet'!$B$15,Paramètres!$A$1:$I$89,3,0)*VLOOKUP('Données projet'!$B$15,Paramètres!$A$1:$I$89,5,0)</f>
        <v>121.08096000000005</v>
      </c>
      <c r="EL45" s="13">
        <f t="shared" si="45"/>
        <v>31.92698372788707</v>
      </c>
      <c r="EM45" s="20">
        <f t="shared" si="19"/>
        <v>266.48883532607005</v>
      </c>
      <c r="EN45" s="59">
        <f t="shared" si="20"/>
        <v>559.82216865940336</v>
      </c>
      <c r="EO45" s="59">
        <f ca="1">AVERAGE(OFFSET($EN$3,0,0,'Données projet'!$E$15+1,1))-AVERAGE(OFFSET($H$3,0,0,'Données projet'!$E$15+1,1))</f>
        <v>183.30081488041924</v>
      </c>
      <c r="EP45" s="59">
        <f t="shared" si="46"/>
        <v>199.33099759570928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2.5307109102440046</v>
      </c>
      <c r="EX45" s="21">
        <f>EXP(-LN(2)/2)*EX44+(1-EXP(-LN(2)/2))/(LN(2)/2)*ER45*EU45*VLOOKUP('Données projet'!$B$15,Paramètres!$A$1:$I$89,3,0)*0.475*44/12</f>
        <v>2.8064369797021675</v>
      </c>
      <c r="EY45" s="22">
        <f t="shared" si="21"/>
        <v>5.3371478899461717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15.618681318681309</v>
      </c>
      <c r="N46" s="13">
        <f>IF('Données projet'!$A$36&gt;35,N45+M46-V45,IF(A46&lt;'Données projet'!$A$36,$K$205^A46,IF(A46='Données projet'!$A$36,'Données projet'!$B$36,N45+M46-V45)))</f>
        <v>246.14175824175837</v>
      </c>
      <c r="O46" s="13">
        <f>N46*VLOOKUP('Données projet'!$B$9,Paramètres!$A$1:$I$89,3,0)*VLOOKUP('Données projet'!$B$9,Paramètres!$A$1:$I$89,5,0)</f>
        <v>115.19434285714291</v>
      </c>
      <c r="P46" s="13">
        <f t="shared" si="33"/>
        <v>30.5515065129288</v>
      </c>
      <c r="Q46" s="20">
        <f t="shared" si="53"/>
        <v>253.84068765287489</v>
      </c>
      <c r="R46" s="59">
        <f t="shared" si="0"/>
        <v>547.17402098620823</v>
      </c>
      <c r="S46" s="59">
        <f ca="1">AVERAGE(OFFSET($R$3,0,0,'Données projet'!$E$9+1,1))-AVERAGE(OFFSET($H$3,0,0,'Données projet'!$E$9+1,1))</f>
        <v>205.73717397588365</v>
      </c>
      <c r="T46" s="59">
        <f t="shared" si="34"/>
        <v>190.64998698136026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33.31743219572801</v>
      </c>
      <c r="AB46" s="21">
        <f>EXP(-LN(2)/2)*AB45+(1-EXP(-LN(2)/2))/(LN(2)/2)*V46*Y46*VLOOKUP('Données projet'!$B$9,Paramètres!$A$1:$I$89,3,0)*0.475*44/12</f>
        <v>29.649694673872162</v>
      </c>
      <c r="AC46" s="22">
        <f t="shared" si="3"/>
        <v>62.967126869600172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283.73369613548124</v>
      </c>
      <c r="AO46" s="59">
        <f t="shared" si="36"/>
        <v>249.77804091581208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21.625641025641034</v>
      </c>
      <c r="BD46" s="12">
        <f>IF('Données projet'!$A$88&gt;35,BD45+BC46-BL45,IF(A46&lt;'Données projet'!$A$88,$BA$205^A46,IF(A46='Données projet'!$A$88,'Données projet'!$B$88,BD45+BC46-BL45)))</f>
        <v>416.95641025641021</v>
      </c>
      <c r="BE46" s="13">
        <f>BD46*VLOOKUP('Données projet'!$B$11,Paramètres!$A$1:$I$89,3,0)*VLOOKUP('Données projet'!$B$11,Paramètres!$A$1:$I$89,5,0)</f>
        <v>233.0786333333333</v>
      </c>
      <c r="BF46" s="13">
        <f t="shared" si="37"/>
        <v>56.947838023653489</v>
      </c>
      <c r="BG46" s="20">
        <f t="shared" si="7"/>
        <v>505.1294376134187</v>
      </c>
      <c r="BH46" s="59">
        <f t="shared" si="8"/>
        <v>798.46277094675202</v>
      </c>
      <c r="BI46" s="59">
        <f ca="1">AVERAGE(OFFSET($BH$3,0,0,'Données projet'!$E$11+1,1))-AVERAGE(OFFSET($H$3,0,0,'Données projet'!$E$11+1,1))</f>
        <v>278.5296012747549</v>
      </c>
      <c r="BJ46" s="59">
        <f t="shared" si="38"/>
        <v>370.55343097937077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60.619203253790985</v>
      </c>
      <c r="BQ46" s="21">
        <f>EXP(-LN(2)/25)*BQ45+(1-EXP(-LN(2)/25))/(LN(2)/25)*Calculateur!BL46*Calculateur!BN46*VLOOKUP('Données projet'!$B$11,Paramètres!$A$1:$I$89,3,0)*0.475*44/12</f>
        <v>21.493231928309974</v>
      </c>
      <c r="BR46" s="21">
        <f>EXP(-LN(2)/2)*BR45+(1-EXP(-LN(2)/2))/(LN(2)/2)*BL46*BO46*VLOOKUP('Données projet'!$B$11,Paramètres!$A$1:$I$89,3,0)*0.475*44/12</f>
        <v>4.9162856184979935</v>
      </c>
      <c r="BS46" s="22">
        <f t="shared" si="9"/>
        <v>87.028720800598961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-5.6843418860808015E-14</v>
      </c>
      <c r="BZ46" s="13">
        <f>BY46*VLOOKUP('Données projet'!$B$12,Paramètres!$A$1:$I$89,3,0)*VLOOKUP('Données projet'!$B$12,Paramètres!$A$1:$I$89,5,0)</f>
        <v>-3.1036506698001178E-14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159.92263609041913</v>
      </c>
      <c r="CE46" s="59">
        <f t="shared" si="40"/>
        <v>271.78119133009307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63.549698128799236</v>
      </c>
      <c r="CL46" s="21">
        <f>EXP(-LN(2)/25)*CL45+(1-EXP(-LN(2)/25))/(LN(2)/25)*Calculateur!CG46*Calculateur!CI46*VLOOKUP('Données projet'!$B$12,Paramètres!$A$1:$I$89,3,0)*0.475*44/12</f>
        <v>137.95830330392022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201.50800143271945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9.3452380952380913</v>
      </c>
      <c r="CT46" s="12">
        <f>IF('Données projet'!$A$140&gt;35,CT45+CS46-DB45,IF(A46&lt;'Données projet'!$A$140,$CQ$205^A46,IF(A46='Données projet'!$A$140,'Données projet'!$B$140,CT45+CS46-DB45)))</f>
        <v>137.62637362637369</v>
      </c>
      <c r="CU46" s="17">
        <f>CT46*VLOOKUP('Données projet'!$B$13,Paramètres!$A$1:$I$89,3,0)*VLOOKUP('Données projet'!$B$13,Paramètres!$A$1:$I$89,5,0)</f>
        <v>124.52434285714291</v>
      </c>
      <c r="CV46" s="13">
        <f t="shared" si="41"/>
        <v>32.727944326790649</v>
      </c>
      <c r="CW46" s="20">
        <f t="shared" si="13"/>
        <v>273.88106684535092</v>
      </c>
      <c r="CX46" s="59">
        <f t="shared" si="14"/>
        <v>567.21440017868417</v>
      </c>
      <c r="CY46" s="59">
        <f ca="1">AVERAGE(OFFSET($CX$3,0,0,'Données projet'!$E$13+1,1))-AVERAGE(OFFSET($H$3,0,0,'Données projet'!$E$13+1,1))</f>
        <v>280.25710840677186</v>
      </c>
      <c r="CZ46" s="59">
        <f t="shared" si="42"/>
        <v>209.65224013288037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</v>
      </c>
      <c r="DO46" s="12">
        <f>IF('Données projet'!$A$166&gt;35,DO45+DN46-DW45,IF(A46&lt;'Données projet'!$A$166,$DL$205^A46,IF(A46='Données projet'!$A$166,'Données projet'!$B$166,DO45+DN46-DW45)))</f>
        <v>182.00000000000003</v>
      </c>
      <c r="DP46" s="17">
        <f>DO46*VLOOKUP('Données projet'!$B$14,Paramètres!$A$1:$I$89,3,0)*VLOOKUP('Données projet'!$B$14,Paramètres!$A$1:$I$89,5,0)</f>
        <v>190.22640000000004</v>
      </c>
      <c r="DQ46" s="13">
        <f t="shared" si="43"/>
        <v>47.590003207063162</v>
      </c>
      <c r="DR46" s="20">
        <f t="shared" si="16"/>
        <v>414.19690225230175</v>
      </c>
      <c r="DS46" s="59">
        <f t="shared" si="17"/>
        <v>707.53023558563507</v>
      </c>
      <c r="DT46" s="59">
        <f ca="1">AVERAGE(OFFSET($DS$3,0,0,'Données projet'!$E$14+1,1))-AVERAGE(OFFSET($H$3,0,0,'Données projet'!$E$14+1,1))</f>
        <v>330.14201227773452</v>
      </c>
      <c r="DU46" s="59">
        <f t="shared" si="44"/>
        <v>307.07297894926467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11.499560173572844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11.499560173572844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7.4</v>
      </c>
      <c r="EJ46" s="12">
        <f>IF('Données projet'!$A$192&gt;35,EJ45+EI46-ER45,IF(A46&lt;'Données projet'!$A$192,$EG$205^A46,IF(A46='Données projet'!$A$192,'Données projet'!$B$192,EJ45+EI46-ER45)))</f>
        <v>192.20000000000007</v>
      </c>
      <c r="EK46" s="17">
        <f>EJ46*VLOOKUP('Données projet'!$B$15,Paramètres!$A$1:$I$89,3,0)*VLOOKUP('Données projet'!$B$15,Paramètres!$A$1:$I$89,5,0)</f>
        <v>125.92944000000006</v>
      </c>
      <c r="EL46" s="13">
        <f t="shared" si="45"/>
        <v>33.054038034052077</v>
      </c>
      <c r="EM46" s="20">
        <f t="shared" si="19"/>
        <v>276.89622424264081</v>
      </c>
      <c r="EN46" s="59">
        <f t="shared" si="20"/>
        <v>570.22955757597413</v>
      </c>
      <c r="EO46" s="59">
        <f ca="1">AVERAGE(OFFSET($EN$3,0,0,'Données projet'!$E$15+1,1))-AVERAGE(OFFSET($H$3,0,0,'Données projet'!$E$15+1,1))</f>
        <v>183.30081488041924</v>
      </c>
      <c r="EP46" s="59">
        <f t="shared" si="46"/>
        <v>199.33099759570928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2.4615084873190796</v>
      </c>
      <c r="EX46" s="21">
        <f>EXP(-LN(2)/2)*EX45+(1-EXP(-LN(2)/2))/(LN(2)/2)*ER46*EU46*VLOOKUP('Données projet'!$B$15,Paramètres!$A$1:$I$89,3,0)*0.475*44/12</f>
        <v>1.9844506193200961</v>
      </c>
      <c r="EY46" s="22">
        <f t="shared" si="21"/>
        <v>4.4459591066391759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15.618681318681309</v>
      </c>
      <c r="N47" s="13">
        <f>IF('Données projet'!$A$36&gt;35,N46+M47-V46,IF(A47&lt;'Données projet'!$A$36,$K$205^A47,IF(A47='Données projet'!$A$36,'Données projet'!$B$36,N46+M47-V46)))</f>
        <v>261.76043956043969</v>
      </c>
      <c r="O47" s="13">
        <f>N47*VLOOKUP('Données projet'!$B$9,Paramètres!$A$1:$I$89,3,0)*VLOOKUP('Données projet'!$B$9,Paramètres!$A$1:$I$89,5,0)</f>
        <v>122.50388571428577</v>
      </c>
      <c r="P47" s="13">
        <f t="shared" si="33"/>
        <v>32.258285776503719</v>
      </c>
      <c r="Q47" s="20">
        <f t="shared" si="53"/>
        <v>269.54411534645834</v>
      </c>
      <c r="R47" s="59">
        <f t="shared" si="0"/>
        <v>562.87744867979166</v>
      </c>
      <c r="S47" s="59">
        <f ca="1">AVERAGE(OFFSET($R$3,0,0,'Données projet'!$E$9+1,1))-AVERAGE(OFFSET($H$3,0,0,'Données projet'!$E$9+1,1))</f>
        <v>205.73717397588365</v>
      </c>
      <c r="T47" s="59">
        <f t="shared" si="34"/>
        <v>190.64998698136026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32.406365260248215</v>
      </c>
      <c r="AB47" s="21">
        <f>EXP(-LN(2)/2)*AB46+(1-EXP(-LN(2)/2))/(LN(2)/2)*V47*Y47*VLOOKUP('Données projet'!$B$9,Paramètres!$A$1:$I$89,3,0)*0.475*44/12</f>
        <v>20.965500164005668</v>
      </c>
      <c r="AC47" s="22">
        <f t="shared" si="3"/>
        <v>53.371865424253883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283.73369613548124</v>
      </c>
      <c r="AO47" s="59">
        <f t="shared" si="36"/>
        <v>249.77804091581208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21.625641025641034</v>
      </c>
      <c r="BD47" s="12">
        <f>IF('Données projet'!$A$88&gt;35,BD46+BC47-BL46,IF(A47&lt;'Données projet'!$A$88,$BA$205^A47,IF(A47='Données projet'!$A$88,'Données projet'!$B$88,BD46+BC47-BL46)))</f>
        <v>438.58205128205122</v>
      </c>
      <c r="BE47" s="13">
        <f>BD47*VLOOKUP('Données projet'!$B$11,Paramètres!$A$1:$I$89,3,0)*VLOOKUP('Données projet'!$B$11,Paramètres!$A$1:$I$89,5,0)</f>
        <v>245.16736666666665</v>
      </c>
      <c r="BF47" s="13">
        <f t="shared" si="37"/>
        <v>59.549932468183236</v>
      </c>
      <c r="BG47" s="20">
        <f t="shared" si="7"/>
        <v>530.71596265986352</v>
      </c>
      <c r="BH47" s="59">
        <f t="shared" si="8"/>
        <v>824.04929599319689</v>
      </c>
      <c r="BI47" s="59">
        <f ca="1">AVERAGE(OFFSET($BH$3,0,0,'Données projet'!$E$11+1,1))-AVERAGE(OFFSET($H$3,0,0,'Données projet'!$E$11+1,1))</f>
        <v>278.5296012747549</v>
      </c>
      <c r="BJ47" s="59">
        <f t="shared" si="38"/>
        <v>370.55343097937077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59.430497652047244</v>
      </c>
      <c r="BQ47" s="21">
        <f>EXP(-LN(2)/25)*BQ46+(1-EXP(-LN(2)/25))/(LN(2)/25)*Calculateur!BL47*Calculateur!BN47*VLOOKUP('Données projet'!$B$11,Paramètres!$A$1:$I$89,3,0)*0.475*44/12</f>
        <v>20.905498370950394</v>
      </c>
      <c r="BR47" s="21">
        <f>EXP(-LN(2)/2)*BR46+(1-EXP(-LN(2)/2))/(LN(2)/2)*BL47*BO47*VLOOKUP('Données projet'!$B$11,Paramètres!$A$1:$I$89,3,0)*0.475*44/12</f>
        <v>3.4763388990898312</v>
      </c>
      <c r="BS47" s="22">
        <f t="shared" si="9"/>
        <v>83.812334922087459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-5.6843418860808015E-14</v>
      </c>
      <c r="BZ47" s="13">
        <f>BY47*VLOOKUP('Données projet'!$B$12,Paramètres!$A$1:$I$89,3,0)*VLOOKUP('Données projet'!$B$12,Paramètres!$A$1:$I$89,5,0)</f>
        <v>-3.1036506698001178E-14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159.92263609041913</v>
      </c>
      <c r="CE47" s="59">
        <f t="shared" si="40"/>
        <v>271.78119133009307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62.303527309981959</v>
      </c>
      <c r="CL47" s="21">
        <f>EXP(-LN(2)/25)*CL46+(1-EXP(-LN(2)/25))/(LN(2)/25)*Calculateur!CG47*Calculateur!CI47*VLOOKUP('Données projet'!$B$12,Paramètres!$A$1:$I$89,3,0)*0.475*44/12</f>
        <v>134.18582624516264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196.48935355514459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9.3452380952380913</v>
      </c>
      <c r="CT47" s="12">
        <f>IF('Données projet'!$A$140&gt;35,CT46+CS47-DB46,IF(A47&lt;'Données projet'!$A$140,$CQ$205^A47,IF(A47='Données projet'!$A$140,'Données projet'!$B$140,CT46+CS47-DB46)))</f>
        <v>146.97161172161179</v>
      </c>
      <c r="CU47" s="17">
        <f>CT47*VLOOKUP('Données projet'!$B$13,Paramètres!$A$1:$I$89,3,0)*VLOOKUP('Données projet'!$B$13,Paramètres!$A$1:$I$89,5,0)</f>
        <v>132.97991428571436</v>
      </c>
      <c r="CV47" s="13">
        <f t="shared" si="41"/>
        <v>34.684019161942608</v>
      </c>
      <c r="CW47" s="20">
        <f t="shared" si="13"/>
        <v>292.01468408800253</v>
      </c>
      <c r="CX47" s="59">
        <f t="shared" si="14"/>
        <v>585.34801742133584</v>
      </c>
      <c r="CY47" s="59">
        <f ca="1">AVERAGE(OFFSET($CX$3,0,0,'Données projet'!$E$13+1,1))-AVERAGE(OFFSET($H$3,0,0,'Données projet'!$E$13+1,1))</f>
        <v>280.25710840677186</v>
      </c>
      <c r="CZ47" s="59">
        <f t="shared" si="42"/>
        <v>209.65224013288037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</v>
      </c>
      <c r="DO47" s="12">
        <f>IF('Données projet'!$A$166&gt;35,DO46+DN47-DW46,IF(A47&lt;'Données projet'!$A$166,$DL$205^A47,IF(A47='Données projet'!$A$166,'Données projet'!$B$166,DO46+DN47-DW46)))</f>
        <v>190.00000000000003</v>
      </c>
      <c r="DP47" s="17">
        <f>DO47*VLOOKUP('Données projet'!$B$14,Paramètres!$A$1:$I$89,3,0)*VLOOKUP('Données projet'!$B$14,Paramètres!$A$1:$I$89,5,0)</f>
        <v>198.58800000000005</v>
      </c>
      <c r="DQ47" s="13">
        <f t="shared" si="43"/>
        <v>49.433725020229176</v>
      </c>
      <c r="DR47" s="20">
        <f t="shared" si="16"/>
        <v>431.97117107689922</v>
      </c>
      <c r="DS47" s="59">
        <f t="shared" si="17"/>
        <v>725.30450441023254</v>
      </c>
      <c r="DT47" s="59">
        <f ca="1">AVERAGE(OFFSET($DS$3,0,0,'Données projet'!$E$14+1,1))-AVERAGE(OFFSET($H$3,0,0,'Données projet'!$E$14+1,1))</f>
        <v>330.14201227773452</v>
      </c>
      <c r="DU47" s="59">
        <f t="shared" si="44"/>
        <v>307.07297894926467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11.185104095890907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11.185104095890907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7.4</v>
      </c>
      <c r="EJ47" s="12">
        <f>IF('Données projet'!$A$192&gt;35,EJ46+EI47-ER46,IF(A47&lt;'Données projet'!$A$192,$EG$205^A47,IF(A47='Données projet'!$A$192,'Données projet'!$B$192,EJ46+EI47-ER46)))</f>
        <v>199.60000000000008</v>
      </c>
      <c r="EK47" s="17">
        <f>EJ47*VLOOKUP('Données projet'!$B$15,Paramètres!$A$1:$I$89,3,0)*VLOOKUP('Données projet'!$B$15,Paramètres!$A$1:$I$89,5,0)</f>
        <v>130.77792000000005</v>
      </c>
      <c r="EL47" s="13">
        <f t="shared" si="45"/>
        <v>34.176051340149542</v>
      </c>
      <c r="EM47" s="20">
        <f t="shared" si="19"/>
        <v>287.29483341742718</v>
      </c>
      <c r="EN47" s="59">
        <f t="shared" si="20"/>
        <v>580.62816675076056</v>
      </c>
      <c r="EO47" s="59">
        <f ca="1">AVERAGE(OFFSET($EN$3,0,0,'Données projet'!$E$15+1,1))-AVERAGE(OFFSET($H$3,0,0,'Données projet'!$E$15+1,1))</f>
        <v>183.30081488041924</v>
      </c>
      <c r="EP47" s="59">
        <f t="shared" si="46"/>
        <v>199.33099759570928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2.3941984082882337</v>
      </c>
      <c r="EX47" s="21">
        <f>EXP(-LN(2)/2)*EX46+(1-EXP(-LN(2)/2))/(LN(2)/2)*ER47*EU47*VLOOKUP('Données projet'!$B$15,Paramètres!$A$1:$I$89,3,0)*0.475*44/12</f>
        <v>1.403218489851084</v>
      </c>
      <c r="EY47" s="22">
        <f t="shared" si="21"/>
        <v>3.7974168981393177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15.618681318681309</v>
      </c>
      <c r="N48" s="13">
        <f>IF('Données projet'!$A$36&gt;35,N47+M48-V47,IF(A48&lt;'Données projet'!$A$36,$K$205^A48,IF(A48='Données projet'!$A$36,'Données projet'!$B$36,N47+M48-V47)))</f>
        <v>277.37912087912099</v>
      </c>
      <c r="O48" s="13">
        <f>N48*VLOOKUP('Données projet'!$B$9,Paramètres!$A$1:$I$89,3,0)*VLOOKUP('Données projet'!$B$9,Paramètres!$A$1:$I$89,5,0)</f>
        <v>129.81342857142863</v>
      </c>
      <c r="P48" s="13">
        <f t="shared" si="33"/>
        <v>33.953244550224326</v>
      </c>
      <c r="Q48" s="20">
        <f t="shared" si="53"/>
        <v>285.22695568687891</v>
      </c>
      <c r="R48" s="59">
        <f t="shared" si="0"/>
        <v>578.56028902021217</v>
      </c>
      <c r="S48" s="59">
        <f ca="1">AVERAGE(OFFSET($R$3,0,0,'Données projet'!$E$9+1,1))-AVERAGE(OFFSET($H$3,0,0,'Données projet'!$E$9+1,1))</f>
        <v>205.73717397588365</v>
      </c>
      <c r="T48" s="59">
        <f t="shared" si="34"/>
        <v>190.64998698136026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31.520211498030044</v>
      </c>
      <c r="AB48" s="21">
        <f>EXP(-LN(2)/2)*AB47+(1-EXP(-LN(2)/2))/(LN(2)/2)*V48*Y48*VLOOKUP('Données projet'!$B$9,Paramètres!$A$1:$I$89,3,0)*0.475*44/12</f>
        <v>14.824847336936083</v>
      </c>
      <c r="AC48" s="22">
        <f t="shared" si="3"/>
        <v>46.345058834966125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283.73369613548124</v>
      </c>
      <c r="AO48" s="59">
        <f t="shared" si="36"/>
        <v>249.77804091581208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21.625641025641034</v>
      </c>
      <c r="BD48" s="12">
        <f>IF('Données projet'!$A$88&gt;35,BD47+BC48-BL47,IF(A48&lt;'Données projet'!$A$88,$BA$205^A48,IF(A48='Données projet'!$A$88,'Données projet'!$B$88,BD47+BC48-BL47)))</f>
        <v>460.20769230769224</v>
      </c>
      <c r="BE48" s="13">
        <f>BD48*VLOOKUP('Données projet'!$B$11,Paramètres!$A$1:$I$89,3,0)*VLOOKUP('Données projet'!$B$11,Paramètres!$A$1:$I$89,5,0)</f>
        <v>257.25609999999995</v>
      </c>
      <c r="BF48" s="13">
        <f t="shared" si="37"/>
        <v>62.137128695600659</v>
      </c>
      <c r="BG48" s="20">
        <f t="shared" si="7"/>
        <v>556.27653997817106</v>
      </c>
      <c r="BH48" s="59">
        <f t="shared" si="8"/>
        <v>849.60987331150432</v>
      </c>
      <c r="BI48" s="59">
        <f ca="1">AVERAGE(OFFSET($BH$3,0,0,'Données projet'!$E$11+1,1))-AVERAGE(OFFSET($H$3,0,0,'Données projet'!$E$11+1,1))</f>
        <v>278.5296012747549</v>
      </c>
      <c r="BJ48" s="59">
        <f t="shared" si="38"/>
        <v>370.55343097937077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58.265101842114873</v>
      </c>
      <c r="BQ48" s="21">
        <f>EXP(-LN(2)/25)*BQ47+(1-EXP(-LN(2)/25))/(LN(2)/25)*Calculateur!BL48*Calculateur!BN48*VLOOKUP('Données projet'!$B$11,Paramètres!$A$1:$I$89,3,0)*0.475*44/12</f>
        <v>20.333836418624376</v>
      </c>
      <c r="BR48" s="21">
        <f>EXP(-LN(2)/2)*BR47+(1-EXP(-LN(2)/2))/(LN(2)/2)*BL48*BO48*VLOOKUP('Données projet'!$B$11,Paramètres!$A$1:$I$89,3,0)*0.475*44/12</f>
        <v>2.4581428092489968</v>
      </c>
      <c r="BS48" s="22">
        <f t="shared" si="9"/>
        <v>81.057081069988243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-5.6843418860808015E-14</v>
      </c>
      <c r="BZ48" s="13">
        <f>BY48*VLOOKUP('Données projet'!$B$12,Paramètres!$A$1:$I$89,3,0)*VLOOKUP('Données projet'!$B$12,Paramètres!$A$1:$I$89,5,0)</f>
        <v>-3.1036506698001178E-14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159.92263609041913</v>
      </c>
      <c r="CE48" s="59">
        <f t="shared" si="40"/>
        <v>271.78119133009307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61.081793140832545</v>
      </c>
      <c r="CL48" s="21">
        <f>EXP(-LN(2)/25)*CL47+(1-EXP(-LN(2)/25))/(LN(2)/25)*Calculateur!CG48*Calculateur!CI48*VLOOKUP('Données projet'!$B$12,Paramètres!$A$1:$I$89,3,0)*0.475*44/12</f>
        <v>130.51650776996274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191.59830091079527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9.3452380952380913</v>
      </c>
      <c r="CT48" s="12">
        <f>IF('Données projet'!$A$140&gt;35,CT47+CS48-DB47,IF(A48&lt;'Données projet'!$A$140,$CQ$205^A48,IF(A48='Données projet'!$A$140,'Données projet'!$B$140,CT47+CS48-DB47)))</f>
        <v>156.3168498168499</v>
      </c>
      <c r="CU48" s="17">
        <f>CT48*VLOOKUP('Données projet'!$B$13,Paramètres!$A$1:$I$89,3,0)*VLOOKUP('Données projet'!$B$13,Paramètres!$A$1:$I$89,5,0)</f>
        <v>141.43548571428576</v>
      </c>
      <c r="CV48" s="13">
        <f t="shared" si="41"/>
        <v>36.625659617511197</v>
      </c>
      <c r="CW48" s="20">
        <f t="shared" si="13"/>
        <v>310.12316145287969</v>
      </c>
      <c r="CX48" s="59">
        <f t="shared" si="14"/>
        <v>603.45649478621294</v>
      </c>
      <c r="CY48" s="59">
        <f ca="1">AVERAGE(OFFSET($CX$3,0,0,'Données projet'!$E$13+1,1))-AVERAGE(OFFSET($H$3,0,0,'Données projet'!$E$13+1,1))</f>
        <v>280.25710840677186</v>
      </c>
      <c r="CZ48" s="59">
        <f t="shared" si="42"/>
        <v>209.65224013288037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198</v>
      </c>
      <c r="DM48" s="12">
        <f>VLOOKUP(A48,'Données projet'!$A$165:$I$185,9,0)</f>
        <v>8</v>
      </c>
      <c r="DN48" s="12">
        <f t="array" ref="DN48">INDEX(DM:DM,MIN(IF(ISNUMBER(DM48:DM244),ROW(DM48:DM244),"")))</f>
        <v>8</v>
      </c>
      <c r="DO48" s="12">
        <f>IF('Données projet'!$A$166&gt;35,DO47+DN48-DW47,IF(A48&lt;'Données projet'!$A$166,$DL$205^A48,IF(A48='Données projet'!$A$166,'Données projet'!$B$166,DO47+DN48-DW47)))</f>
        <v>198.00000000000003</v>
      </c>
      <c r="DP48" s="17">
        <f>DO48*VLOOKUP('Données projet'!$B$14,Paramètres!$A$1:$I$89,3,0)*VLOOKUP('Données projet'!$B$14,Paramètres!$A$1:$I$89,5,0)</f>
        <v>206.94960000000003</v>
      </c>
      <c r="DQ48" s="13">
        <f t="shared" si="43"/>
        <v>51.268429949375587</v>
      </c>
      <c r="DR48" s="20">
        <f t="shared" si="16"/>
        <v>449.72973549516246</v>
      </c>
      <c r="DS48" s="59">
        <f t="shared" si="17"/>
        <v>743.06306882849572</v>
      </c>
      <c r="DT48" s="59">
        <f ca="1">AVERAGE(OFFSET($DS$3,0,0,'Données projet'!$E$14+1,1))-AVERAGE(OFFSET($H$3,0,0,'Données projet'!$E$14+1,1))</f>
        <v>330.14201227773452</v>
      </c>
      <c r="DU48" s="59">
        <f t="shared" si="44"/>
        <v>307.07297894926467</v>
      </c>
      <c r="DV48" s="15">
        <f>IF(ISNA(VLOOKUP(A48,'Données projet'!$A$165:$I$185,3,0)),0,VLOOKUP(A48,'Données projet'!$A$165:$I$185,3,0))</f>
        <v>6</v>
      </c>
      <c r="DW48" s="15" t="str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0.17200000000000001</v>
      </c>
      <c r="DY48" s="16">
        <f>IF(ISNA(VLOOKUP(A48,'Données projet'!$A$165:$I$185,6,0)),0%,VLOOKUP(A48,'Données projet'!$A$165:$I$185,6,0)*VLOOKUP('Données projet'!$B$14,Paramètres!$A$1:$I$89,7,0))</f>
        <v>0.17200000000000001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5.1671171291560194</v>
      </c>
      <c r="EB48" s="21">
        <f>EXP(-LN(2)/25)*EB47+(1-EXP(-LN(2)/25))/(LN(2)/25)*Calculateur!DW48*Calculateur!DY48*VLOOKUP('Données projet'!$B$14,Paramètres!$A$1:$I$89,3,0)*0.475*44/12</f>
        <v>16.02601905638226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21.193136185538279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207</v>
      </c>
      <c r="EH48" s="12">
        <f>VLOOKUP(A48,'Données projet'!$A$191:$I$211,9,0)</f>
        <v>7.4</v>
      </c>
      <c r="EI48" s="12">
        <f t="array" ref="EI48">INDEX(EH:EH,MIN(IF(ISNUMBER(EH48:EH244),ROW(EH48:EH244),"")))</f>
        <v>7.4</v>
      </c>
      <c r="EJ48" s="12">
        <f>IF('Données projet'!$A$192&gt;35,EJ47+EI48-ER47,IF(A48&lt;'Données projet'!$A$192,$EG$205^A48,IF(A48='Données projet'!$A$192,'Données projet'!$B$192,EJ47+EI48-ER47)))</f>
        <v>207.00000000000009</v>
      </c>
      <c r="EK48" s="17">
        <f>EJ48*VLOOKUP('Données projet'!$B$15,Paramètres!$A$1:$I$89,3,0)*VLOOKUP('Données projet'!$B$15,Paramètres!$A$1:$I$89,5,0)</f>
        <v>135.62640000000005</v>
      </c>
      <c r="EL48" s="13">
        <f t="shared" si="45"/>
        <v>35.293231938598481</v>
      </c>
      <c r="EM48" s="20">
        <f t="shared" si="19"/>
        <v>297.68502562639242</v>
      </c>
      <c r="EN48" s="59">
        <f t="shared" si="20"/>
        <v>591.01835895972567</v>
      </c>
      <c r="EO48" s="59">
        <f ca="1">AVERAGE(OFFSET($EN$3,0,0,'Données projet'!$E$15+1,1))-AVERAGE(OFFSET($H$3,0,0,'Données projet'!$E$15+1,1))</f>
        <v>183.30081488041924</v>
      </c>
      <c r="EP48" s="59">
        <f t="shared" si="46"/>
        <v>199.33099759570928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25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0.129</v>
      </c>
      <c r="EU48" s="16">
        <f>IF(ISNA(VLOOKUP(A48,'Données projet'!$A$191:$I$211,7,0)),0%,VLOOKUP(A48,'Données projet'!$A$191:$I$211,7,0))</f>
        <v>0.3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4.6554126946473398</v>
      </c>
      <c r="EX48" s="21">
        <f>EXP(-LN(2)/2)*EX47+(1-EXP(-LN(2)/2))/(LN(2)/2)*ER48*EU48*VLOOKUP('Données projet'!$B$15,Paramètres!$A$1:$I$89,3,0)*0.475*44/12</f>
        <v>5.6287165680309252</v>
      </c>
      <c r="EY48" s="22">
        <f t="shared" si="21"/>
        <v>10.284129262678265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15.618681318681309</v>
      </c>
      <c r="N49" s="13">
        <f>IF('Données projet'!$A$36&gt;35,N48+M49-V48,IF(A49&lt;'Données projet'!$A$36,$K$205^A49,IF(A49='Données projet'!$A$36,'Données projet'!$B$36,N48+M49-V48)))</f>
        <v>292.99780219780229</v>
      </c>
      <c r="O49" s="13">
        <f>N49*VLOOKUP('Données projet'!$B$9,Paramètres!$A$1:$I$89,3,0)*VLOOKUP('Données projet'!$B$9,Paramètres!$A$1:$I$89,5,0)</f>
        <v>137.12297142857147</v>
      </c>
      <c r="P49" s="13">
        <f t="shared" si="33"/>
        <v>35.63712427284996</v>
      </c>
      <c r="Q49" s="20">
        <f t="shared" si="53"/>
        <v>300.89050001330901</v>
      </c>
      <c r="R49" s="59">
        <f t="shared" si="0"/>
        <v>594.22383334664232</v>
      </c>
      <c r="S49" s="59">
        <f ca="1">AVERAGE(OFFSET($R$3,0,0,'Données projet'!$E$9+1,1))-AVERAGE(OFFSET($H$3,0,0,'Données projet'!$E$9+1,1))</f>
        <v>205.73717397588365</v>
      </c>
      <c r="T49" s="59">
        <f t="shared" si="34"/>
        <v>190.64998698136026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30.65828965704053</v>
      </c>
      <c r="AB49" s="21">
        <f>EXP(-LN(2)/2)*AB48+(1-EXP(-LN(2)/2))/(LN(2)/2)*V49*Y49*VLOOKUP('Données projet'!$B$9,Paramètres!$A$1:$I$89,3,0)*0.475*44/12</f>
        <v>10.482750082002836</v>
      </c>
      <c r="AC49" s="22">
        <f t="shared" si="3"/>
        <v>41.141039739043364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283.73369613548124</v>
      </c>
      <c r="AO49" s="59">
        <f t="shared" si="36"/>
        <v>249.77804091581208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21.625641025641034</v>
      </c>
      <c r="BD49" s="12">
        <f>IF('Données projet'!$A$88&gt;35,BD48+BC49-BL48,IF(A49&lt;'Données projet'!$A$88,$BA$205^A49,IF(A49='Données projet'!$A$88,'Données projet'!$B$88,BD48+BC49-BL48)))</f>
        <v>481.83333333333326</v>
      </c>
      <c r="BE49" s="13">
        <f>BD49*VLOOKUP('Données projet'!$B$11,Paramètres!$A$1:$I$89,3,0)*VLOOKUP('Données projet'!$B$11,Paramètres!$A$1:$I$89,5,0)</f>
        <v>269.34483333333333</v>
      </c>
      <c r="BF49" s="13">
        <f t="shared" si="37"/>
        <v>64.710206731812576</v>
      </c>
      <c r="BG49" s="20">
        <f t="shared" si="7"/>
        <v>581.81252811346246</v>
      </c>
      <c r="BH49" s="59">
        <f t="shared" si="8"/>
        <v>875.14586144679583</v>
      </c>
      <c r="BI49" s="59">
        <f ca="1">AVERAGE(OFFSET($BH$3,0,0,'Données projet'!$E$11+1,1))-AVERAGE(OFFSET($H$3,0,0,'Données projet'!$E$11+1,1))</f>
        <v>278.5296012747549</v>
      </c>
      <c r="BJ49" s="59">
        <f t="shared" si="38"/>
        <v>370.55343097937077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57.122558733194019</v>
      </c>
      <c r="BQ49" s="21">
        <f>EXP(-LN(2)/25)*BQ48+(1-EXP(-LN(2)/25))/(LN(2)/25)*Calculateur!BL49*Calculateur!BN49*VLOOKUP('Données projet'!$B$11,Paramètres!$A$1:$I$89,3,0)*0.475*44/12</f>
        <v>19.77780659244711</v>
      </c>
      <c r="BR49" s="21">
        <f>EXP(-LN(2)/2)*BR48+(1-EXP(-LN(2)/2))/(LN(2)/2)*BL49*BO49*VLOOKUP('Données projet'!$B$11,Paramètres!$A$1:$I$89,3,0)*0.475*44/12</f>
        <v>1.7381694495449156</v>
      </c>
      <c r="BS49" s="22">
        <f t="shared" si="9"/>
        <v>78.638534775186045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-5.6843418860808015E-14</v>
      </c>
      <c r="BZ49" s="13">
        <f>BY49*VLOOKUP('Données projet'!$B$12,Paramètres!$A$1:$I$89,3,0)*VLOOKUP('Données projet'!$B$12,Paramètres!$A$1:$I$89,5,0)</f>
        <v>-3.1036506698001178E-14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159.92263609041913</v>
      </c>
      <c r="CE49" s="59">
        <f t="shared" si="40"/>
        <v>271.78119133009307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59.884016433555892</v>
      </c>
      <c r="CL49" s="21">
        <f>EXP(-LN(2)/25)*CL48+(1-EXP(-LN(2)/25))/(LN(2)/25)*Calculateur!CG49*Calculateur!CI49*VLOOKUP('Données projet'!$B$12,Paramètres!$A$1:$I$89,3,0)*0.475*44/12</f>
        <v>126.94752700142827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186.83154343498416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9.3452380952380913</v>
      </c>
      <c r="CT49" s="12">
        <f>IF('Données projet'!$A$140&gt;35,CT48+CS49-DB48,IF(A49&lt;'Données projet'!$A$140,$CQ$205^A49,IF(A49='Données projet'!$A$140,'Données projet'!$B$140,CT48+CS49-DB48)))</f>
        <v>165.662087912088</v>
      </c>
      <c r="CU49" s="17">
        <f>CT49*VLOOKUP('Données projet'!$B$13,Paramètres!$A$1:$I$89,3,0)*VLOOKUP('Données projet'!$B$13,Paramètres!$A$1:$I$89,5,0)</f>
        <v>149.89105714285722</v>
      </c>
      <c r="CV49" s="13">
        <f t="shared" si="41"/>
        <v>38.553826918856579</v>
      </c>
      <c r="CW49" s="20">
        <f t="shared" si="13"/>
        <v>328.20817307415149</v>
      </c>
      <c r="CX49" s="59">
        <f t="shared" si="14"/>
        <v>621.5415064074848</v>
      </c>
      <c r="CY49" s="59">
        <f ca="1">AVERAGE(OFFSET($CX$3,0,0,'Données projet'!$E$13+1,1))-AVERAGE(OFFSET($H$3,0,0,'Données projet'!$E$13+1,1))</f>
        <v>280.25710840677186</v>
      </c>
      <c r="CZ49" s="59">
        <f t="shared" si="42"/>
        <v>209.65224013288037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7.4</v>
      </c>
      <c r="DO49" s="12">
        <f>IF('Données projet'!$A$166&gt;35,DO48+DN49-DW48,IF(A49&lt;'Données projet'!$A$166,$DL$205^A49,IF(A49='Données projet'!$A$166,'Données projet'!$B$166,DO48+DN49-DW48)))</f>
        <v>179.40000000000003</v>
      </c>
      <c r="DP49" s="17">
        <f>DO49*VLOOKUP('Données projet'!$B$14,Paramètres!$A$1:$I$89,3,0)*VLOOKUP('Données projet'!$B$14,Paramètres!$A$1:$I$89,5,0)</f>
        <v>187.50888000000006</v>
      </c>
      <c r="DQ49" s="13">
        <f t="shared" si="43"/>
        <v>46.988779262414276</v>
      </c>
      <c r="DR49" s="20">
        <f t="shared" si="16"/>
        <v>408.416756548705</v>
      </c>
      <c r="DS49" s="59">
        <f t="shared" si="17"/>
        <v>701.75008988203831</v>
      </c>
      <c r="DT49" s="59">
        <f ca="1">AVERAGE(OFFSET($DS$3,0,0,'Données projet'!$E$14+1,1))-AVERAGE(OFFSET($H$3,0,0,'Données projet'!$E$14+1,1))</f>
        <v>330.14201227773452</v>
      </c>
      <c r="DU49" s="59">
        <f t="shared" si="44"/>
        <v>307.07297894926467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5.0657931138835206</v>
      </c>
      <c r="EB49" s="21">
        <f>EXP(-LN(2)/25)*EB48+(1-EXP(-LN(2)/25))/(LN(2)/25)*Calculateur!DW49*Calculateur!DY49*VLOOKUP('Données projet'!$B$14,Paramètres!$A$1:$I$89,3,0)*0.475*44/12</f>
        <v>15.587786722513773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20.653579836397292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6.6</v>
      </c>
      <c r="EJ49" s="12">
        <f>IF('Données projet'!$A$192&gt;35,EJ48+EI49-ER48,IF(A49&lt;'Données projet'!$A$192,$EG$205^A49,IF(A49='Données projet'!$A$192,'Données projet'!$B$192,EJ48+EI49-ER48)))</f>
        <v>188.60000000000008</v>
      </c>
      <c r="EK49" s="17">
        <f>EJ49*VLOOKUP('Données projet'!$B$15,Paramètres!$A$1:$I$89,3,0)*VLOOKUP('Données projet'!$B$15,Paramètres!$A$1:$I$89,5,0)</f>
        <v>123.57072000000005</v>
      </c>
      <c r="EL49" s="13">
        <f t="shared" si="45"/>
        <v>32.506384557027701</v>
      </c>
      <c r="EM49" s="20">
        <f t="shared" si="19"/>
        <v>271.83429043682332</v>
      </c>
      <c r="EN49" s="59">
        <f t="shared" si="20"/>
        <v>565.16762377015664</v>
      </c>
      <c r="EO49" s="59">
        <f ca="1">AVERAGE(OFFSET($EN$3,0,0,'Données projet'!$E$15+1,1))-AVERAGE(OFFSET($H$3,0,0,'Données projet'!$E$15+1,1))</f>
        <v>183.30081488041924</v>
      </c>
      <c r="EP49" s="59">
        <f t="shared" si="46"/>
        <v>199.33099759570928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4.5281101896946945</v>
      </c>
      <c r="EX49" s="21">
        <f>EXP(-LN(2)/2)*EX48+(1-EXP(-LN(2)/2))/(LN(2)/2)*ER49*EU49*VLOOKUP('Données projet'!$B$15,Paramètres!$A$1:$I$89,3,0)*0.475*44/12</f>
        <v>3.9801036546317383</v>
      </c>
      <c r="EY49" s="22">
        <f t="shared" si="21"/>
        <v>8.5082138443264324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15.618681318681309</v>
      </c>
      <c r="N50" s="13">
        <f>IF('Données projet'!$A$36&gt;35,N49+M50-V49,IF(A50&lt;'Données projet'!$A$36,$K$205^A50,IF(A50='Données projet'!$A$36,'Données projet'!$B$36,N49+M50-V49)))</f>
        <v>308.61648351648358</v>
      </c>
      <c r="O50" s="13">
        <f>N50*VLOOKUP('Données projet'!$B$9,Paramètres!$A$1:$I$89,3,0)*VLOOKUP('Données projet'!$B$9,Paramètres!$A$1:$I$89,5,0)</f>
        <v>144.43251428571432</v>
      </c>
      <c r="P50" s="13">
        <f t="shared" si="33"/>
        <v>37.310582871696397</v>
      </c>
      <c r="Q50" s="20">
        <f t="shared" si="53"/>
        <v>316.5358942158237</v>
      </c>
      <c r="R50" s="59">
        <f t="shared" si="0"/>
        <v>609.86922754915702</v>
      </c>
      <c r="S50" s="59">
        <f ca="1">AVERAGE(OFFSET($R$3,0,0,'Données projet'!$E$9+1,1))-AVERAGE(OFFSET($H$3,0,0,'Données projet'!$E$9+1,1))</f>
        <v>205.73717397588365</v>
      </c>
      <c r="T50" s="59">
        <f t="shared" si="34"/>
        <v>190.64998698136026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29.819937114119373</v>
      </c>
      <c r="AB50" s="21">
        <f>EXP(-LN(2)/2)*AB49+(1-EXP(-LN(2)/2))/(LN(2)/2)*V50*Y50*VLOOKUP('Données projet'!$B$9,Paramètres!$A$1:$I$89,3,0)*0.475*44/12</f>
        <v>7.4124236684680431</v>
      </c>
      <c r="AC50" s="22">
        <f t="shared" si="3"/>
        <v>37.232360782587413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283.73369613548124</v>
      </c>
      <c r="AO50" s="59">
        <f t="shared" si="36"/>
        <v>249.77804091581208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21.625641025641034</v>
      </c>
      <c r="BD50" s="12">
        <f>IF('Données projet'!$A$88&gt;35,BD49+BC50-BL49,IF(A50&lt;'Données projet'!$A$88,$BA$205^A50,IF(A50='Données projet'!$A$88,'Données projet'!$B$88,BD49+BC50-BL49)))</f>
        <v>503.45897435897427</v>
      </c>
      <c r="BE50" s="13">
        <f>BD50*VLOOKUP('Données projet'!$B$11,Paramètres!$A$1:$I$89,3,0)*VLOOKUP('Données projet'!$B$11,Paramètres!$A$1:$I$89,5,0)</f>
        <v>281.43356666666659</v>
      </c>
      <c r="BF50" s="13">
        <f t="shared" si="37"/>
        <v>67.26987262617007</v>
      </c>
      <c r="BG50" s="20">
        <f t="shared" si="7"/>
        <v>607.32515676835726</v>
      </c>
      <c r="BH50" s="59">
        <f t="shared" si="8"/>
        <v>900.65849010169063</v>
      </c>
      <c r="BI50" s="59">
        <f ca="1">AVERAGE(OFFSET($BH$3,0,0,'Données projet'!$E$11+1,1))-AVERAGE(OFFSET($H$3,0,0,'Données projet'!$E$11+1,1))</f>
        <v>278.5296012747549</v>
      </c>
      <c r="BJ50" s="59">
        <f t="shared" si="38"/>
        <v>370.55343097937077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56.002420197756614</v>
      </c>
      <c r="BQ50" s="21">
        <f>EXP(-LN(2)/25)*BQ49+(1-EXP(-LN(2)/25))/(LN(2)/25)*Calculateur!BL50*Calculateur!BN50*VLOOKUP('Données projet'!$B$11,Paramètres!$A$1:$I$89,3,0)*0.475*44/12</f>
        <v>19.236981431106997</v>
      </c>
      <c r="BR50" s="21">
        <f>EXP(-LN(2)/2)*BR49+(1-EXP(-LN(2)/2))/(LN(2)/2)*BL50*BO50*VLOOKUP('Données projet'!$B$11,Paramètres!$A$1:$I$89,3,0)*0.475*44/12</f>
        <v>1.2290714046244984</v>
      </c>
      <c r="BS50" s="22">
        <f t="shared" si="9"/>
        <v>76.46847303348811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-5.6843418860808015E-14</v>
      </c>
      <c r="BZ50" s="13">
        <f>BY50*VLOOKUP('Données projet'!$B$12,Paramètres!$A$1:$I$89,3,0)*VLOOKUP('Données projet'!$B$12,Paramètres!$A$1:$I$89,5,0)</f>
        <v>-3.1036506698001178E-14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159.92263609041913</v>
      </c>
      <c r="CE50" s="59">
        <f t="shared" si="40"/>
        <v>271.78119133009307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58.709727396937275</v>
      </c>
      <c r="CL50" s="21">
        <f>EXP(-LN(2)/25)*CL49+(1-EXP(-LN(2)/25))/(LN(2)/25)*Calculateur!CG50*Calculateur!CI50*VLOOKUP('Données projet'!$B$12,Paramètres!$A$1:$I$89,3,0)*0.475*44/12</f>
        <v>123.47614019969392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182.1858675966312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9.3452380952380913</v>
      </c>
      <c r="CT50" s="12">
        <f>IF('Données projet'!$A$140&gt;35,CT49+CS50-DB49,IF(A50&lt;'Données projet'!$A$140,$CQ$205^A50,IF(A50='Données projet'!$A$140,'Données projet'!$B$140,CT49+CS50-DB49)))</f>
        <v>175.0073260073261</v>
      </c>
      <c r="CU50" s="17">
        <f>CT50*VLOOKUP('Données projet'!$B$13,Paramètres!$A$1:$I$89,3,0)*VLOOKUP('Données projet'!$B$13,Paramètres!$A$1:$I$89,5,0)</f>
        <v>158.34662857142865</v>
      </c>
      <c r="CV50" s="13">
        <f t="shared" si="41"/>
        <v>40.469367717876509</v>
      </c>
      <c r="CW50" s="20">
        <f t="shared" si="13"/>
        <v>346.2711935372065</v>
      </c>
      <c r="CX50" s="59">
        <f t="shared" si="14"/>
        <v>639.60452687053976</v>
      </c>
      <c r="CY50" s="59">
        <f ca="1">AVERAGE(OFFSET($CX$3,0,0,'Données projet'!$E$13+1,1))-AVERAGE(OFFSET($H$3,0,0,'Données projet'!$E$13+1,1))</f>
        <v>280.25710840677186</v>
      </c>
      <c r="CZ50" s="59">
        <f t="shared" si="42"/>
        <v>209.65224013288037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7.4</v>
      </c>
      <c r="DO50" s="12">
        <f>IF('Données projet'!$A$166&gt;35,DO49+DN50-DW49,IF(A50&lt;'Données projet'!$A$166,$DL$205^A50,IF(A50='Données projet'!$A$166,'Données projet'!$B$166,DO49+DN50-DW49)))</f>
        <v>186.80000000000004</v>
      </c>
      <c r="DP50" s="17">
        <f>DO50*VLOOKUP('Données projet'!$B$14,Paramètres!$A$1:$I$89,3,0)*VLOOKUP('Données projet'!$B$14,Paramètres!$A$1:$I$89,5,0)</f>
        <v>195.24336000000005</v>
      </c>
      <c r="DQ50" s="13">
        <f t="shared" si="43"/>
        <v>48.697342276114703</v>
      </c>
      <c r="DR50" s="20">
        <f t="shared" si="16"/>
        <v>424.86338979756653</v>
      </c>
      <c r="DS50" s="59">
        <f t="shared" si="17"/>
        <v>718.19672313089984</v>
      </c>
      <c r="DT50" s="59">
        <f ca="1">AVERAGE(OFFSET($DS$3,0,0,'Données projet'!$E$14+1,1))-AVERAGE(OFFSET($H$3,0,0,'Données projet'!$E$14+1,1))</f>
        <v>330.14201227773452</v>
      </c>
      <c r="DU50" s="59">
        <f t="shared" si="44"/>
        <v>307.07297894926467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4.9664560007489689</v>
      </c>
      <c r="EB50" s="21">
        <f>EXP(-LN(2)/25)*EB49+(1-EXP(-LN(2)/25))/(LN(2)/25)*Calculateur!DW50*Calculateur!DY50*VLOOKUP('Données projet'!$B$14,Paramètres!$A$1:$I$89,3,0)*0.475*44/12</f>
        <v>15.161537874860556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20.127993875609526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6.6</v>
      </c>
      <c r="EJ50" s="12">
        <f>IF('Données projet'!$A$192&gt;35,EJ49+EI50-ER49,IF(A50&lt;'Données projet'!$A$192,$EG$205^A50,IF(A50='Données projet'!$A$192,'Données projet'!$B$192,EJ49+EI50-ER49)))</f>
        <v>195.20000000000007</v>
      </c>
      <c r="EK50" s="17">
        <f>EJ50*VLOOKUP('Données projet'!$B$15,Paramètres!$A$1:$I$89,3,0)*VLOOKUP('Données projet'!$B$15,Paramètres!$A$1:$I$89,5,0)</f>
        <v>127.89504000000004</v>
      </c>
      <c r="EL50" s="13">
        <f t="shared" si="45"/>
        <v>33.509503727991913</v>
      </c>
      <c r="EM50" s="20">
        <f t="shared" si="19"/>
        <v>281.11291365958601</v>
      </c>
      <c r="EN50" s="59">
        <f t="shared" si="20"/>
        <v>574.44624699291933</v>
      </c>
      <c r="EO50" s="59">
        <f ca="1">AVERAGE(OFFSET($EN$3,0,0,'Données projet'!$E$15+1,1))-AVERAGE(OFFSET($H$3,0,0,'Données projet'!$E$15+1,1))</f>
        <v>183.30081488041924</v>
      </c>
      <c r="EP50" s="59">
        <f t="shared" si="46"/>
        <v>199.33099759570928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4.4042887784345277</v>
      </c>
      <c r="EX50" s="21">
        <f>EXP(-LN(2)/2)*EX49+(1-EXP(-LN(2)/2))/(LN(2)/2)*ER50*EU50*VLOOKUP('Données projet'!$B$15,Paramètres!$A$1:$I$89,3,0)*0.475*44/12</f>
        <v>2.8143582840154631</v>
      </c>
      <c r="EY50" s="22">
        <f t="shared" si="21"/>
        <v>7.2186470624499908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15.618681318681309</v>
      </c>
      <c r="N51" s="13">
        <f>IF('Données projet'!$A$36&gt;35,N50+M51-V50,IF(A51&lt;'Données projet'!$A$36,$K$205^A51,IF(A51='Données projet'!$A$36,'Données projet'!$B$36,N50+M51-V50)))</f>
        <v>324.23516483516488</v>
      </c>
      <c r="O51" s="13">
        <f>N51*VLOOKUP('Données projet'!$B$9,Paramètres!$A$1:$I$89,3,0)*VLOOKUP('Données projet'!$B$9,Paramètres!$A$1:$I$89,5,0)</f>
        <v>151.74205714285716</v>
      </c>
      <c r="P51" s="13">
        <f t="shared" si="33"/>
        <v>38.974207918733512</v>
      </c>
      <c r="Q51" s="20">
        <f t="shared" si="53"/>
        <v>332.16416164893707</v>
      </c>
      <c r="R51" s="59">
        <f t="shared" si="0"/>
        <v>625.49749498227038</v>
      </c>
      <c r="S51" s="59">
        <f ca="1">AVERAGE(OFFSET($R$3,0,0,'Données projet'!$E$9+1,1))-AVERAGE(OFFSET($H$3,0,0,'Données projet'!$E$9+1,1))</f>
        <v>205.73717397588365</v>
      </c>
      <c r="T51" s="59">
        <f t="shared" si="34"/>
        <v>190.64998698136026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29.00450936557144</v>
      </c>
      <c r="AB51" s="21">
        <f>EXP(-LN(2)/2)*AB50+(1-EXP(-LN(2)/2))/(LN(2)/2)*V51*Y51*VLOOKUP('Données projet'!$B$9,Paramètres!$A$1:$I$89,3,0)*0.475*44/12</f>
        <v>5.2413750410014188</v>
      </c>
      <c r="AC51" s="22">
        <f t="shared" si="3"/>
        <v>34.245884406572856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283.73369613548124</v>
      </c>
      <c r="AO51" s="59">
        <f t="shared" si="36"/>
        <v>249.77804091581208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525.0846153846154</v>
      </c>
      <c r="BB51" s="12">
        <f>VLOOKUP(A51,'Données projet'!$A$87:$I$107,9,0)</f>
        <v>21.625641025641034</v>
      </c>
      <c r="BC51" s="12">
        <f t="array" ref="BC51">INDEX(BB:BB,MIN(IF(ISNUMBER(BB51:BB247),ROW(BB51:BB247),"")))</f>
        <v>21.625641025641034</v>
      </c>
      <c r="BD51" s="12">
        <f>IF('Données projet'!$A$88&gt;35,BD50+BC51-BL50,IF(A51&lt;'Données projet'!$A$88,$BA$205^A51,IF(A51='Données projet'!$A$88,'Données projet'!$B$88,BD50+BC51-BL50)))</f>
        <v>525.08461538461529</v>
      </c>
      <c r="BE51" s="13">
        <f>BD51*VLOOKUP('Données projet'!$B$11,Paramètres!$A$1:$I$89,3,0)*VLOOKUP('Données projet'!$B$11,Paramètres!$A$1:$I$89,5,0)</f>
        <v>293.52229999999997</v>
      </c>
      <c r="BF51" s="13">
        <f t="shared" si="37"/>
        <v>69.816768342057628</v>
      </c>
      <c r="BG51" s="20">
        <f t="shared" si="7"/>
        <v>632.81554402908364</v>
      </c>
      <c r="BH51" s="59">
        <f t="shared" si="8"/>
        <v>926.1488773624169</v>
      </c>
      <c r="BI51" s="59">
        <f ca="1">AVERAGE(OFFSET($BH$3,0,0,'Données projet'!$E$11+1,1))-AVERAGE(OFFSET($H$3,0,0,'Données projet'!$E$11+1,1))</f>
        <v>278.5296012747549</v>
      </c>
      <c r="BJ51" s="59">
        <f t="shared" si="38"/>
        <v>370.55343097937077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81.330769230769235</v>
      </c>
      <c r="BM51" s="16">
        <f>IF(ISNA(VLOOKUP(A51,'Données projet'!$A$87:$I$107,5,0)),0%,VLOOKUP(A51,'Données projet'!$A$87:$I$107,5,0)*VLOOKUP('Données projet'!$B$11,Paramètres!$A$1:$I$89,7,0))</f>
        <v>0.38500000000000001</v>
      </c>
      <c r="BN51" s="16">
        <f>IF(ISNA(VLOOKUP(A51,'Données projet'!$A$87:$I$107,6,0)),0%,VLOOKUP(A51,'Données projet'!$A$87:$I$107,6,0)*VLOOKUP('Données projet'!$B$11,Paramètres!$A$1:$I$89,7,0))</f>
        <v>9.240000000000001E-2</v>
      </c>
      <c r="BO51" s="16">
        <f>IF(ISNA(VLOOKUP(A51,'Données projet'!$A$87:$I$107,7,0)),0%,VLOOKUP(A51,'Données projet'!$A$87:$I$107,7,0))</f>
        <v>0.13200000000000001</v>
      </c>
      <c r="BP51" s="21">
        <f>EXP(-LN(2)/35)*BP50+(1-EXP(-LN(2)/35))/(LN(2)/35)*BL51*BM51*VLOOKUP('Données projet'!$B$11,Paramètres!$A$1:$I$89,3,0)*0.475*44/12</f>
        <v>78.12390248786032</v>
      </c>
      <c r="BQ51" s="21">
        <f>EXP(-LN(2)/25)*BQ50+(1-EXP(-LN(2)/25))/(LN(2)/25)*Calculateur!BL51*Calculateur!BN51*VLOOKUP('Données projet'!$B$11,Paramètres!$A$1:$I$89,3,0)*0.475*44/12</f>
        <v>24.261720592795644</v>
      </c>
      <c r="BR51" s="21">
        <f>EXP(-LN(2)/2)*BR50+(1-EXP(-LN(2)/2))/(LN(2)/2)*BL51*BO51*VLOOKUP('Données projet'!$B$11,Paramètres!$A$1:$I$89,3,0)*0.475*44/12</f>
        <v>7.6638765903722392</v>
      </c>
      <c r="BS51" s="22">
        <f t="shared" si="9"/>
        <v>110.0494996710282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-5.6843418860808015E-14</v>
      </c>
      <c r="BZ51" s="13">
        <f>BY51*VLOOKUP('Données projet'!$B$12,Paramètres!$A$1:$I$89,3,0)*VLOOKUP('Données projet'!$B$12,Paramètres!$A$1:$I$89,5,0)</f>
        <v>-3.1036506698001178E-14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159.92263609041913</v>
      </c>
      <c r="CE51" s="59">
        <f t="shared" si="40"/>
        <v>271.78119133009307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57.558465452081165</v>
      </c>
      <c r="CL51" s="21">
        <f>EXP(-LN(2)/25)*CL50+(1-EXP(-LN(2)/25))/(LN(2)/25)*Calculateur!CG51*Calculateur!CI51*VLOOKUP('Données projet'!$B$12,Paramètres!$A$1:$I$89,3,0)*0.475*44/12</f>
        <v>120.09967865260528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177.65814410468644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184.35256410256409</v>
      </c>
      <c r="CR51" s="12">
        <f>VLOOKUP(A51,'Données projet'!$A$139:$I$159,9,0)</f>
        <v>9.3452380952380913</v>
      </c>
      <c r="CS51" s="12">
        <f t="array" ref="CS51">INDEX(CR:CR,MIN(IF(ISNUMBER(CR51:CR247),ROW(CR51:CR247),"")))</f>
        <v>9.3452380952380913</v>
      </c>
      <c r="CT51" s="12">
        <f>IF('Données projet'!$A$140&gt;35,CT50+CS51-DB50,IF(A51&lt;'Données projet'!$A$140,$CQ$205^A51,IF(A51='Données projet'!$A$140,'Données projet'!$B$140,CT50+CS51-DB50)))</f>
        <v>184.3525641025642</v>
      </c>
      <c r="CU51" s="17">
        <f>CT51*VLOOKUP('Données projet'!$B$13,Paramètres!$A$1:$I$89,3,0)*VLOOKUP('Données projet'!$B$13,Paramètres!$A$1:$I$89,5,0)</f>
        <v>166.80220000000008</v>
      </c>
      <c r="CV51" s="13">
        <f t="shared" si="41"/>
        <v>42.373033138688463</v>
      </c>
      <c r="CW51" s="20">
        <f t="shared" si="13"/>
        <v>364.31353104988256</v>
      </c>
      <c r="CX51" s="59">
        <f t="shared" si="14"/>
        <v>657.64686438321587</v>
      </c>
      <c r="CY51" s="59">
        <f ca="1">AVERAGE(OFFSET($CX$3,0,0,'Données projet'!$E$13+1,1))-AVERAGE(OFFSET($H$3,0,0,'Données projet'!$E$13+1,1))</f>
        <v>280.25710840677186</v>
      </c>
      <c r="CZ51" s="59">
        <f t="shared" si="42"/>
        <v>209.65224013288037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48.025641025641022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7.4</v>
      </c>
      <c r="DO51" s="12">
        <f>IF('Données projet'!$A$166&gt;35,DO50+DN51-DW50,IF(A51&lt;'Données projet'!$A$166,$DL$205^A51,IF(A51='Données projet'!$A$166,'Données projet'!$B$166,DO50+DN51-DW50)))</f>
        <v>194.20000000000005</v>
      </c>
      <c r="DP51" s="17">
        <f>DO51*VLOOKUP('Données projet'!$B$14,Paramètres!$A$1:$I$89,3,0)*VLOOKUP('Données projet'!$B$14,Paramètres!$A$1:$I$89,5,0)</f>
        <v>202.97784000000007</v>
      </c>
      <c r="DQ51" s="13">
        <f t="shared" si="43"/>
        <v>50.398042839657315</v>
      </c>
      <c r="DR51" s="20">
        <f t="shared" si="16"/>
        <v>441.29632927906988</v>
      </c>
      <c r="DS51" s="59">
        <f t="shared" si="17"/>
        <v>734.62966261240319</v>
      </c>
      <c r="DT51" s="59">
        <f ca="1">AVERAGE(OFFSET($DS$3,0,0,'Données projet'!$E$14+1,1))-AVERAGE(OFFSET($H$3,0,0,'Données projet'!$E$14+1,1))</f>
        <v>330.14201227773452</v>
      </c>
      <c r="DU51" s="59">
        <f t="shared" si="44"/>
        <v>307.07297894926467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4.8690668278133291</v>
      </c>
      <c r="EB51" s="21">
        <f>EXP(-LN(2)/25)*EB50+(1-EXP(-LN(2)/25))/(LN(2)/25)*Calculateur!DW51*Calculateur!DY51*VLOOKUP('Données projet'!$B$14,Paramètres!$A$1:$I$89,3,0)*0.475*44/12</f>
        <v>14.74694482436187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19.616011652175199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6.6</v>
      </c>
      <c r="EJ51" s="12">
        <f>IF('Données projet'!$A$192&gt;35,EJ50+EI51-ER50,IF(A51&lt;'Données projet'!$A$192,$EG$205^A51,IF(A51='Données projet'!$A$192,'Données projet'!$B$192,EJ50+EI51-ER50)))</f>
        <v>201.80000000000007</v>
      </c>
      <c r="EK51" s="17">
        <f>EJ51*VLOOKUP('Données projet'!$B$15,Paramètres!$A$1:$I$89,3,0)*VLOOKUP('Données projet'!$B$15,Paramètres!$A$1:$I$89,5,0)</f>
        <v>132.21936000000005</v>
      </c>
      <c r="EL51" s="13">
        <f t="shared" si="45"/>
        <v>34.508681932648301</v>
      </c>
      <c r="EM51" s="20">
        <f t="shared" si="19"/>
        <v>290.3846730326959</v>
      </c>
      <c r="EN51" s="59">
        <f t="shared" si="20"/>
        <v>583.71800636602916</v>
      </c>
      <c r="EO51" s="59">
        <f ca="1">AVERAGE(OFFSET($EN$3,0,0,'Données projet'!$E$15+1,1))-AVERAGE(OFFSET($H$3,0,0,'Données projet'!$E$15+1,1))</f>
        <v>183.30081488041924</v>
      </c>
      <c r="EP51" s="59">
        <f t="shared" si="46"/>
        <v>199.33099759570928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4.2838532701767544</v>
      </c>
      <c r="EX51" s="21">
        <f>EXP(-LN(2)/2)*EX50+(1-EXP(-LN(2)/2))/(LN(2)/2)*ER51*EU51*VLOOKUP('Données projet'!$B$15,Paramètres!$A$1:$I$89,3,0)*0.475*44/12</f>
        <v>1.9900518273158696</v>
      </c>
      <c r="EY51" s="22">
        <f t="shared" si="21"/>
        <v>6.2739050974926238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339.85384615384612</v>
      </c>
      <c r="L52" s="12">
        <f>VLOOKUP(A52,'Données projet'!$A$35:$I$55,9,0)</f>
        <v>15.618681318681309</v>
      </c>
      <c r="M52" s="12">
        <f t="array" ref="M52">INDEX(L:L,MIN(IF(ISNUMBER(L52:L248),ROW(L52:L248),"")))</f>
        <v>15.618681318681309</v>
      </c>
      <c r="N52" s="13">
        <f>IF('Données projet'!$A$36&gt;35,N51+M52-V51,IF(A52&lt;'Données projet'!$A$36,$K$205^A52,IF(A52='Données projet'!$A$36,'Données projet'!$B$36,N51+M52-V51)))</f>
        <v>339.85384615384618</v>
      </c>
      <c r="O52" s="13">
        <f>N52*VLOOKUP('Données projet'!$B$9,Paramètres!$A$1:$I$89,3,0)*VLOOKUP('Données projet'!$B$9,Paramètres!$A$1:$I$89,5,0)</f>
        <v>159.05160000000001</v>
      </c>
      <c r="P52" s="13">
        <f t="shared" si="33"/>
        <v>40.628527179850586</v>
      </c>
      <c r="Q52" s="20">
        <f t="shared" si="53"/>
        <v>347.77622150490646</v>
      </c>
      <c r="R52" s="59">
        <f t="shared" si="0"/>
        <v>641.10955483823977</v>
      </c>
      <c r="S52" s="59">
        <f ca="1">AVERAGE(OFFSET($R$3,0,0,'Données projet'!$E$9+1,1))-AVERAGE(OFFSET($H$3,0,0,'Données projet'!$E$9+1,1))</f>
        <v>205.73717397588365</v>
      </c>
      <c r="T52" s="59">
        <f t="shared" si="34"/>
        <v>190.64998698136026</v>
      </c>
      <c r="U52" s="15">
        <f>IF(ISNA(VLOOKUP(A52,'Données projet'!$A$35:$I$55,3,0)),0,VLOOKUP(A52,'Données projet'!$A$35:$I$55,3,0))</f>
        <v>2</v>
      </c>
      <c r="V52" s="15">
        <f>IF(ISNA(VLOOKUP(A52,'Données projet'!$A$35:$I$55,4,0)),0,VLOOKUP(A52,'Données projet'!$A$35:$I$55,4,0))</f>
        <v>94.476923076923072</v>
      </c>
      <c r="W52" s="16">
        <f>IF(ISNA(VLOOKUP(A52,'Données projet'!$A$35:$I$55,5,0)),0%,VLOOKUP(A52,'Données projet'!$A$35:$I$55,5,0)*VLOOKUP('Données projet'!$B$9,Paramètres!$A$1:$I$89,7,0))</f>
        <v>0.38500000000000001</v>
      </c>
      <c r="X52" s="16">
        <f>IF(ISNA(VLOOKUP(A52,'Données projet'!$A$35:$I$55,6,0)),0%,VLOOKUP(A52,'Données projet'!$A$35:$I$55,6,0)*VLOOKUP('Données projet'!$B$9,Paramètres!$A$1:$I$89,7,0))</f>
        <v>9.240000000000001E-2</v>
      </c>
      <c r="Y52" s="16">
        <f>IF(ISNA(VLOOKUP(A52,'Données projet'!$A$35:$I$55,7,0)),0%,VLOOKUP(A52,'Données projet'!$A$35:$I$55,7,0))</f>
        <v>0.13200000000000001</v>
      </c>
      <c r="Z52" s="21">
        <f>EXP(-LN(2)/35)*Z51+(1-EXP(-LN(2)/35))/(LN(2)/35)*V52*W52*VLOOKUP('Données projet'!$B$9,Paramètres!$A$1:$I$89,3,0)*0.475*44/12</f>
        <v>22.581910393407885</v>
      </c>
      <c r="AA52" s="21">
        <f>EXP(-LN(2)/25)*AA51+(1-EXP(-LN(2)/25))/(LN(2)/25)*Calculateur!V52*Calculateur!X52*VLOOKUP('Données projet'!$B$9,Paramètres!$A$1:$I$89,3,0)*0.475*44/12</f>
        <v>33.609698765562619</v>
      </c>
      <c r="AB52" s="21">
        <f>EXP(-LN(2)/2)*AB51+(1-EXP(-LN(2)/2))/(LN(2)/2)*V52*Y52*VLOOKUP('Données projet'!$B$9,Paramètres!$A$1:$I$89,3,0)*0.475*44/12</f>
        <v>10.314379661804189</v>
      </c>
      <c r="AC52" s="22">
        <f t="shared" si="3"/>
        <v>66.505988820774689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283.73369613548124</v>
      </c>
      <c r="AO52" s="59">
        <f t="shared" si="36"/>
        <v>249.77804091581208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20.507692307692299</v>
      </c>
      <c r="BD52" s="12">
        <f>IF('Données projet'!$A$88&gt;35,BD51+BC52-BL51,IF(A52&lt;'Données projet'!$A$88,$BA$205^A52,IF(A52='Données projet'!$A$88,'Données projet'!$B$88,BD51+BC52-BL51)))</f>
        <v>464.26153846153835</v>
      </c>
      <c r="BE52" s="13">
        <f>BD52*VLOOKUP('Données projet'!$B$11,Paramètres!$A$1:$I$89,3,0)*VLOOKUP('Données projet'!$B$11,Paramètres!$A$1:$I$89,5,0)</f>
        <v>259.52219999999994</v>
      </c>
      <c r="BF52" s="13">
        <f t="shared" si="37"/>
        <v>62.620519404058925</v>
      </c>
      <c r="BG52" s="20">
        <f t="shared" si="7"/>
        <v>561.06523629540254</v>
      </c>
      <c r="BH52" s="59">
        <f t="shared" si="8"/>
        <v>854.39856962873591</v>
      </c>
      <c r="BI52" s="59">
        <f ca="1">AVERAGE(OFFSET($BH$3,0,0,'Données projet'!$E$11+1,1))-AVERAGE(OFFSET($H$3,0,0,'Données projet'!$E$11+1,1))</f>
        <v>278.5296012747549</v>
      </c>
      <c r="BJ52" s="59">
        <f t="shared" si="38"/>
        <v>370.55343097937077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76.591940410948766</v>
      </c>
      <c r="BQ52" s="21">
        <f>EXP(-LN(2)/25)*BQ51+(1-EXP(-LN(2)/25))/(LN(2)/25)*Calculateur!BL52*Calculateur!BN52*VLOOKUP('Données projet'!$B$11,Paramètres!$A$1:$I$89,3,0)*0.475*44/12</f>
        <v>23.598282567317213</v>
      </c>
      <c r="BR52" s="21">
        <f>EXP(-LN(2)/2)*BR51+(1-EXP(-LN(2)/2))/(LN(2)/2)*BL52*BO52*VLOOKUP('Données projet'!$B$11,Paramètres!$A$1:$I$89,3,0)*0.475*44/12</f>
        <v>5.4191791072290476</v>
      </c>
      <c r="BS52" s="22">
        <f t="shared" si="9"/>
        <v>105.60940208549502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-5.6843418860808015E-14</v>
      </c>
      <c r="BZ52" s="13">
        <f>BY52*VLOOKUP('Données projet'!$B$12,Paramètres!$A$1:$I$89,3,0)*VLOOKUP('Données projet'!$B$12,Paramètres!$A$1:$I$89,5,0)</f>
        <v>-3.1036506698001178E-14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159.92263609041913</v>
      </c>
      <c r="CE52" s="59">
        <f t="shared" si="40"/>
        <v>271.78119133009307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56.429779051763234</v>
      </c>
      <c r="CL52" s="21">
        <f>EXP(-LN(2)/25)*CL51+(1-EXP(-LN(2)/25))/(LN(2)/25)*Calculateur!CG52*Calculateur!CI52*VLOOKUP('Données projet'!$B$12,Paramètres!$A$1:$I$89,3,0)*0.475*44/12</f>
        <v>116.81554662408217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173.24532567584541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8.8736263736263741</v>
      </c>
      <c r="CT52" s="12">
        <f>IF('Données projet'!$A$140&gt;35,CT51+CS52-DB51,IF(A52&lt;'Données projet'!$A$140,$CQ$205^A52,IF(A52='Données projet'!$A$140,'Données projet'!$B$140,CT51+CS52-DB51)))</f>
        <v>145.20054945054954</v>
      </c>
      <c r="CU52" s="17">
        <f>CT52*VLOOKUP('Données projet'!$B$13,Paramètres!$A$1:$I$89,3,0)*VLOOKUP('Données projet'!$B$13,Paramètres!$A$1:$I$89,5,0)</f>
        <v>131.37745714285722</v>
      </c>
      <c r="CV52" s="13">
        <f t="shared" si="41"/>
        <v>34.314453722516539</v>
      </c>
      <c r="CW52" s="20">
        <f t="shared" si="13"/>
        <v>288.58007809052594</v>
      </c>
      <c r="CX52" s="59">
        <f t="shared" si="14"/>
        <v>581.91341142385932</v>
      </c>
      <c r="CY52" s="59">
        <f ca="1">AVERAGE(OFFSET($CX$3,0,0,'Données projet'!$E$13+1,1))-AVERAGE(OFFSET($H$3,0,0,'Données projet'!$E$13+1,1))</f>
        <v>280.25710840677186</v>
      </c>
      <c r="CZ52" s="59">
        <f t="shared" si="42"/>
        <v>209.65224013288037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7.4</v>
      </c>
      <c r="DO52" s="12">
        <f>IF('Données projet'!$A$166&gt;35,DO51+DN52-DW51,IF(A52&lt;'Données projet'!$A$166,$DL$205^A52,IF(A52='Données projet'!$A$166,'Données projet'!$B$166,DO51+DN52-DW51)))</f>
        <v>201.60000000000005</v>
      </c>
      <c r="DP52" s="17">
        <f>DO52*VLOOKUP('Données projet'!$B$14,Paramètres!$A$1:$I$89,3,0)*VLOOKUP('Données projet'!$B$14,Paramètres!$A$1:$I$89,5,0)</f>
        <v>210.71232000000006</v>
      </c>
      <c r="DQ52" s="13">
        <f t="shared" si="43"/>
        <v>52.091214849236422</v>
      </c>
      <c r="DR52" s="20">
        <f t="shared" si="16"/>
        <v>457.71615652908685</v>
      </c>
      <c r="DS52" s="59">
        <f t="shared" si="17"/>
        <v>751.04948986242016</v>
      </c>
      <c r="DT52" s="59">
        <f ca="1">AVERAGE(OFFSET($DS$3,0,0,'Données projet'!$E$14+1,1))-AVERAGE(OFFSET($H$3,0,0,'Données projet'!$E$14+1,1))</f>
        <v>330.14201227773452</v>
      </c>
      <c r="DU52" s="59">
        <f t="shared" si="44"/>
        <v>307.07297894926467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4.7735873971574279</v>
      </c>
      <c r="EB52" s="21">
        <f>EXP(-LN(2)/25)*EB51+(1-EXP(-LN(2)/25))/(LN(2)/25)*Calculateur!DW52*Calculateur!DY52*VLOOKUP('Données projet'!$B$14,Paramètres!$A$1:$I$89,3,0)*0.475*44/12</f>
        <v>14.343688842631572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19.117276239789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6.6</v>
      </c>
      <c r="EJ52" s="12">
        <f>IF('Données projet'!$A$192&gt;35,EJ51+EI52-ER51,IF(A52&lt;'Données projet'!$A$192,$EG$205^A52,IF(A52='Données projet'!$A$192,'Données projet'!$B$192,EJ51+EI52-ER51)))</f>
        <v>208.40000000000006</v>
      </c>
      <c r="EK52" s="17">
        <f>EJ52*VLOOKUP('Données projet'!$B$15,Paramètres!$A$1:$I$89,3,0)*VLOOKUP('Données projet'!$B$15,Paramètres!$A$1:$I$89,5,0)</f>
        <v>136.54368000000002</v>
      </c>
      <c r="EL52" s="13">
        <f t="shared" si="45"/>
        <v>35.504062844328153</v>
      </c>
      <c r="EM52" s="20">
        <f t="shared" si="19"/>
        <v>299.64981878720488</v>
      </c>
      <c r="EN52" s="59">
        <f t="shared" si="20"/>
        <v>592.98315212053819</v>
      </c>
      <c r="EO52" s="59">
        <f ca="1">AVERAGE(OFFSET($EN$3,0,0,'Données projet'!$E$15+1,1))-AVERAGE(OFFSET($H$3,0,0,'Données projet'!$E$15+1,1))</f>
        <v>183.30081488041924</v>
      </c>
      <c r="EP52" s="59">
        <f t="shared" si="46"/>
        <v>199.33099759570928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4.1667110772257185</v>
      </c>
      <c r="EX52" s="21">
        <f>EXP(-LN(2)/2)*EX51+(1-EXP(-LN(2)/2))/(LN(2)/2)*ER52*EU52*VLOOKUP('Données projet'!$B$15,Paramètres!$A$1:$I$89,3,0)*0.475*44/12</f>
        <v>1.4071791420077318</v>
      </c>
      <c r="EY52" s="22">
        <f t="shared" si="21"/>
        <v>5.5738902192334505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14.668131868131875</v>
      </c>
      <c r="N53" s="13">
        <f>IF('Données projet'!$A$36&gt;35,N52+M53-V52,IF(A53&lt;'Données projet'!$A$36,$K$205^A53,IF(A53='Données projet'!$A$36,'Données projet'!$B$36,N52+M53-V52)))</f>
        <v>260.04505494505497</v>
      </c>
      <c r="O53" s="13">
        <f>N53*VLOOKUP('Données projet'!$B$9,Paramètres!$A$1:$I$89,3,0)*VLOOKUP('Données projet'!$B$9,Paramètres!$A$1:$I$89,5,0)</f>
        <v>121.70108571428571</v>
      </c>
      <c r="P53" s="13">
        <f t="shared" si="33"/>
        <v>32.071423986344442</v>
      </c>
      <c r="Q53" s="20">
        <f t="shared" si="53"/>
        <v>267.82045439526422</v>
      </c>
      <c r="R53" s="59">
        <f t="shared" si="0"/>
        <v>561.15378772859754</v>
      </c>
      <c r="S53" s="59">
        <f ca="1">AVERAGE(OFFSET($R$3,0,0,'Données projet'!$E$9+1,1))-AVERAGE(OFFSET($H$3,0,0,'Données projet'!$E$9+1,1))</f>
        <v>205.73717397588365</v>
      </c>
      <c r="T53" s="59">
        <f t="shared" si="34"/>
        <v>190.64998698136026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22.139092904198467</v>
      </c>
      <c r="AA53" s="21">
        <f>EXP(-LN(2)/25)*AA52+(1-EXP(-LN(2)/25))/(LN(2)/25)*Calculateur!V53*Calculateur!X53*VLOOKUP('Données projet'!$B$9,Paramètres!$A$1:$I$89,3,0)*0.475*44/12</f>
        <v>32.690639785361064</v>
      </c>
      <c r="AB53" s="21">
        <f>EXP(-LN(2)/2)*AB52+(1-EXP(-LN(2)/2))/(LN(2)/2)*V53*Y53*VLOOKUP('Données projet'!$B$9,Paramètres!$A$1:$I$89,3,0)*0.475*44/12</f>
        <v>7.2933678025943509</v>
      </c>
      <c r="AC53" s="22">
        <f t="shared" si="3"/>
        <v>62.123100492153888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283.73369613548124</v>
      </c>
      <c r="AO53" s="59">
        <f t="shared" si="36"/>
        <v>249.77804091581208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20.507692307692299</v>
      </c>
      <c r="BD53" s="12">
        <f>IF('Données projet'!$A$88&gt;35,BD52+BC53-BL52,IF(A53&lt;'Données projet'!$A$88,$BA$205^A53,IF(A53='Données projet'!$A$88,'Données projet'!$B$88,BD52+BC53-BL52)))</f>
        <v>484.76923076923066</v>
      </c>
      <c r="BE53" s="13">
        <f>BD53*VLOOKUP('Données projet'!$B$11,Paramètres!$A$1:$I$89,3,0)*VLOOKUP('Données projet'!$B$11,Paramètres!$A$1:$I$89,5,0)</f>
        <v>270.98599999999993</v>
      </c>
      <c r="BF53" s="13">
        <f t="shared" si="37"/>
        <v>65.058478958733772</v>
      </c>
      <c r="BG53" s="20">
        <f t="shared" si="7"/>
        <v>585.27746751979453</v>
      </c>
      <c r="BH53" s="59">
        <f t="shared" si="8"/>
        <v>878.61080085312778</v>
      </c>
      <c r="BI53" s="59">
        <f ca="1">AVERAGE(OFFSET($BH$3,0,0,'Données projet'!$E$11+1,1))-AVERAGE(OFFSET($H$3,0,0,'Données projet'!$E$11+1,1))</f>
        <v>278.5296012747549</v>
      </c>
      <c r="BJ53" s="59">
        <f t="shared" si="38"/>
        <v>370.55343097937077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75.090019175960848</v>
      </c>
      <c r="BQ53" s="21">
        <f>EXP(-LN(2)/25)*BQ52+(1-EXP(-LN(2)/25))/(LN(2)/25)*Calculateur!BL53*Calculateur!BN53*VLOOKUP('Données projet'!$B$11,Paramètres!$A$1:$I$89,3,0)*0.475*44/12</f>
        <v>22.952986289534177</v>
      </c>
      <c r="BR53" s="21">
        <f>EXP(-LN(2)/2)*BR52+(1-EXP(-LN(2)/2))/(LN(2)/2)*BL53*BO53*VLOOKUP('Données projet'!$B$11,Paramètres!$A$1:$I$89,3,0)*0.475*44/12</f>
        <v>3.8319382951861205</v>
      </c>
      <c r="BS53" s="22">
        <f t="shared" si="9"/>
        <v>101.87494376068115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-5.6843418860808015E-14</v>
      </c>
      <c r="BZ53" s="13">
        <f>BY53*VLOOKUP('Données projet'!$B$12,Paramètres!$A$1:$I$89,3,0)*VLOOKUP('Données projet'!$B$12,Paramètres!$A$1:$I$89,5,0)</f>
        <v>-3.1036506698001178E-14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159.92263609041913</v>
      </c>
      <c r="CE53" s="59">
        <f t="shared" si="40"/>
        <v>271.78119133009307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55.323225503324807</v>
      </c>
      <c r="CL53" s="21">
        <f>EXP(-LN(2)/25)*CL52+(1-EXP(-LN(2)/25))/(LN(2)/25)*Calculateur!CG53*Calculateur!CI53*VLOOKUP('Données projet'!$B$12,Paramètres!$A$1:$I$89,3,0)*0.475*44/12</f>
        <v>113.62121935858404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168.94444486190883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8.8736263736263741</v>
      </c>
      <c r="CT53" s="12">
        <f>IF('Données projet'!$A$140&gt;35,CT52+CS53-DB52,IF(A53&lt;'Données projet'!$A$140,$CQ$205^A53,IF(A53='Données projet'!$A$140,'Données projet'!$B$140,CT52+CS53-DB52)))</f>
        <v>154.07417582417591</v>
      </c>
      <c r="CU53" s="17">
        <f>CT53*VLOOKUP('Données projet'!$B$13,Paramètres!$A$1:$I$89,3,0)*VLOOKUP('Données projet'!$B$13,Paramètres!$A$1:$I$89,5,0)</f>
        <v>139.40631428571436</v>
      </c>
      <c r="CV53" s="13">
        <f t="shared" si="41"/>
        <v>36.160966815041384</v>
      </c>
      <c r="CW53" s="20">
        <f t="shared" si="13"/>
        <v>305.77968125048289</v>
      </c>
      <c r="CX53" s="59">
        <f t="shared" si="14"/>
        <v>599.11301458381627</v>
      </c>
      <c r="CY53" s="59">
        <f ca="1">AVERAGE(OFFSET($CX$3,0,0,'Données projet'!$E$13+1,1))-AVERAGE(OFFSET($H$3,0,0,'Données projet'!$E$13+1,1))</f>
        <v>280.25710840677186</v>
      </c>
      <c r="CZ53" s="59">
        <f t="shared" si="42"/>
        <v>209.65224013288037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209</v>
      </c>
      <c r="DM53" s="12">
        <f>VLOOKUP(A53,'Données projet'!$A$165:$I$185,9,0)</f>
        <v>7.4</v>
      </c>
      <c r="DN53" s="12">
        <f t="array" ref="DN53">INDEX(DM:DM,MIN(IF(ISNUMBER(DM53:DM249),ROW(DM53:DM249),"")))</f>
        <v>7.4</v>
      </c>
      <c r="DO53" s="12">
        <f>IF('Données projet'!$A$166&gt;35,DO52+DN53-DW52,IF(A53&lt;'Données projet'!$A$166,$DL$205^A53,IF(A53='Données projet'!$A$166,'Données projet'!$B$166,DO52+DN53-DW52)))</f>
        <v>209.00000000000006</v>
      </c>
      <c r="DP53" s="17">
        <f>DO53*VLOOKUP('Données projet'!$B$14,Paramètres!$A$1:$I$89,3,0)*VLOOKUP('Données projet'!$B$14,Paramètres!$A$1:$I$89,5,0)</f>
        <v>218.44680000000011</v>
      </c>
      <c r="DQ53" s="13">
        <f t="shared" si="43"/>
        <v>53.777166299799873</v>
      </c>
      <c r="DR53" s="20">
        <f t="shared" si="16"/>
        <v>474.12340797215165</v>
      </c>
      <c r="DS53" s="59">
        <f t="shared" si="17"/>
        <v>767.45674130548491</v>
      </c>
      <c r="DT53" s="59">
        <f ca="1">AVERAGE(OFFSET($DS$3,0,0,'Données projet'!$E$14+1,1))-AVERAGE(OFFSET($H$3,0,0,'Données projet'!$E$14+1,1))</f>
        <v>330.14201227773452</v>
      </c>
      <c r="DU53" s="59">
        <f t="shared" si="44"/>
        <v>307.07297894926467</v>
      </c>
      <c r="DV53" s="15">
        <f>IF(ISNA(VLOOKUP(A53,'Données projet'!$A$165:$I$185,3,0)),0,VLOOKUP(A53,'Données projet'!$A$165:$I$185,3,0))</f>
        <v>7</v>
      </c>
      <c r="DW53" s="15" t="str">
        <f>IF(ISNA(VLOOKUP(A53,'Données projet'!$A$165:$I$185,4,0)),0,VLOOKUP(A53,'Données projet'!$A$165:$I$185,4,0))</f>
        <v>24</v>
      </c>
      <c r="DX53" s="16">
        <f>IF(ISNA(VLOOKUP(A53,'Données projet'!$A$165:$I$185,5,0)),0%,VLOOKUP(A53,'Données projet'!$A$165:$I$185,5,0)*VLOOKUP('Données projet'!$B$14,Paramètres!$A$1:$I$89,7,0))</f>
        <v>0.17200000000000001</v>
      </c>
      <c r="DY53" s="16">
        <f>IF(ISNA(VLOOKUP(A53,'Données projet'!$A$165:$I$185,6,0)),0%,VLOOKUP(A53,'Données projet'!$A$165:$I$185,6,0)*VLOOKUP('Données projet'!$B$14,Paramètres!$A$1:$I$89,7,0))</f>
        <v>0.17200000000000001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9.4496268406593877</v>
      </c>
      <c r="EB53" s="21">
        <f>EXP(-LN(2)/25)*EB52+(1-EXP(-LN(2)/25))/(LN(2)/25)*Calculateur!DW53*Calculateur!DY53*VLOOKUP('Données projet'!$B$14,Paramètres!$A$1:$I$89,3,0)*0.475*44/12</f>
        <v>18.702326581721124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28.151953422380512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215</v>
      </c>
      <c r="EH53" s="12">
        <f>VLOOKUP(A53,'Données projet'!$A$191:$I$211,9,0)</f>
        <v>6.6</v>
      </c>
      <c r="EI53" s="12">
        <f t="array" ref="EI53">INDEX(EH:EH,MIN(IF(ISNUMBER(EH53:EH249),ROW(EH53:EH249),"")))</f>
        <v>6.6</v>
      </c>
      <c r="EJ53" s="12">
        <f>IF('Données projet'!$A$192&gt;35,EJ52+EI53-ER52,IF(A53&lt;'Données projet'!$A$192,$EG$205^A53,IF(A53='Données projet'!$A$192,'Données projet'!$B$192,EJ52+EI53-ER52)))</f>
        <v>215.00000000000006</v>
      </c>
      <c r="EK53" s="17">
        <f>EJ53*VLOOKUP('Données projet'!$B$15,Paramètres!$A$1:$I$89,3,0)*VLOOKUP('Données projet'!$B$15,Paramètres!$A$1:$I$89,5,0)</f>
        <v>140.86800000000005</v>
      </c>
      <c r="EL53" s="13">
        <f t="shared" si="45"/>
        <v>36.495780519346958</v>
      </c>
      <c r="EM53" s="20">
        <f t="shared" si="19"/>
        <v>308.90858440452939</v>
      </c>
      <c r="EN53" s="59">
        <f t="shared" si="20"/>
        <v>602.24191773786265</v>
      </c>
      <c r="EO53" s="59">
        <f ca="1">AVERAGE(OFFSET($EN$3,0,0,'Données projet'!$E$15+1,1))-AVERAGE(OFFSET($H$3,0,0,'Données projet'!$E$15+1,1))</f>
        <v>183.30081488041924</v>
      </c>
      <c r="EP53" s="59">
        <f t="shared" si="46"/>
        <v>199.33099759570928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24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0.129</v>
      </c>
      <c r="EU53" s="16">
        <f>IF(ISNA(VLOOKUP(A53,'Données projet'!$A$191:$I$211,7,0)),0%,VLOOKUP(A53,'Données projet'!$A$191:$I$211,7,0))</f>
        <v>0.3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6.2863885607307726</v>
      </c>
      <c r="EX53" s="21">
        <f>EXP(-LN(2)/2)*EX52+(1-EXP(-LN(2)/2))/(LN(2)/2)*ER53*EU53*VLOOKUP('Données projet'!$B$15,Paramètres!$A$1:$I$89,3,0)*0.475*44/12</f>
        <v>5.4460575216939775</v>
      </c>
      <c r="EY53" s="22">
        <f t="shared" si="21"/>
        <v>11.732446082424751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14.668131868131875</v>
      </c>
      <c r="N54" s="13">
        <f>IF('Données projet'!$A$36&gt;35,N53+M54-V53,IF(A54&lt;'Données projet'!$A$36,$K$205^A54,IF(A54='Données projet'!$A$36,'Données projet'!$B$36,N53+M54-V53)))</f>
        <v>274.71318681318684</v>
      </c>
      <c r="O54" s="13">
        <f>N54*VLOOKUP('Données projet'!$B$9,Paramètres!$A$1:$I$89,3,0)*VLOOKUP('Données projet'!$B$9,Paramètres!$A$1:$I$89,5,0)</f>
        <v>128.56577142857145</v>
      </c>
      <c r="P54" s="13">
        <f t="shared" si="33"/>
        <v>33.664737545838108</v>
      </c>
      <c r="Q54" s="20">
        <f t="shared" si="53"/>
        <v>282.55146979709662</v>
      </c>
      <c r="R54" s="59">
        <f t="shared" si="0"/>
        <v>575.88480313042987</v>
      </c>
      <c r="S54" s="59">
        <f ca="1">AVERAGE(OFFSET($R$3,0,0,'Données projet'!$E$9+1,1))-AVERAGE(OFFSET($H$3,0,0,'Données projet'!$E$9+1,1))</f>
        <v>205.73717397588365</v>
      </c>
      <c r="T54" s="59">
        <f t="shared" si="34"/>
        <v>190.64998698136026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21.704958795860446</v>
      </c>
      <c r="AA54" s="21">
        <f>EXP(-LN(2)/25)*AA53+(1-EXP(-LN(2)/25))/(LN(2)/25)*Calculateur!V54*Calculateur!X54*VLOOKUP('Données projet'!$B$9,Paramètres!$A$1:$I$89,3,0)*0.475*44/12</f>
        <v>31.796712521304336</v>
      </c>
      <c r="AB54" s="21">
        <f>EXP(-LN(2)/2)*AB53+(1-EXP(-LN(2)/2))/(LN(2)/2)*V54*Y54*VLOOKUP('Données projet'!$B$9,Paramètres!$A$1:$I$89,3,0)*0.475*44/12</f>
        <v>5.1571898309020954</v>
      </c>
      <c r="AC54" s="22">
        <f t="shared" si="3"/>
        <v>58.658861148066876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283.73369613548124</v>
      </c>
      <c r="AO54" s="59">
        <f t="shared" si="36"/>
        <v>249.77804091581208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20.507692307692299</v>
      </c>
      <c r="BD54" s="12">
        <f>IF('Données projet'!$A$88&gt;35,BD53+BC54-BL53,IF(A54&lt;'Données projet'!$A$88,$BA$205^A54,IF(A54='Données projet'!$A$88,'Données projet'!$B$88,BD53+BC54-BL53)))</f>
        <v>505.27692307692297</v>
      </c>
      <c r="BE54" s="13">
        <f>BD54*VLOOKUP('Données projet'!$B$11,Paramètres!$A$1:$I$89,3,0)*VLOOKUP('Données projet'!$B$11,Paramètres!$A$1:$I$89,5,0)</f>
        <v>282.44979999999998</v>
      </c>
      <c r="BF54" s="13">
        <f t="shared" si="37"/>
        <v>67.484459274997945</v>
      </c>
      <c r="BG54" s="20">
        <f t="shared" si="7"/>
        <v>609.46883490395464</v>
      </c>
      <c r="BH54" s="59">
        <f t="shared" si="8"/>
        <v>902.80216823728802</v>
      </c>
      <c r="BI54" s="59">
        <f ca="1">AVERAGE(OFFSET($BH$3,0,0,'Données projet'!$E$11+1,1))-AVERAGE(OFFSET($H$3,0,0,'Données projet'!$E$11+1,1))</f>
        <v>278.5296012747549</v>
      </c>
      <c r="BJ54" s="59">
        <f t="shared" si="38"/>
        <v>370.55343097937077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73.617549700309539</v>
      </c>
      <c r="BQ54" s="21">
        <f>EXP(-LN(2)/25)*BQ53+(1-EXP(-LN(2)/25))/(LN(2)/25)*Calculateur!BL54*Calculateur!BN54*VLOOKUP('Données projet'!$B$11,Paramètres!$A$1:$I$89,3,0)*0.475*44/12</f>
        <v>22.325335672401774</v>
      </c>
      <c r="BR54" s="21">
        <f>EXP(-LN(2)/2)*BR53+(1-EXP(-LN(2)/2))/(LN(2)/2)*BL54*BO54*VLOOKUP('Données projet'!$B$11,Paramètres!$A$1:$I$89,3,0)*0.475*44/12</f>
        <v>2.7095895536145242</v>
      </c>
      <c r="BS54" s="22">
        <f t="shared" si="9"/>
        <v>98.652474926325837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-5.6843418860808015E-14</v>
      </c>
      <c r="BZ54" s="13">
        <f>BY54*VLOOKUP('Données projet'!$B$12,Paramètres!$A$1:$I$89,3,0)*VLOOKUP('Données projet'!$B$12,Paramètres!$A$1:$I$89,5,0)</f>
        <v>-3.1036506698001178E-14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159.92263609041913</v>
      </c>
      <c r="CE54" s="59">
        <f t="shared" si="40"/>
        <v>271.78119133009307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54.23837079504024</v>
      </c>
      <c r="CL54" s="21">
        <f>EXP(-LN(2)/25)*CL53+(1-EXP(-LN(2)/25))/(LN(2)/25)*Calculateur!CG54*Calculateur!CI54*VLOOKUP('Données projet'!$B$12,Paramètres!$A$1:$I$89,3,0)*0.475*44/12</f>
        <v>110.51424114014333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164.75261193518355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8.8736263736263741</v>
      </c>
      <c r="CT54" s="12">
        <f>IF('Données projet'!$A$140&gt;35,CT53+CS54-DB53,IF(A54&lt;'Données projet'!$A$140,$CQ$205^A54,IF(A54='Données projet'!$A$140,'Données projet'!$B$140,CT53+CS54-DB53)))</f>
        <v>162.94780219780228</v>
      </c>
      <c r="CU54" s="17">
        <f>CT54*VLOOKUP('Données projet'!$B$13,Paramètres!$A$1:$I$89,3,0)*VLOOKUP('Données projet'!$B$13,Paramètres!$A$1:$I$89,5,0)</f>
        <v>147.43517142857149</v>
      </c>
      <c r="CV54" s="13">
        <f t="shared" si="41"/>
        <v>37.995135358244994</v>
      </c>
      <c r="CW54" s="20">
        <f t="shared" si="13"/>
        <v>322.95778432037201</v>
      </c>
      <c r="CX54" s="59">
        <f t="shared" si="14"/>
        <v>616.29111765370533</v>
      </c>
      <c r="CY54" s="59">
        <f ca="1">AVERAGE(OFFSET($CX$3,0,0,'Données projet'!$E$13+1,1))-AVERAGE(OFFSET($H$3,0,0,'Données projet'!$E$13+1,1))</f>
        <v>280.25710840677186</v>
      </c>
      <c r="CZ54" s="59">
        <f t="shared" si="42"/>
        <v>209.65224013288037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6.6</v>
      </c>
      <c r="DO54" s="12">
        <f>IF('Données projet'!$A$166&gt;35,DO53+DN54-DW53,IF(A54&lt;'Données projet'!$A$166,$DL$205^A54,IF(A54='Données projet'!$A$166,'Données projet'!$B$166,DO53+DN54-DW53)))</f>
        <v>191.60000000000005</v>
      </c>
      <c r="DP54" s="17">
        <f>DO54*VLOOKUP('Données projet'!$B$14,Paramètres!$A$1:$I$89,3,0)*VLOOKUP('Données projet'!$B$14,Paramètres!$A$1:$I$89,5,0)</f>
        <v>200.26032000000006</v>
      </c>
      <c r="DQ54" s="13">
        <f t="shared" si="43"/>
        <v>49.801373850507687</v>
      </c>
      <c r="DR54" s="20">
        <f t="shared" si="16"/>
        <v>435.52411678963432</v>
      </c>
      <c r="DS54" s="59">
        <f t="shared" si="17"/>
        <v>728.85745012296763</v>
      </c>
      <c r="DT54" s="59">
        <f ca="1">AVERAGE(OFFSET($DS$3,0,0,'Données projet'!$E$14+1,1))-AVERAGE(OFFSET($H$3,0,0,'Données projet'!$E$14+1,1))</f>
        <v>330.14201227773452</v>
      </c>
      <c r="DU54" s="59">
        <f t="shared" si="44"/>
        <v>307.07297894926467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9.2643254220173112</v>
      </c>
      <c r="EB54" s="21">
        <f>EXP(-LN(2)/25)*EB53+(1-EXP(-LN(2)/25))/(LN(2)/25)*Calculateur!DW54*Calculateur!DY54*VLOOKUP('Données projet'!$B$14,Paramètres!$A$1:$I$89,3,0)*0.475*44/12</f>
        <v>18.190910477831348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27.45523589984866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6.4</v>
      </c>
      <c r="EJ54" s="12">
        <f>IF('Données projet'!$A$192&gt;35,EJ53+EI54-ER53,IF(A54&lt;'Données projet'!$A$192,$EG$205^A54,IF(A54='Données projet'!$A$192,'Données projet'!$B$192,EJ53+EI54-ER53)))</f>
        <v>197.40000000000006</v>
      </c>
      <c r="EK54" s="17">
        <f>EJ54*VLOOKUP('Données projet'!$B$15,Paramètres!$A$1:$I$89,3,0)*VLOOKUP('Données projet'!$B$15,Paramètres!$A$1:$I$89,5,0)</f>
        <v>129.33648000000005</v>
      </c>
      <c r="EL54" s="13">
        <f t="shared" si="45"/>
        <v>33.84299371090448</v>
      </c>
      <c r="EM54" s="20">
        <f t="shared" si="19"/>
        <v>284.20425004649206</v>
      </c>
      <c r="EN54" s="59">
        <f t="shared" si="20"/>
        <v>577.53758337982538</v>
      </c>
      <c r="EO54" s="59">
        <f ca="1">AVERAGE(OFFSET($EN$3,0,0,'Données projet'!$E$15+1,1))-AVERAGE(OFFSET($H$3,0,0,'Données projet'!$E$15+1,1))</f>
        <v>183.30081488041924</v>
      </c>
      <c r="EP54" s="59">
        <f t="shared" si="46"/>
        <v>199.33099759570928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6.1144869349507829</v>
      </c>
      <c r="EX54" s="21">
        <f>EXP(-LN(2)/2)*EX53+(1-EXP(-LN(2)/2))/(LN(2)/2)*ER54*EU54*VLOOKUP('Données projet'!$B$15,Paramètres!$A$1:$I$89,3,0)*0.475*44/12</f>
        <v>3.8509442043218147</v>
      </c>
      <c r="EY54" s="22">
        <f t="shared" si="21"/>
        <v>9.9654311392725976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14.668131868131875</v>
      </c>
      <c r="N55" s="13">
        <f>IF('Données projet'!$A$36&gt;35,N54+M55-V54,IF(A55&lt;'Données projet'!$A$36,$K$205^A55,IF(A55='Données projet'!$A$36,'Données projet'!$B$36,N54+M55-V54)))</f>
        <v>289.3813186813187</v>
      </c>
      <c r="O55" s="13">
        <f>N55*VLOOKUP('Données projet'!$B$9,Paramètres!$A$1:$I$89,3,0)*VLOOKUP('Données projet'!$B$9,Paramètres!$A$1:$I$89,5,0)</f>
        <v>135.43045714285716</v>
      </c>
      <c r="P55" s="13">
        <f t="shared" si="33"/>
        <v>35.248174253598229</v>
      </c>
      <c r="Q55" s="20">
        <f t="shared" si="53"/>
        <v>297.26528301549314</v>
      </c>
      <c r="R55" s="59">
        <f t="shared" si="0"/>
        <v>590.59861634882645</v>
      </c>
      <c r="S55" s="59">
        <f ca="1">AVERAGE(OFFSET($R$3,0,0,'Données projet'!$E$9+1,1))-AVERAGE(OFFSET($H$3,0,0,'Données projet'!$E$9+1,1))</f>
        <v>205.73717397588365</v>
      </c>
      <c r="T55" s="59">
        <f t="shared" si="34"/>
        <v>190.64998698136026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21.279337792591274</v>
      </c>
      <c r="AA55" s="21">
        <f>EXP(-LN(2)/25)*AA54+(1-EXP(-LN(2)/25))/(LN(2)/25)*Calculateur!V55*Calculateur!X55*VLOOKUP('Données projet'!$B$9,Paramètres!$A$1:$I$89,3,0)*0.475*44/12</f>
        <v>30.927229745292831</v>
      </c>
      <c r="AB55" s="21">
        <f>EXP(-LN(2)/2)*AB54+(1-EXP(-LN(2)/2))/(LN(2)/2)*V55*Y55*VLOOKUP('Données projet'!$B$9,Paramètres!$A$1:$I$89,3,0)*0.475*44/12</f>
        <v>3.6466839012971763</v>
      </c>
      <c r="AC55" s="22">
        <f t="shared" si="3"/>
        <v>55.853251439181278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283.73369613548124</v>
      </c>
      <c r="AO55" s="59">
        <f t="shared" si="36"/>
        <v>249.77804091581208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20.507692307692299</v>
      </c>
      <c r="BD55" s="12">
        <f>IF('Données projet'!$A$88&gt;35,BD54+BC55-BL54,IF(A55&lt;'Données projet'!$A$88,$BA$205^A55,IF(A55='Données projet'!$A$88,'Données projet'!$B$88,BD54+BC55-BL54)))</f>
        <v>525.78461538461522</v>
      </c>
      <c r="BE55" s="13">
        <f>BD55*VLOOKUP('Données projet'!$B$11,Paramètres!$A$1:$I$89,3,0)*VLOOKUP('Données projet'!$B$11,Paramètres!$A$1:$I$89,5,0)</f>
        <v>293.91359999999992</v>
      </c>
      <c r="BF55" s="13">
        <f t="shared" si="37"/>
        <v>69.899002171586702</v>
      </c>
      <c r="BG55" s="20">
        <f t="shared" si="7"/>
        <v>633.64028211551329</v>
      </c>
      <c r="BH55" s="59">
        <f t="shared" si="8"/>
        <v>926.97361544884666</v>
      </c>
      <c r="BI55" s="59">
        <f ca="1">AVERAGE(OFFSET($BH$3,0,0,'Données projet'!$E$11+1,1))-AVERAGE(OFFSET($H$3,0,0,'Données projet'!$E$11+1,1))</f>
        <v>278.5296012747549</v>
      </c>
      <c r="BJ55" s="59">
        <f t="shared" si="38"/>
        <v>370.55343097937077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72.173954452958057</v>
      </c>
      <c r="BQ55" s="21">
        <f>EXP(-LN(2)/25)*BQ54+(1-EXP(-LN(2)/25))/(LN(2)/25)*Calculateur!BL55*Calculateur!BN55*VLOOKUP('Données projet'!$B$11,Paramètres!$A$1:$I$89,3,0)*0.475*44/12</f>
        <v>21.714848194401569</v>
      </c>
      <c r="BR55" s="21">
        <f>EXP(-LN(2)/2)*BR54+(1-EXP(-LN(2)/2))/(LN(2)/2)*BL55*BO55*VLOOKUP('Données projet'!$B$11,Paramètres!$A$1:$I$89,3,0)*0.475*44/12</f>
        <v>1.9159691475930605</v>
      </c>
      <c r="BS55" s="22">
        <f t="shared" si="9"/>
        <v>95.804771794952686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-5.6843418860808015E-14</v>
      </c>
      <c r="BZ55" s="13">
        <f>BY55*VLOOKUP('Données projet'!$B$12,Paramètres!$A$1:$I$89,3,0)*VLOOKUP('Données projet'!$B$12,Paramètres!$A$1:$I$89,5,0)</f>
        <v>-3.1036506698001178E-14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159.92263609041913</v>
      </c>
      <c r="CE55" s="59">
        <f t="shared" si="40"/>
        <v>271.78119133009307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53.174789425889095</v>
      </c>
      <c r="CL55" s="21">
        <f>EXP(-LN(2)/25)*CL54+(1-EXP(-LN(2)/25))/(LN(2)/25)*Calculateur!CG55*Calculateur!CI55*VLOOKUP('Données projet'!$B$12,Paramètres!$A$1:$I$89,3,0)*0.475*44/12</f>
        <v>107.49222340447474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160.66701283036383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8.8736263736263741</v>
      </c>
      <c r="CT55" s="12">
        <f>IF('Données projet'!$A$140&gt;35,CT54+CS55-DB54,IF(A55&lt;'Données projet'!$A$140,$CQ$205^A55,IF(A55='Données projet'!$A$140,'Données projet'!$B$140,CT54+CS55-DB54)))</f>
        <v>171.82142857142864</v>
      </c>
      <c r="CU55" s="17">
        <f>CT55*VLOOKUP('Données projet'!$B$13,Paramètres!$A$1:$I$89,3,0)*VLOOKUP('Données projet'!$B$13,Paramètres!$A$1:$I$89,5,0)</f>
        <v>155.46402857142863</v>
      </c>
      <c r="CV55" s="13">
        <f t="shared" si="41"/>
        <v>39.817708233223598</v>
      </c>
      <c r="CW55" s="20">
        <f t="shared" si="13"/>
        <v>340.11569160143591</v>
      </c>
      <c r="CX55" s="59">
        <f t="shared" si="14"/>
        <v>633.44902493476923</v>
      </c>
      <c r="CY55" s="59">
        <f ca="1">AVERAGE(OFFSET($CX$3,0,0,'Données projet'!$E$13+1,1))-AVERAGE(OFFSET($H$3,0,0,'Données projet'!$E$13+1,1))</f>
        <v>280.25710840677186</v>
      </c>
      <c r="CZ55" s="59">
        <f t="shared" si="42"/>
        <v>209.65224013288037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6.6</v>
      </c>
      <c r="DO55" s="12">
        <f>IF('Données projet'!$A$166&gt;35,DO54+DN55-DW54,IF(A55&lt;'Données projet'!$A$166,$DL$205^A55,IF(A55='Données projet'!$A$166,'Données projet'!$B$166,DO54+DN55-DW54)))</f>
        <v>198.20000000000005</v>
      </c>
      <c r="DP55" s="17">
        <f>DO55*VLOOKUP('Données projet'!$B$14,Paramètres!$A$1:$I$89,3,0)*VLOOKUP('Données projet'!$B$14,Paramètres!$A$1:$I$89,5,0)</f>
        <v>207.15864000000008</v>
      </c>
      <c r="DQ55" s="13">
        <f t="shared" si="43"/>
        <v>51.314185628735935</v>
      </c>
      <c r="DR55" s="20">
        <f t="shared" si="16"/>
        <v>450.17350463671522</v>
      </c>
      <c r="DS55" s="59">
        <f t="shared" si="17"/>
        <v>743.50683797004854</v>
      </c>
      <c r="DT55" s="59">
        <f ca="1">AVERAGE(OFFSET($DS$3,0,0,'Données projet'!$E$14+1,1))-AVERAGE(OFFSET($H$3,0,0,'Données projet'!$E$14+1,1))</f>
        <v>330.14201227773452</v>
      </c>
      <c r="DU55" s="59">
        <f t="shared" si="44"/>
        <v>307.07297894926467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9.0826576511721004</v>
      </c>
      <c r="EB55" s="21">
        <f>EXP(-LN(2)/25)*EB54+(1-EXP(-LN(2)/25))/(LN(2)/25)*Calculateur!DW55*Calculateur!DY55*VLOOKUP('Données projet'!$B$14,Paramètres!$A$1:$I$89,3,0)*0.475*44/12</f>
        <v>17.693479074196645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26.776136725368744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6.4</v>
      </c>
      <c r="EJ55" s="12">
        <f>IF('Données projet'!$A$192&gt;35,EJ54+EI55-ER54,IF(A55&lt;'Données projet'!$A$192,$EG$205^A55,IF(A55='Données projet'!$A$192,'Données projet'!$B$192,EJ54+EI55-ER54)))</f>
        <v>203.80000000000007</v>
      </c>
      <c r="EK55" s="17">
        <f>EJ55*VLOOKUP('Données projet'!$B$15,Paramètres!$A$1:$I$89,3,0)*VLOOKUP('Données projet'!$B$15,Paramètres!$A$1:$I$89,5,0)</f>
        <v>133.52976000000007</v>
      </c>
      <c r="EL55" s="13">
        <f t="shared" si="45"/>
        <v>34.810707184454238</v>
      </c>
      <c r="EM55" s="20">
        <f t="shared" si="19"/>
        <v>293.19298034625791</v>
      </c>
      <c r="EN55" s="59">
        <f t="shared" si="20"/>
        <v>586.52631367959123</v>
      </c>
      <c r="EO55" s="59">
        <f ca="1">AVERAGE(OFFSET($EN$3,0,0,'Données projet'!$E$15+1,1))-AVERAGE(OFFSET($H$3,0,0,'Données projet'!$E$15+1,1))</f>
        <v>183.30081488041924</v>
      </c>
      <c r="EP55" s="59">
        <f t="shared" si="46"/>
        <v>199.33099759570928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5.9472859681676606</v>
      </c>
      <c r="EX55" s="21">
        <f>EXP(-LN(2)/2)*EX54+(1-EXP(-LN(2)/2))/(LN(2)/2)*ER55*EU55*VLOOKUP('Données projet'!$B$15,Paramètres!$A$1:$I$89,3,0)*0.475*44/12</f>
        <v>2.7230287608469892</v>
      </c>
      <c r="EY55" s="22">
        <f t="shared" si="21"/>
        <v>8.6703147290146489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14.668131868131875</v>
      </c>
      <c r="N56" s="13">
        <f>IF('Données projet'!$A$36&gt;35,N55+M56-V55,IF(A56&lt;'Données projet'!$A$36,$K$205^A56,IF(A56='Données projet'!$A$36,'Données projet'!$B$36,N55+M56-V55)))</f>
        <v>304.04945054945057</v>
      </c>
      <c r="O56" s="13">
        <f>N56*VLOOKUP('Données projet'!$B$9,Paramètres!$A$1:$I$89,3,0)*VLOOKUP('Données projet'!$B$9,Paramètres!$A$1:$I$89,5,0)</f>
        <v>142.29514285714285</v>
      </c>
      <c r="P56" s="13">
        <f t="shared" si="33"/>
        <v>36.822291864436032</v>
      </c>
      <c r="Q56" s="20">
        <f t="shared" si="53"/>
        <v>311.96286547341651</v>
      </c>
      <c r="R56" s="59">
        <f t="shared" si="0"/>
        <v>605.29619880674977</v>
      </c>
      <c r="S56" s="59">
        <f ca="1">AVERAGE(OFFSET($R$3,0,0,'Données projet'!$E$9+1,1))-AVERAGE(OFFSET($H$3,0,0,'Données projet'!$E$9+1,1))</f>
        <v>205.73717397588365</v>
      </c>
      <c r="T56" s="59">
        <f t="shared" si="34"/>
        <v>190.64998698136026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20.862062957593032</v>
      </c>
      <c r="AA56" s="21">
        <f>EXP(-LN(2)/25)*AA55+(1-EXP(-LN(2)/25))/(LN(2)/25)*Calculateur!V56*Calculateur!X56*VLOOKUP('Données projet'!$B$9,Paramètres!$A$1:$I$89,3,0)*0.475*44/12</f>
        <v>30.081523021515473</v>
      </c>
      <c r="AB56" s="21">
        <f>EXP(-LN(2)/2)*AB55+(1-EXP(-LN(2)/2))/(LN(2)/2)*V56*Y56*VLOOKUP('Données projet'!$B$9,Paramètres!$A$1:$I$89,3,0)*0.475*44/12</f>
        <v>2.5785949154510481</v>
      </c>
      <c r="AC56" s="22">
        <f t="shared" si="3"/>
        <v>53.522180894559554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283.73369613548124</v>
      </c>
      <c r="AO56" s="59">
        <f t="shared" si="36"/>
        <v>249.77804091581208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20.507692307692299</v>
      </c>
      <c r="BD56" s="12">
        <f>IF('Données projet'!$A$88&gt;35,BD55+BC56-BL55,IF(A56&lt;'Données projet'!$A$88,$BA$205^A56,IF(A56='Données projet'!$A$88,'Données projet'!$B$88,BD55+BC56-BL55)))</f>
        <v>546.29230769230753</v>
      </c>
      <c r="BE56" s="13">
        <f>BD56*VLOOKUP('Données projet'!$B$11,Paramètres!$A$1:$I$89,3,0)*VLOOKUP('Données projet'!$B$11,Paramètres!$A$1:$I$89,5,0)</f>
        <v>305.37739999999991</v>
      </c>
      <c r="BF56" s="13">
        <f t="shared" si="37"/>
        <v>72.302604807906476</v>
      </c>
      <c r="BG56" s="20">
        <f t="shared" si="7"/>
        <v>657.79267504043685</v>
      </c>
      <c r="BH56" s="59">
        <f t="shared" si="8"/>
        <v>951.12600837377022</v>
      </c>
      <c r="BI56" s="59">
        <f ca="1">AVERAGE(OFFSET($BH$3,0,0,'Données projet'!$E$11+1,1))-AVERAGE(OFFSET($H$3,0,0,'Données projet'!$E$11+1,1))</f>
        <v>278.5296012747549</v>
      </c>
      <c r="BJ56" s="59">
        <f t="shared" si="38"/>
        <v>370.55343097937077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70.758667227900972</v>
      </c>
      <c r="BQ56" s="21">
        <f>EXP(-LN(2)/25)*BQ55+(1-EXP(-LN(2)/25))/(LN(2)/25)*Calculateur!BL56*Calculateur!BN56*VLOOKUP('Données projet'!$B$11,Paramètres!$A$1:$I$89,3,0)*0.475*44/12</f>
        <v>21.121054528591422</v>
      </c>
      <c r="BR56" s="21">
        <f>EXP(-LN(2)/2)*BR55+(1-EXP(-LN(2)/2))/(LN(2)/2)*BL56*BO56*VLOOKUP('Données projet'!$B$11,Paramètres!$A$1:$I$89,3,0)*0.475*44/12</f>
        <v>1.3547947768072623</v>
      </c>
      <c r="BS56" s="22">
        <f t="shared" si="9"/>
        <v>93.234516533299654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-5.6843418860808015E-14</v>
      </c>
      <c r="BZ56" s="13">
        <f>BY56*VLOOKUP('Données projet'!$B$12,Paramètres!$A$1:$I$89,3,0)*VLOOKUP('Données projet'!$B$12,Paramètres!$A$1:$I$89,5,0)</f>
        <v>-3.1036506698001178E-14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159.92263609041913</v>
      </c>
      <c r="CE56" s="59">
        <f t="shared" si="40"/>
        <v>271.78119133009307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52.132064238666423</v>
      </c>
      <c r="CL56" s="21">
        <f>EXP(-LN(2)/25)*CL55+(1-EXP(-LN(2)/25))/(LN(2)/25)*Calculateur!CG56*Calculateur!CI56*VLOOKUP('Données projet'!$B$12,Paramètres!$A$1:$I$89,3,0)*0.475*44/12</f>
        <v>104.55284290270903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156.68490714137545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8.8736263736263741</v>
      </c>
      <c r="CT56" s="12">
        <f>IF('Données projet'!$A$140&gt;35,CT55+CS56-DB55,IF(A56&lt;'Données projet'!$A$140,$CQ$205^A56,IF(A56='Données projet'!$A$140,'Données projet'!$B$140,CT55+CS56-DB55)))</f>
        <v>180.69505494505501</v>
      </c>
      <c r="CU56" s="17">
        <f>CT56*VLOOKUP('Données projet'!$B$13,Paramètres!$A$1:$I$89,3,0)*VLOOKUP('Données projet'!$B$13,Paramètres!$A$1:$I$89,5,0)</f>
        <v>163.49288571428576</v>
      </c>
      <c r="CV56" s="13">
        <f t="shared" si="41"/>
        <v>41.629352600963465</v>
      </c>
      <c r="CW56" s="20">
        <f t="shared" si="13"/>
        <v>357.25456506572573</v>
      </c>
      <c r="CX56" s="59">
        <f t="shared" si="14"/>
        <v>650.58789839905899</v>
      </c>
      <c r="CY56" s="59">
        <f ca="1">AVERAGE(OFFSET($CX$3,0,0,'Données projet'!$E$13+1,1))-AVERAGE(OFFSET($H$3,0,0,'Données projet'!$E$13+1,1))</f>
        <v>280.25710840677186</v>
      </c>
      <c r="CZ56" s="59">
        <f t="shared" si="42"/>
        <v>209.65224013288037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6.6</v>
      </c>
      <c r="DO56" s="12">
        <f>IF('Données projet'!$A$166&gt;35,DO55+DN56-DW55,IF(A56&lt;'Données projet'!$A$166,$DL$205^A56,IF(A56='Données projet'!$A$166,'Données projet'!$B$166,DO55+DN56-DW55)))</f>
        <v>204.80000000000004</v>
      </c>
      <c r="DP56" s="17">
        <f>DO56*VLOOKUP('Données projet'!$B$14,Paramètres!$A$1:$I$89,3,0)*VLOOKUP('Données projet'!$B$14,Paramètres!$A$1:$I$89,5,0)</f>
        <v>214.05696000000006</v>
      </c>
      <c r="DQ56" s="13">
        <f t="shared" si="43"/>
        <v>52.821143827018723</v>
      </c>
      <c r="DR56" s="20">
        <f t="shared" si="16"/>
        <v>464.81269749872439</v>
      </c>
      <c r="DS56" s="59">
        <f t="shared" si="17"/>
        <v>758.1460308320577</v>
      </c>
      <c r="DT56" s="59">
        <f ca="1">AVERAGE(OFFSET($DS$3,0,0,'Données projet'!$E$14+1,1))-AVERAGE(OFFSET($H$3,0,0,'Données projet'!$E$14+1,1))</f>
        <v>330.14201227773452</v>
      </c>
      <c r="DU56" s="59">
        <f t="shared" si="44"/>
        <v>307.07297894926467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8.9045522745067665</v>
      </c>
      <c r="EB56" s="21">
        <f>EXP(-LN(2)/25)*EB55+(1-EXP(-LN(2)/25))/(LN(2)/25)*Calculateur!DW56*Calculateur!DY56*VLOOKUP('Données projet'!$B$14,Paramètres!$A$1:$I$89,3,0)*0.475*44/12</f>
        <v>17.209649958453113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26.11420223295988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6.4</v>
      </c>
      <c r="EJ56" s="12">
        <f>IF('Données projet'!$A$192&gt;35,EJ55+EI56-ER55,IF(A56&lt;'Données projet'!$A$192,$EG$205^A56,IF(A56='Données projet'!$A$192,'Données projet'!$B$192,EJ55+EI56-ER55)))</f>
        <v>210.20000000000007</v>
      </c>
      <c r="EK56" s="17">
        <f>EJ56*VLOOKUP('Données projet'!$B$15,Paramètres!$A$1:$I$89,3,0)*VLOOKUP('Données projet'!$B$15,Paramètres!$A$1:$I$89,5,0)</f>
        <v>137.72304000000005</v>
      </c>
      <c r="EL56" s="13">
        <f t="shared" si="45"/>
        <v>35.774889172094717</v>
      </c>
      <c r="EM56" s="20">
        <f t="shared" si="19"/>
        <v>302.1755599747317</v>
      </c>
      <c r="EN56" s="59">
        <f t="shared" si="20"/>
        <v>595.50889330806501</v>
      </c>
      <c r="EO56" s="59">
        <f ca="1">AVERAGE(OFFSET($EN$3,0,0,'Données projet'!$E$15+1,1))-AVERAGE(OFFSET($H$3,0,0,'Données projet'!$E$15+1,1))</f>
        <v>183.30081488041924</v>
      </c>
      <c r="EP56" s="59">
        <f t="shared" si="46"/>
        <v>199.33099759570928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5.7846571206139394</v>
      </c>
      <c r="EX56" s="21">
        <f>EXP(-LN(2)/2)*EX55+(1-EXP(-LN(2)/2))/(LN(2)/2)*ER56*EU56*VLOOKUP('Données projet'!$B$15,Paramètres!$A$1:$I$89,3,0)*0.475*44/12</f>
        <v>1.9254721021609078</v>
      </c>
      <c r="EY56" s="22">
        <f t="shared" si="21"/>
        <v>7.7101292227748477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14.668131868131875</v>
      </c>
      <c r="N57" s="13">
        <f>IF('Données projet'!$A$36&gt;35,N56+M57-V56,IF(A57&lt;'Données projet'!$A$36,$K$205^A57,IF(A57='Données projet'!$A$36,'Données projet'!$B$36,N56+M57-V56)))</f>
        <v>318.71758241758243</v>
      </c>
      <c r="O57" s="13">
        <f>N57*VLOOKUP('Données projet'!$B$9,Paramètres!$A$1:$I$89,3,0)*VLOOKUP('Données projet'!$B$9,Paramètres!$A$1:$I$89,5,0)</f>
        <v>149.15982857142859</v>
      </c>
      <c r="P57" s="13">
        <f t="shared" si="33"/>
        <v>38.387591277502224</v>
      </c>
      <c r="Q57" s="20">
        <f t="shared" si="53"/>
        <v>326.64508957022116</v>
      </c>
      <c r="R57" s="59">
        <f t="shared" si="0"/>
        <v>619.97842290355447</v>
      </c>
      <c r="S57" s="59">
        <f ca="1">AVERAGE(OFFSET($R$3,0,0,'Données projet'!$E$9+1,1))-AVERAGE(OFFSET($H$3,0,0,'Données projet'!$E$9+1,1))</f>
        <v>205.73717397588365</v>
      </c>
      <c r="T57" s="59">
        <f t="shared" si="34"/>
        <v>190.64998698136026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20.452970627596589</v>
      </c>
      <c r="AA57" s="21">
        <f>EXP(-LN(2)/25)*AA56+(1-EXP(-LN(2)/25))/(LN(2)/25)*Calculateur!V57*Calculateur!X57*VLOOKUP('Données projet'!$B$9,Paramètres!$A$1:$I$89,3,0)*0.475*44/12</f>
        <v>29.258942192573588</v>
      </c>
      <c r="AB57" s="21">
        <f>EXP(-LN(2)/2)*AB56+(1-EXP(-LN(2)/2))/(LN(2)/2)*V57*Y57*VLOOKUP('Données projet'!$B$9,Paramètres!$A$1:$I$89,3,0)*0.475*44/12</f>
        <v>1.8233419506485884</v>
      </c>
      <c r="AC57" s="22">
        <f t="shared" si="3"/>
        <v>51.535254770818767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283.73369613548124</v>
      </c>
      <c r="AO57" s="59">
        <f t="shared" si="36"/>
        <v>249.77804091581208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566.79999999999995</v>
      </c>
      <c r="BB57" s="12">
        <f>VLOOKUP(A57,'Données projet'!$A$87:$I$107,9,0)</f>
        <v>20.507692307692299</v>
      </c>
      <c r="BC57" s="12">
        <f t="array" ref="BC57">INDEX(BB:BB,MIN(IF(ISNUMBER(BB57:BB253),ROW(BB57:BB253),"")))</f>
        <v>20.507692307692299</v>
      </c>
      <c r="BD57" s="12">
        <f>IF('Données projet'!$A$88&gt;35,BD56+BC57-BL56,IF(A57&lt;'Données projet'!$A$88,$BA$205^A57,IF(A57='Données projet'!$A$88,'Données projet'!$B$88,BD56+BC57-BL56)))</f>
        <v>566.79999999999984</v>
      </c>
      <c r="BE57" s="13">
        <f>BD57*VLOOKUP('Données projet'!$B$11,Paramètres!$A$1:$I$89,3,0)*VLOOKUP('Données projet'!$B$11,Paramètres!$A$1:$I$89,5,0)</f>
        <v>316.8411999999999</v>
      </c>
      <c r="BF57" s="13">
        <f t="shared" si="37"/>
        <v>74.695724902330795</v>
      </c>
      <c r="BG57" s="20">
        <f t="shared" si="7"/>
        <v>681.92681087155927</v>
      </c>
      <c r="BH57" s="59">
        <f t="shared" si="8"/>
        <v>975.26014420489264</v>
      </c>
      <c r="BI57" s="59">
        <f ca="1">AVERAGE(OFFSET($BH$3,0,0,'Données projet'!$E$11+1,1))-AVERAGE(OFFSET($H$3,0,0,'Données projet'!$E$11+1,1))</f>
        <v>278.5296012747549</v>
      </c>
      <c r="BJ57" s="59">
        <f t="shared" si="38"/>
        <v>370.55343097937077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566.79999999999995</v>
      </c>
      <c r="BM57" s="16">
        <f>IF(ISNA(VLOOKUP(A57,'Données projet'!$A$87:$I$107,5,0)),0%,VLOOKUP(A57,'Données projet'!$A$87:$I$107,5,0)*VLOOKUP('Données projet'!$B$11,Paramètres!$A$1:$I$89,7,0))</f>
        <v>0.38500000000000001</v>
      </c>
      <c r="BN57" s="16">
        <f>IF(ISNA(VLOOKUP(A57,'Données projet'!$A$87:$I$107,6,0)),0%,VLOOKUP(A57,'Données projet'!$A$87:$I$107,6,0)*VLOOKUP('Données projet'!$B$11,Paramètres!$A$1:$I$89,7,0))</f>
        <v>9.240000000000001E-2</v>
      </c>
      <c r="BO57" s="16">
        <f>IF(ISNA(VLOOKUP(A57,'Données projet'!$A$87:$I$107,7,0)),0%,VLOOKUP(A57,'Données projet'!$A$87:$I$107,7,0))</f>
        <v>0.13200000000000001</v>
      </c>
      <c r="BP57" s="21">
        <f>EXP(-LN(2)/35)*BP56+(1-EXP(-LN(2)/35))/(LN(2)/35)*BL57*BM57*VLOOKUP('Données projet'!$B$11,Paramètres!$A$1:$I$89,3,0)*0.475*44/12</f>
        <v>231.19058838852931</v>
      </c>
      <c r="BQ57" s="21">
        <f>EXP(-LN(2)/25)*BQ56+(1-EXP(-LN(2)/25))/(LN(2)/25)*Calculateur!BL57*Calculateur!BN57*VLOOKUP('Données projet'!$B$11,Paramètres!$A$1:$I$89,3,0)*0.475*44/12</f>
        <v>59.227252728732921</v>
      </c>
      <c r="BR57" s="21">
        <f>EXP(-LN(2)/2)*BR56+(1-EXP(-LN(2)/2))/(LN(2)/2)*BL57*BO57*VLOOKUP('Données projet'!$B$11,Paramètres!$A$1:$I$89,3,0)*0.475*44/12</f>
        <v>48.311379430966142</v>
      </c>
      <c r="BS57" s="22">
        <f t="shared" si="9"/>
        <v>338.7292205482284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-5.6843418860808015E-14</v>
      </c>
      <c r="BZ57" s="13">
        <f>BY57*VLOOKUP('Données projet'!$B$12,Paramètres!$A$1:$I$89,3,0)*VLOOKUP('Données projet'!$B$12,Paramètres!$A$1:$I$89,5,0)</f>
        <v>-3.1036506698001178E-14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159.92263609041913</v>
      </c>
      <c r="CE57" s="59">
        <f t="shared" si="40"/>
        <v>271.78119133009307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51.109786256365624</v>
      </c>
      <c r="CL57" s="21">
        <f>EXP(-LN(2)/25)*CL56+(1-EXP(-LN(2)/25))/(LN(2)/25)*Calculateur!CG57*Calculateur!CI57*VLOOKUP('Données projet'!$B$12,Paramètres!$A$1:$I$89,3,0)*0.475*44/12</f>
        <v>101.69383991533941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152.80362617170505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8.8736263736263741</v>
      </c>
      <c r="CT57" s="12">
        <f>IF('Données projet'!$A$140&gt;35,CT56+CS57-DB56,IF(A57&lt;'Données projet'!$A$140,$CQ$205^A57,IF(A57='Données projet'!$A$140,'Données projet'!$B$140,CT56+CS57-DB56)))</f>
        <v>189.56868131868137</v>
      </c>
      <c r="CU57" s="17">
        <f>CT57*VLOOKUP('Données projet'!$B$13,Paramètres!$A$1:$I$89,3,0)*VLOOKUP('Données projet'!$B$13,Paramètres!$A$1:$I$89,5,0)</f>
        <v>171.5217428571429</v>
      </c>
      <c r="CV57" s="13">
        <f t="shared" si="41"/>
        <v>43.430666394282092</v>
      </c>
      <c r="CW57" s="20">
        <f t="shared" si="13"/>
        <v>374.37544611289854</v>
      </c>
      <c r="CX57" s="59">
        <f t="shared" si="14"/>
        <v>667.7087794462318</v>
      </c>
      <c r="CY57" s="59">
        <f ca="1">AVERAGE(OFFSET($CX$3,0,0,'Données projet'!$E$13+1,1))-AVERAGE(OFFSET($H$3,0,0,'Données projet'!$E$13+1,1))</f>
        <v>280.25710840677186</v>
      </c>
      <c r="CZ57" s="59">
        <f t="shared" si="42"/>
        <v>209.65224013288037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6.6</v>
      </c>
      <c r="DO57" s="12">
        <f>IF('Données projet'!$A$166&gt;35,DO56+DN57-DW56,IF(A57&lt;'Données projet'!$A$166,$DL$205^A57,IF(A57='Données projet'!$A$166,'Données projet'!$B$166,DO56+DN57-DW56)))</f>
        <v>211.40000000000003</v>
      </c>
      <c r="DP57" s="17">
        <f>DO57*VLOOKUP('Données projet'!$B$14,Paramètres!$A$1:$I$89,3,0)*VLOOKUP('Données projet'!$B$14,Paramètres!$A$1:$I$89,5,0)</f>
        <v>220.95528000000007</v>
      </c>
      <c r="DQ57" s="13">
        <f t="shared" si="43"/>
        <v>54.322458723287411</v>
      </c>
      <c r="DR57" s="20">
        <f t="shared" si="16"/>
        <v>479.44206160972567</v>
      </c>
      <c r="DS57" s="59">
        <f t="shared" si="17"/>
        <v>772.77539494305893</v>
      </c>
      <c r="DT57" s="59">
        <f ca="1">AVERAGE(OFFSET($DS$3,0,0,'Données projet'!$E$14+1,1))-AVERAGE(OFFSET($H$3,0,0,'Données projet'!$E$14+1,1))</f>
        <v>330.14201227773452</v>
      </c>
      <c r="DU57" s="59">
        <f t="shared" si="44"/>
        <v>307.07297894926467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8.729939435644285</v>
      </c>
      <c r="EB57" s="21">
        <f>EXP(-LN(2)/25)*EB56+(1-EXP(-LN(2)/25))/(LN(2)/25)*Calculateur!DW57*Calculateur!DY57*VLOOKUP('Données projet'!$B$14,Paramètres!$A$1:$I$89,3,0)*0.475*44/12</f>
        <v>16.739051175323056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25.468990610967339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6.4</v>
      </c>
      <c r="EJ57" s="12">
        <f>IF('Données projet'!$A$192&gt;35,EJ56+EI57-ER56,IF(A57&lt;'Données projet'!$A$192,$EG$205^A57,IF(A57='Données projet'!$A$192,'Données projet'!$B$192,EJ56+EI57-ER56)))</f>
        <v>216.60000000000008</v>
      </c>
      <c r="EK57" s="17">
        <f>EJ57*VLOOKUP('Données projet'!$B$15,Paramètres!$A$1:$I$89,3,0)*VLOOKUP('Données projet'!$B$15,Paramètres!$A$1:$I$89,5,0)</f>
        <v>141.91632000000007</v>
      </c>
      <c r="EL57" s="13">
        <f t="shared" si="45"/>
        <v>36.735659538535245</v>
      </c>
      <c r="EM57" s="20">
        <f t="shared" si="19"/>
        <v>311.15219769628237</v>
      </c>
      <c r="EN57" s="59">
        <f t="shared" si="20"/>
        <v>604.48553102961569</v>
      </c>
      <c r="EO57" s="59">
        <f ca="1">AVERAGE(OFFSET($EN$3,0,0,'Données projet'!$E$15+1,1))-AVERAGE(OFFSET($H$3,0,0,'Données projet'!$E$15+1,1))</f>
        <v>183.30081488041924</v>
      </c>
      <c r="EP57" s="59">
        <f t="shared" si="46"/>
        <v>199.33099759570928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5.6264753674488546</v>
      </c>
      <c r="EX57" s="21">
        <f>EXP(-LN(2)/2)*EX56+(1-EXP(-LN(2)/2))/(LN(2)/2)*ER57*EU57*VLOOKUP('Données projet'!$B$15,Paramètres!$A$1:$I$89,3,0)*0.475*44/12</f>
        <v>1.3615143804234948</v>
      </c>
      <c r="EY57" s="22">
        <f t="shared" si="21"/>
        <v>6.9879897478723496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14.668131868131875</v>
      </c>
      <c r="N58" s="13">
        <f>IF('Données projet'!$A$36&gt;35,N57+M58-V57,IF(A58&lt;'Données projet'!$A$36,$K$205^A58,IF(A58='Données projet'!$A$36,'Données projet'!$B$36,N57+M58-V57)))</f>
        <v>333.3857142857143</v>
      </c>
      <c r="O58" s="13">
        <f>N58*VLOOKUP('Données projet'!$B$9,Paramètres!$A$1:$I$89,3,0)*VLOOKUP('Données projet'!$B$9,Paramètres!$A$1:$I$89,5,0)</f>
        <v>156.0245142857143</v>
      </c>
      <c r="P58" s="13">
        <f t="shared" si="33"/>
        <v>39.944524680961258</v>
      </c>
      <c r="Q58" s="20">
        <f t="shared" si="53"/>
        <v>341.31274286695992</v>
      </c>
      <c r="R58" s="59">
        <f t="shared" si="0"/>
        <v>634.64607620029324</v>
      </c>
      <c r="S58" s="59">
        <f ca="1">AVERAGE(OFFSET($R$3,0,0,'Données projet'!$E$9+1,1))-AVERAGE(OFFSET($H$3,0,0,'Données projet'!$E$9+1,1))</f>
        <v>205.73717397588365</v>
      </c>
      <c r="T58" s="59">
        <f t="shared" si="34"/>
        <v>190.64998698136026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20.05190034866969</v>
      </c>
      <c r="AA58" s="21">
        <f>EXP(-LN(2)/25)*AA57+(1-EXP(-LN(2)/25))/(LN(2)/25)*Calculateur!V58*Calculateur!X58*VLOOKUP('Données projet'!$B$9,Paramètres!$A$1:$I$89,3,0)*0.475*44/12</f>
        <v>28.458854879656766</v>
      </c>
      <c r="AB58" s="21">
        <f>EXP(-LN(2)/2)*AB57+(1-EXP(-LN(2)/2))/(LN(2)/2)*V58*Y58*VLOOKUP('Données projet'!$B$9,Paramètres!$A$1:$I$89,3,0)*0.475*44/12</f>
        <v>1.2892974577255243</v>
      </c>
      <c r="AC58" s="22">
        <f t="shared" si="3"/>
        <v>49.800052686051984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283.73369613548124</v>
      </c>
      <c r="AO58" s="59">
        <f t="shared" si="36"/>
        <v>249.77804091581208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-1.1368683772161603E-13</v>
      </c>
      <c r="BE58" s="13">
        <f>BD58*VLOOKUP('Données projet'!$B$11,Paramètres!$A$1:$I$89,3,0)*VLOOKUP('Données projet'!$B$11,Paramètres!$A$1:$I$89,5,0)</f>
        <v>-6.3550942286383367E-14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278.5296012747549</v>
      </c>
      <c r="BJ58" s="59">
        <f t="shared" si="38"/>
        <v>370.55343097937077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226.65708196256534</v>
      </c>
      <c r="BQ58" s="21">
        <f>EXP(-LN(2)/25)*BQ57+(1-EXP(-LN(2)/25))/(LN(2)/25)*Calculateur!BL58*Calculateur!BN58*VLOOKUP('Données projet'!$B$11,Paramètres!$A$1:$I$89,3,0)*0.475*44/12</f>
        <v>57.607680388239864</v>
      </c>
      <c r="BR58" s="21">
        <f>EXP(-LN(2)/2)*BR57+(1-EXP(-LN(2)/2))/(LN(2)/2)*BL58*BO58*VLOOKUP('Données projet'!$B$11,Paramètres!$A$1:$I$89,3,0)*0.475*44/12</f>
        <v>34.161304004112452</v>
      </c>
      <c r="BS58" s="22">
        <f t="shared" si="9"/>
        <v>318.42606635491768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-5.6843418860808015E-14</v>
      </c>
      <c r="BZ58" s="13">
        <f>BY58*VLOOKUP('Données projet'!$B$12,Paramètres!$A$1:$I$89,3,0)*VLOOKUP('Données projet'!$B$12,Paramètres!$A$1:$I$89,5,0)</f>
        <v>-3.1036506698001178E-14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159.92263609041913</v>
      </c>
      <c r="CE58" s="59">
        <f t="shared" si="40"/>
        <v>271.78119133009307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50.107554521769742</v>
      </c>
      <c r="CL58" s="21">
        <f>EXP(-LN(2)/25)*CL57+(1-EXP(-LN(2)/25))/(LN(2)/25)*Calculateur!CG58*Calculateur!CI58*VLOOKUP('Données projet'!$B$12,Paramètres!$A$1:$I$89,3,0)*0.475*44/12</f>
        <v>98.91301651500784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149.0205710367776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198.44230769230768</v>
      </c>
      <c r="CR58" s="12">
        <f>VLOOKUP(A58,'Données projet'!$A$139:$I$159,9,0)</f>
        <v>8.8736263736263741</v>
      </c>
      <c r="CS58" s="12">
        <f t="array" ref="CS58">INDEX(CR:CR,MIN(IF(ISNUMBER(CR58:CR254),ROW(CR58:CR254),"")))</f>
        <v>8.8736263736263741</v>
      </c>
      <c r="CT58" s="12">
        <f>IF('Données projet'!$A$140&gt;35,CT57+CS58-DB57,IF(A58&lt;'Données projet'!$A$140,$CQ$205^A58,IF(A58='Données projet'!$A$140,'Données projet'!$B$140,CT57+CS58-DB57)))</f>
        <v>198.44230769230774</v>
      </c>
      <c r="CU58" s="17">
        <f>CT58*VLOOKUP('Données projet'!$B$13,Paramètres!$A$1:$I$89,3,0)*VLOOKUP('Données projet'!$B$13,Paramètres!$A$1:$I$89,5,0)</f>
        <v>179.55060000000003</v>
      </c>
      <c r="CV58" s="13">
        <f t="shared" si="41"/>
        <v>45.22218840459005</v>
      </c>
      <c r="CW58" s="20">
        <f t="shared" si="13"/>
        <v>391.47927313799437</v>
      </c>
      <c r="CX58" s="59">
        <f t="shared" si="14"/>
        <v>684.81260647132763</v>
      </c>
      <c r="CY58" s="59">
        <f ca="1">AVERAGE(OFFSET($CX$3,0,0,'Données projet'!$E$13+1,1))-AVERAGE(OFFSET($H$3,0,0,'Données projet'!$E$13+1,1))</f>
        <v>280.25710840677186</v>
      </c>
      <c r="CZ58" s="59">
        <f t="shared" si="42"/>
        <v>209.65224013288037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45.147435897435898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218</v>
      </c>
      <c r="DM58" s="12">
        <f>VLOOKUP(A58,'Données projet'!$A$165:$I$185,9,0)</f>
        <v>6.6</v>
      </c>
      <c r="DN58" s="12">
        <f t="array" ref="DN58">INDEX(DM:DM,MIN(IF(ISNUMBER(DM58:DM254),ROW(DM58:DM254),"")))</f>
        <v>6.6</v>
      </c>
      <c r="DO58" s="12">
        <f>IF('Données projet'!$A$166&gt;35,DO57+DN58-DW57,IF(A58&lt;'Données projet'!$A$166,$DL$205^A58,IF(A58='Données projet'!$A$166,'Données projet'!$B$166,DO57+DN58-DW57)))</f>
        <v>218.00000000000003</v>
      </c>
      <c r="DP58" s="17">
        <f>DO58*VLOOKUP('Données projet'!$B$14,Paramètres!$A$1:$I$89,3,0)*VLOOKUP('Données projet'!$B$14,Paramètres!$A$1:$I$89,5,0)</f>
        <v>227.85360000000006</v>
      </c>
      <c r="DQ58" s="13">
        <f t="shared" si="43"/>
        <v>55.818326719749848</v>
      </c>
      <c r="DR58" s="20">
        <f t="shared" si="16"/>
        <v>494.06193903689768</v>
      </c>
      <c r="DS58" s="59">
        <f t="shared" si="17"/>
        <v>787.39527237023094</v>
      </c>
      <c r="DT58" s="59">
        <f ca="1">AVERAGE(OFFSET($DS$3,0,0,'Données projet'!$E$14+1,1))-AVERAGE(OFFSET($H$3,0,0,'Données projet'!$E$14+1,1))</f>
        <v>330.14201227773452</v>
      </c>
      <c r="DU58" s="59">
        <f t="shared" si="44"/>
        <v>307.07297894926467</v>
      </c>
      <c r="DV58" s="15">
        <f>IF(ISNA(VLOOKUP(A58,'Données projet'!$A$165:$I$185,3,0)),0,VLOOKUP(A58,'Données projet'!$A$165:$I$185,3,0))</f>
        <v>8</v>
      </c>
      <c r="DW58" s="15" t="str">
        <f>IF(ISNA(VLOOKUP(A58,'Données projet'!$A$165:$I$185,4,0)),0,VLOOKUP(A58,'Données projet'!$A$165:$I$185,4,0))</f>
        <v>23</v>
      </c>
      <c r="DX58" s="16">
        <f>IF(ISNA(VLOOKUP(A58,'Données projet'!$A$165:$I$185,5,0)),0%,VLOOKUP(A58,'Données projet'!$A$165:$I$185,5,0)*VLOOKUP('Données projet'!$B$14,Paramètres!$A$1:$I$89,7,0))</f>
        <v>0.17200000000000001</v>
      </c>
      <c r="DY58" s="16">
        <f>IF(ISNA(VLOOKUP(A58,'Données projet'!$A$165:$I$185,6,0)),0%,VLOOKUP(A58,'Données projet'!$A$165:$I$185,6,0)*VLOOKUP('Données projet'!$B$14,Paramètres!$A$1:$I$89,7,0))</f>
        <v>0.17200000000000001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13.129661954609677</v>
      </c>
      <c r="EB58" s="21">
        <f>EXP(-LN(2)/25)*EB57+(1-EXP(-LN(2)/25))/(LN(2)/25)*Calculateur!DW58*Calculateur!DY58*VLOOKUP('Données projet'!$B$14,Paramètres!$A$1:$I$89,3,0)*0.475*44/12</f>
        <v>20.834234827758813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33.963896782368494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223</v>
      </c>
      <c r="EH58" s="12">
        <f>VLOOKUP(A58,'Données projet'!$A$191:$I$211,9,0)</f>
        <v>6.4</v>
      </c>
      <c r="EI58" s="12">
        <f t="array" ref="EI58">INDEX(EH:EH,MIN(IF(ISNUMBER(EH58:EH254),ROW(EH58:EH254),"")))</f>
        <v>6.4</v>
      </c>
      <c r="EJ58" s="12">
        <f>IF('Données projet'!$A$192&gt;35,EJ57+EI58-ER57,IF(A58&lt;'Données projet'!$A$192,$EG$205^A58,IF(A58='Données projet'!$A$192,'Données projet'!$B$192,EJ57+EI58-ER57)))</f>
        <v>223.00000000000009</v>
      </c>
      <c r="EK58" s="17">
        <f>EJ58*VLOOKUP('Données projet'!$B$15,Paramètres!$A$1:$I$89,3,0)*VLOOKUP('Données projet'!$B$15,Paramètres!$A$1:$I$89,5,0)</f>
        <v>146.10960000000006</v>
      </c>
      <c r="EL58" s="13">
        <f t="shared" si="45"/>
        <v>37.693130662388469</v>
      </c>
      <c r="EM58" s="20">
        <f t="shared" si="19"/>
        <v>320.12308923699328</v>
      </c>
      <c r="EN58" s="59">
        <f t="shared" si="20"/>
        <v>613.45642257032659</v>
      </c>
      <c r="EO58" s="59">
        <f ca="1">AVERAGE(OFFSET($EN$3,0,0,'Données projet'!$E$15+1,1))-AVERAGE(OFFSET($H$3,0,0,'Données projet'!$E$15+1,1))</f>
        <v>183.30081488041924</v>
      </c>
      <c r="EP58" s="59">
        <f t="shared" si="46"/>
        <v>199.33099759570928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23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0.129</v>
      </c>
      <c r="EU58" s="16">
        <f>IF(ISNA(VLOOKUP(A58,'Données projet'!$A$191:$I$211,7,0)),0%,VLOOKUP(A58,'Données projet'!$A$191:$I$211,7,0))</f>
        <v>0.3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7.6131681689625221</v>
      </c>
      <c r="EX58" s="21">
        <f>EXP(-LN(2)/2)*EX57+(1-EXP(-LN(2)/2))/(LN(2)/2)*ER58*EU58*VLOOKUP('Données projet'!$B$15,Paramètres!$A$1:$I$89,3,0)*0.475*44/12</f>
        <v>5.2283080087816618</v>
      </c>
      <c r="EY58" s="22">
        <f t="shared" si="21"/>
        <v>12.841476177744184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348.05384615384617</v>
      </c>
      <c r="L59" s="12">
        <f>VLOOKUP(A59,'Données projet'!$A$35:$I$55,9,0)</f>
        <v>14.668131868131875</v>
      </c>
      <c r="M59" s="12">
        <f t="array" ref="M59">INDEX(L:L,MIN(IF(ISNUMBER(L59:L255),ROW(L59:L255),"")))</f>
        <v>14.668131868131875</v>
      </c>
      <c r="N59" s="13">
        <f>IF('Données projet'!$A$36&gt;35,N58+M59-V58,IF(A59&lt;'Données projet'!$A$36,$K$205^A59,IF(A59='Données projet'!$A$36,'Données projet'!$B$36,N58+M59-V58)))</f>
        <v>348.05384615384617</v>
      </c>
      <c r="O59" s="13">
        <f>N59*VLOOKUP('Données projet'!$B$9,Paramètres!$A$1:$I$89,3,0)*VLOOKUP('Données projet'!$B$9,Paramètres!$A$1:$I$89,5,0)</f>
        <v>162.88919999999999</v>
      </c>
      <c r="P59" s="13">
        <f t="shared" si="33"/>
        <v>41.493502222820894</v>
      </c>
      <c r="Q59" s="20">
        <f t="shared" si="53"/>
        <v>355.96653970474637</v>
      </c>
      <c r="R59" s="59">
        <f t="shared" si="0"/>
        <v>649.29987303807968</v>
      </c>
      <c r="S59" s="59">
        <f ca="1">AVERAGE(OFFSET($R$3,0,0,'Données projet'!$E$9+1,1))-AVERAGE(OFFSET($H$3,0,0,'Données projet'!$E$9+1,1))</f>
        <v>205.73717397588365</v>
      </c>
      <c r="T59" s="59">
        <f t="shared" si="34"/>
        <v>190.64998698136026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72.769230769230759</v>
      </c>
      <c r="W59" s="16">
        <f>IF(ISNA(VLOOKUP(A59,'Données projet'!$A$35:$I$55,5,0)),0%,VLOOKUP(A59,'Données projet'!$A$35:$I$55,5,0)*VLOOKUP('Données projet'!$B$9,Paramètres!$A$1:$I$89,7,0))</f>
        <v>0.38500000000000001</v>
      </c>
      <c r="X59" s="16">
        <f>IF(ISNA(VLOOKUP(A59,'Données projet'!$A$35:$I$55,6,0)),0%,VLOOKUP(A59,'Données projet'!$A$35:$I$55,6,0)*VLOOKUP('Données projet'!$B$9,Paramètres!$A$1:$I$89,7,0))</f>
        <v>9.240000000000001E-2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37.05202426464669</v>
      </c>
      <c r="AA59" s="21">
        <f>EXP(-LN(2)/25)*AA58+(1-EXP(-LN(2)/25))/(LN(2)/25)*Calculateur!V59*Calculateur!X59*VLOOKUP('Données projet'!$B$9,Paramètres!$A$1:$I$89,3,0)*0.475*44/12</f>
        <v>31.838608865010755</v>
      </c>
      <c r="AB59" s="21">
        <f>EXP(-LN(2)/2)*AB58+(1-EXP(-LN(2)/2))/(LN(2)/2)*V59*Y59*VLOOKUP('Données projet'!$B$9,Paramètres!$A$1:$I$89,3,0)*0.475*44/12</f>
        <v>6.0014989877663876</v>
      </c>
      <c r="AC59" s="22">
        <f t="shared" si="3"/>
        <v>74.892132117423827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283.73369613548124</v>
      </c>
      <c r="AO59" s="59">
        <f t="shared" si="36"/>
        <v>249.77804091581208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-1.1368683772161603E-13</v>
      </c>
      <c r="BE59" s="13">
        <f>BD59*VLOOKUP('Données projet'!$B$11,Paramètres!$A$1:$I$89,3,0)*VLOOKUP('Données projet'!$B$11,Paramètres!$A$1:$I$89,5,0)</f>
        <v>-6.3550942286383367E-14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278.5296012747549</v>
      </c>
      <c r="BJ59" s="59">
        <f t="shared" si="38"/>
        <v>370.55343097937077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222.21247483244866</v>
      </c>
      <c r="BQ59" s="21">
        <f>EXP(-LN(2)/25)*BQ58+(1-EXP(-LN(2)/25))/(LN(2)/25)*Calculateur!BL59*Calculateur!BN59*VLOOKUP('Données projet'!$B$11,Paramètres!$A$1:$I$89,3,0)*0.475*44/12</f>
        <v>56.032395338567198</v>
      </c>
      <c r="BR59" s="21">
        <f>EXP(-LN(2)/2)*BR58+(1-EXP(-LN(2)/2))/(LN(2)/2)*BL59*BO59*VLOOKUP('Données projet'!$B$11,Paramètres!$A$1:$I$89,3,0)*0.475*44/12</f>
        <v>24.155689715483074</v>
      </c>
      <c r="BS59" s="22">
        <f t="shared" si="9"/>
        <v>302.40055988649891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-5.6843418860808015E-14</v>
      </c>
      <c r="BZ59" s="13">
        <f>BY59*VLOOKUP('Données projet'!$B$12,Paramètres!$A$1:$I$89,3,0)*VLOOKUP('Données projet'!$B$12,Paramètres!$A$1:$I$89,5,0)</f>
        <v>-3.1036506698001178E-14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159.92263609041913</v>
      </c>
      <c r="CE59" s="59">
        <f t="shared" si="40"/>
        <v>271.78119133009307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49.124975940188293</v>
      </c>
      <c r="CL59" s="21">
        <f>EXP(-LN(2)/25)*CL58+(1-EXP(-LN(2)/25))/(LN(2)/25)*Calculateur!CG59*Calculateur!CI59*VLOOKUP('Données projet'!$B$12,Paramètres!$A$1:$I$89,3,0)*0.475*44/12</f>
        <v>96.208234876795487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145.33321081698378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8.374198717948719</v>
      </c>
      <c r="CT59" s="12">
        <f>IF('Données projet'!$A$140&gt;35,CT58+CS59-DB58,IF(A59&lt;'Données projet'!$A$140,$CQ$205^A59,IF(A59='Données projet'!$A$140,'Données projet'!$B$140,CT58+CS59-DB58)))</f>
        <v>161.66907051282055</v>
      </c>
      <c r="CU59" s="17">
        <f>CT59*VLOOKUP('Données projet'!$B$13,Paramètres!$A$1:$I$89,3,0)*VLOOKUP('Données projet'!$B$13,Paramètres!$A$1:$I$89,5,0)</f>
        <v>146.27817500000003</v>
      </c>
      <c r="CV59" s="13">
        <f t="shared" si="41"/>
        <v>37.731554716297467</v>
      </c>
      <c r="CW59" s="20">
        <f t="shared" si="13"/>
        <v>320.48361258921813</v>
      </c>
      <c r="CX59" s="59">
        <f t="shared" si="14"/>
        <v>613.81694592255144</v>
      </c>
      <c r="CY59" s="59">
        <f ca="1">AVERAGE(OFFSET($CX$3,0,0,'Données projet'!$E$13+1,1))-AVERAGE(OFFSET($H$3,0,0,'Données projet'!$E$13+1,1))</f>
        <v>280.25710840677186</v>
      </c>
      <c r="CZ59" s="59">
        <f t="shared" si="42"/>
        <v>209.65224013288037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</v>
      </c>
      <c r="DO59" s="12">
        <f>IF('Données projet'!$A$166&gt;35,DO58+DN59-DW58,IF(A59&lt;'Données projet'!$A$166,$DL$205^A59,IF(A59='Données projet'!$A$166,'Données projet'!$B$166,DO58+DN59-DW58)))</f>
        <v>201.00000000000003</v>
      </c>
      <c r="DP59" s="17">
        <f>DO59*VLOOKUP('Données projet'!$B$14,Paramètres!$A$1:$I$89,3,0)*VLOOKUP('Données projet'!$B$14,Paramètres!$A$1:$I$89,5,0)</f>
        <v>210.08520000000004</v>
      </c>
      <c r="DQ59" s="13">
        <f t="shared" si="43"/>
        <v>51.954203602341138</v>
      </c>
      <c r="DR59" s="20">
        <f t="shared" si="16"/>
        <v>456.38529460741091</v>
      </c>
      <c r="DS59" s="59">
        <f t="shared" si="17"/>
        <v>749.71862794074423</v>
      </c>
      <c r="DT59" s="59">
        <f ca="1">AVERAGE(OFFSET($DS$3,0,0,'Données projet'!$E$14+1,1))-AVERAGE(OFFSET($H$3,0,0,'Données projet'!$E$14+1,1))</f>
        <v>330.14201227773452</v>
      </c>
      <c r="DU59" s="59">
        <f t="shared" si="44"/>
        <v>307.07297894926467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12.87219729198282</v>
      </c>
      <c r="EB59" s="21">
        <f>EXP(-LN(2)/25)*EB58+(1-EXP(-LN(2)/25))/(LN(2)/25)*Calculateur!DW59*Calculateur!DY59*VLOOKUP('Données projet'!$B$14,Paramètres!$A$1:$I$89,3,0)*0.475*44/12</f>
        <v>20.264521580768957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33.136718872751779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5.8</v>
      </c>
      <c r="EJ59" s="12">
        <f>IF('Données projet'!$A$192&gt;35,EJ58+EI59-ER58,IF(A59&lt;'Données projet'!$A$192,$EG$205^A59,IF(A59='Données projet'!$A$192,'Données projet'!$B$192,EJ58+EI59-ER58)))</f>
        <v>205.8000000000001</v>
      </c>
      <c r="EK59" s="17">
        <f>EJ59*VLOOKUP('Données projet'!$B$15,Paramètres!$A$1:$I$89,3,0)*VLOOKUP('Données projet'!$B$15,Paramètres!$A$1:$I$89,5,0)</f>
        <v>134.84016000000005</v>
      </c>
      <c r="EL59" s="13">
        <f t="shared" si="45"/>
        <v>35.112387625030664</v>
      </c>
      <c r="EM59" s="20">
        <f t="shared" si="19"/>
        <v>296.00068711359518</v>
      </c>
      <c r="EN59" s="59">
        <f t="shared" si="20"/>
        <v>589.33402044692843</v>
      </c>
      <c r="EO59" s="59">
        <f ca="1">AVERAGE(OFFSET($EN$3,0,0,'Données projet'!$E$15+1,1))-AVERAGE(OFFSET($H$3,0,0,'Données projet'!$E$15+1,1))</f>
        <v>183.30081488041924</v>
      </c>
      <c r="EP59" s="59">
        <f t="shared" si="46"/>
        <v>199.33099759570928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7.4049856850231279</v>
      </c>
      <c r="EX59" s="21">
        <f>EXP(-LN(2)/2)*EX58+(1-EXP(-LN(2)/2))/(LN(2)/2)*ER59*EU59*VLOOKUP('Données projet'!$B$15,Paramètres!$A$1:$I$89,3,0)*0.475*44/12</f>
        <v>3.6969720471414487</v>
      </c>
      <c r="EY59" s="22">
        <f t="shared" si="21"/>
        <v>11.101957732164577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14.270329670329668</v>
      </c>
      <c r="N60" s="13">
        <f>IF('Données projet'!$A$36&gt;35,N59+M60-V59,IF(A60&lt;'Données projet'!$A$36,$K$205^A60,IF(A60='Données projet'!$A$36,'Données projet'!$B$36,N59+M60-V59)))</f>
        <v>289.55494505494505</v>
      </c>
      <c r="O60" s="13">
        <f>N60*VLOOKUP('Données projet'!$B$9,Paramètres!$A$1:$I$89,3,0)*VLOOKUP('Données projet'!$B$9,Paramètres!$A$1:$I$89,5,0)</f>
        <v>135.51171428571428</v>
      </c>
      <c r="P60" s="13">
        <f t="shared" si="33"/>
        <v>35.26686051307076</v>
      </c>
      <c r="Q60" s="20">
        <f t="shared" si="53"/>
        <v>297.43935110788397</v>
      </c>
      <c r="R60" s="59">
        <f t="shared" si="0"/>
        <v>590.77268444121728</v>
      </c>
      <c r="S60" s="59">
        <f ca="1">AVERAGE(OFFSET($R$3,0,0,'Données projet'!$E$9+1,1))-AVERAGE(OFFSET($H$3,0,0,'Données projet'!$E$9+1,1))</f>
        <v>205.73717397588365</v>
      </c>
      <c r="T60" s="59">
        <f t="shared" si="34"/>
        <v>190.64998698136026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36.325456668320257</v>
      </c>
      <c r="AA60" s="21">
        <f>EXP(-LN(2)/25)*AA59+(1-EXP(-LN(2)/25))/(LN(2)/25)*Calculateur!V60*Calculateur!X60*VLOOKUP('Données projet'!$B$9,Paramètres!$A$1:$I$89,3,0)*0.475*44/12</f>
        <v>30.967980431277365</v>
      </c>
      <c r="AB60" s="21">
        <f>EXP(-LN(2)/2)*AB59+(1-EXP(-LN(2)/2))/(LN(2)/2)*V60*Y60*VLOOKUP('Données projet'!$B$9,Paramètres!$A$1:$I$89,3,0)*0.475*44/12</f>
        <v>4.2437006315338142</v>
      </c>
      <c r="AC60" s="22">
        <f t="shared" si="3"/>
        <v>71.537137731131438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283.73369613548124</v>
      </c>
      <c r="AO60" s="59">
        <f t="shared" si="36"/>
        <v>249.77804091581208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-1.1368683772161603E-13</v>
      </c>
      <c r="BE60" s="13">
        <f>BD60*VLOOKUP('Données projet'!$B$11,Paramètres!$A$1:$I$89,3,0)*VLOOKUP('Données projet'!$B$11,Paramètres!$A$1:$I$89,5,0)</f>
        <v>-6.3550942286383367E-14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278.5296012747549</v>
      </c>
      <c r="BJ60" s="59">
        <f t="shared" si="38"/>
        <v>370.55343097937077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217.8550237372109</v>
      </c>
      <c r="BQ60" s="21">
        <f>EXP(-LN(2)/25)*BQ59+(1-EXP(-LN(2)/25))/(LN(2)/25)*Calculateur!BL60*Calculateur!BN60*VLOOKUP('Données projet'!$B$11,Paramètres!$A$1:$I$89,3,0)*0.475*44/12</f>
        <v>54.500186541418472</v>
      </c>
      <c r="BR60" s="21">
        <f>EXP(-LN(2)/2)*BR59+(1-EXP(-LN(2)/2))/(LN(2)/2)*BL60*BO60*VLOOKUP('Données projet'!$B$11,Paramètres!$A$1:$I$89,3,0)*0.475*44/12</f>
        <v>17.08065200205623</v>
      </c>
      <c r="BS60" s="22">
        <f t="shared" si="9"/>
        <v>289.43586228068563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-5.6843418860808015E-14</v>
      </c>
      <c r="BZ60" s="13">
        <f>BY60*VLOOKUP('Données projet'!$B$12,Paramètres!$A$1:$I$89,3,0)*VLOOKUP('Données projet'!$B$12,Paramètres!$A$1:$I$89,5,0)</f>
        <v>-3.1036506698001178E-14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159.92263609041913</v>
      </c>
      <c r="CE60" s="59">
        <f t="shared" si="40"/>
        <v>271.78119133009307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48.161665125277899</v>
      </c>
      <c r="CL60" s="21">
        <f>EXP(-LN(2)/25)*CL59+(1-EXP(-LN(2)/25))/(LN(2)/25)*Calculateur!CG60*Calculateur!CI60*VLOOKUP('Données projet'!$B$12,Paramètres!$A$1:$I$89,3,0)*0.475*44/12</f>
        <v>93.577415634718335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141.73908075999623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8.374198717948719</v>
      </c>
      <c r="CT60" s="12">
        <f>IF('Données projet'!$A$140&gt;35,CT59+CS60-DB59,IF(A60&lt;'Données projet'!$A$140,$CQ$205^A60,IF(A60='Données projet'!$A$140,'Données projet'!$B$140,CT59+CS60-DB59)))</f>
        <v>170.04326923076928</v>
      </c>
      <c r="CU60" s="17">
        <f>CT60*VLOOKUP('Données projet'!$B$13,Paramètres!$A$1:$I$89,3,0)*VLOOKUP('Données projet'!$B$13,Paramètres!$A$1:$I$89,5,0)</f>
        <v>153.85515000000004</v>
      </c>
      <c r="CV60" s="13">
        <f t="shared" si="41"/>
        <v>39.453384193994481</v>
      </c>
      <c r="CW60" s="20">
        <f t="shared" si="13"/>
        <v>336.67903038787375</v>
      </c>
      <c r="CX60" s="59">
        <f t="shared" si="14"/>
        <v>630.01236372120707</v>
      </c>
      <c r="CY60" s="59">
        <f ca="1">AVERAGE(OFFSET($CX$3,0,0,'Données projet'!$E$13+1,1))-AVERAGE(OFFSET($H$3,0,0,'Données projet'!$E$13+1,1))</f>
        <v>280.25710840677186</v>
      </c>
      <c r="CZ60" s="59">
        <f t="shared" si="42"/>
        <v>209.65224013288037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</v>
      </c>
      <c r="DO60" s="12">
        <f>IF('Données projet'!$A$166&gt;35,DO59+DN60-DW59,IF(A60&lt;'Données projet'!$A$166,$DL$205^A60,IF(A60='Données projet'!$A$166,'Données projet'!$B$166,DO59+DN60-DW59)))</f>
        <v>207.00000000000003</v>
      </c>
      <c r="DP60" s="17">
        <f>DO60*VLOOKUP('Données projet'!$B$14,Paramètres!$A$1:$I$89,3,0)*VLOOKUP('Données projet'!$B$14,Paramètres!$A$1:$I$89,5,0)</f>
        <v>216.35640000000004</v>
      </c>
      <c r="DQ60" s="13">
        <f t="shared" si="43"/>
        <v>53.322199188237285</v>
      </c>
      <c r="DR60" s="20">
        <f t="shared" si="16"/>
        <v>469.69022691951341</v>
      </c>
      <c r="DS60" s="59">
        <f t="shared" si="17"/>
        <v>763.02356025284666</v>
      </c>
      <c r="DT60" s="59">
        <f ca="1">AVERAGE(OFFSET($DS$3,0,0,'Données projet'!$E$14+1,1))-AVERAGE(OFFSET($H$3,0,0,'Données projet'!$E$14+1,1))</f>
        <v>330.14201227773452</v>
      </c>
      <c r="DU60" s="59">
        <f t="shared" si="44"/>
        <v>307.07297894926467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12.619781354352137</v>
      </c>
      <c r="EB60" s="21">
        <f>EXP(-LN(2)/25)*EB59+(1-EXP(-LN(2)/25))/(LN(2)/25)*Calculateur!DW60*Calculateur!DY60*VLOOKUP('Données projet'!$B$14,Paramètres!$A$1:$I$89,3,0)*0.475*44/12</f>
        <v>19.710387172477954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32.330168526830093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5.8</v>
      </c>
      <c r="EJ60" s="12">
        <f>IF('Données projet'!$A$192&gt;35,EJ59+EI60-ER59,IF(A60&lt;'Données projet'!$A$192,$EG$205^A60,IF(A60='Données projet'!$A$192,'Données projet'!$B$192,EJ59+EI60-ER59)))</f>
        <v>211.60000000000011</v>
      </c>
      <c r="EK60" s="17">
        <f>EJ60*VLOOKUP('Données projet'!$B$15,Paramètres!$A$1:$I$89,3,0)*VLOOKUP('Données projet'!$B$15,Paramètres!$A$1:$I$89,5,0)</f>
        <v>138.64032000000006</v>
      </c>
      <c r="EL60" s="13">
        <f t="shared" si="45"/>
        <v>35.985345198165817</v>
      </c>
      <c r="EM60" s="20">
        <f t="shared" si="19"/>
        <v>304.13970022013888</v>
      </c>
      <c r="EN60" s="59">
        <f t="shared" si="20"/>
        <v>597.47303355347219</v>
      </c>
      <c r="EO60" s="59">
        <f ca="1">AVERAGE(OFFSET($EN$3,0,0,'Données projet'!$E$15+1,1))-AVERAGE(OFFSET($H$3,0,0,'Données projet'!$E$15+1,1))</f>
        <v>183.30081488041924</v>
      </c>
      <c r="EP60" s="59">
        <f t="shared" si="46"/>
        <v>199.33099759570928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7.2024959620548978</v>
      </c>
      <c r="EX60" s="21">
        <f>EXP(-LN(2)/2)*EX59+(1-EXP(-LN(2)/2))/(LN(2)/2)*ER60*EU60*VLOOKUP('Données projet'!$B$15,Paramètres!$A$1:$I$89,3,0)*0.475*44/12</f>
        <v>2.6141540043908313</v>
      </c>
      <c r="EY60" s="22">
        <f t="shared" si="21"/>
        <v>9.8166499664457287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14.270329670329668</v>
      </c>
      <c r="N61" s="13">
        <f>IF('Données projet'!$A$36&gt;35,N60+M61-V60,IF(A61&lt;'Données projet'!$A$36,$K$205^A61,IF(A61='Données projet'!$A$36,'Données projet'!$B$36,N60+M61-V60)))</f>
        <v>303.82527472527471</v>
      </c>
      <c r="O61" s="13">
        <f>N61*VLOOKUP('Données projet'!$B$9,Paramètres!$A$1:$I$89,3,0)*VLOOKUP('Données projet'!$B$9,Paramètres!$A$1:$I$89,5,0)</f>
        <v>142.19022857142855</v>
      </c>
      <c r="P61" s="13">
        <f t="shared" si="33"/>
        <v>36.798301893816983</v>
      </c>
      <c r="Q61" s="20">
        <f t="shared" si="53"/>
        <v>311.7383572269693</v>
      </c>
      <c r="R61" s="59">
        <f t="shared" si="0"/>
        <v>605.07169056030261</v>
      </c>
      <c r="S61" s="59">
        <f ca="1">AVERAGE(OFFSET($R$3,0,0,'Données projet'!$E$9+1,1))-AVERAGE(OFFSET($H$3,0,0,'Données projet'!$E$9+1,1))</f>
        <v>205.73717397588365</v>
      </c>
      <c r="T61" s="59">
        <f t="shared" si="34"/>
        <v>190.64998698136026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35.613136619395306</v>
      </c>
      <c r="AA61" s="21">
        <f>EXP(-LN(2)/25)*AA60+(1-EXP(-LN(2)/25))/(LN(2)/25)*Calculateur!V61*Calculateur!X61*VLOOKUP('Données projet'!$B$9,Paramètres!$A$1:$I$89,3,0)*0.475*44/12</f>
        <v>30.121159377848773</v>
      </c>
      <c r="AB61" s="21">
        <f>EXP(-LN(2)/2)*AB60+(1-EXP(-LN(2)/2))/(LN(2)/2)*V61*Y61*VLOOKUP('Données projet'!$B$9,Paramètres!$A$1:$I$89,3,0)*0.475*44/12</f>
        <v>3.0007494938831947</v>
      </c>
      <c r="AC61" s="22">
        <f t="shared" si="3"/>
        <v>68.735045491127266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283.73369613548124</v>
      </c>
      <c r="AO61" s="59">
        <f t="shared" si="36"/>
        <v>249.77804091581208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-1.1368683772161603E-13</v>
      </c>
      <c r="BE61" s="13">
        <f>BD61*VLOOKUP('Données projet'!$B$11,Paramètres!$A$1:$I$89,3,0)*VLOOKUP('Données projet'!$B$11,Paramètres!$A$1:$I$89,5,0)</f>
        <v>-6.3550942286383367E-14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278.5296012747549</v>
      </c>
      <c r="BJ61" s="59">
        <f t="shared" si="38"/>
        <v>370.55343097937077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213.58301960016803</v>
      </c>
      <c r="BQ61" s="21">
        <f>EXP(-LN(2)/25)*BQ60+(1-EXP(-LN(2)/25))/(LN(2)/25)*Calculateur!BL61*Calculateur!BN61*VLOOKUP('Données projet'!$B$11,Paramètres!$A$1:$I$89,3,0)*0.475*44/12</f>
        <v>53.009876074403138</v>
      </c>
      <c r="BR61" s="21">
        <f>EXP(-LN(2)/2)*BR60+(1-EXP(-LN(2)/2))/(LN(2)/2)*BL61*BO61*VLOOKUP('Données projet'!$B$11,Paramètres!$A$1:$I$89,3,0)*0.475*44/12</f>
        <v>12.077844857741541</v>
      </c>
      <c r="BS61" s="22">
        <f t="shared" si="9"/>
        <v>278.67074053231272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-5.6843418860808015E-14</v>
      </c>
      <c r="BZ61" s="13">
        <f>BY61*VLOOKUP('Données projet'!$B$12,Paramètres!$A$1:$I$89,3,0)*VLOOKUP('Données projet'!$B$12,Paramètres!$A$1:$I$89,5,0)</f>
        <v>-3.1036506698001178E-14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159.92263609041913</v>
      </c>
      <c r="CE61" s="59">
        <f t="shared" si="40"/>
        <v>271.78119133009307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47.217244247886313</v>
      </c>
      <c r="CL61" s="21">
        <f>EXP(-LN(2)/25)*CL60+(1-EXP(-LN(2)/25))/(LN(2)/25)*Calculateur!CG61*Calculateur!CI61*VLOOKUP('Données projet'!$B$12,Paramètres!$A$1:$I$89,3,0)*0.475*44/12</f>
        <v>91.018536283164551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138.23578053105086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8.374198717948719</v>
      </c>
      <c r="CT61" s="12">
        <f>IF('Données projet'!$A$140&gt;35,CT60+CS61-DB60,IF(A61&lt;'Données projet'!$A$140,$CQ$205^A61,IF(A61='Données projet'!$A$140,'Données projet'!$B$140,CT60+CS61-DB60)))</f>
        <v>178.41746794871801</v>
      </c>
      <c r="CU61" s="17">
        <f>CT61*VLOOKUP('Données projet'!$B$13,Paramètres!$A$1:$I$89,3,0)*VLOOKUP('Données projet'!$B$13,Paramètres!$A$1:$I$89,5,0)</f>
        <v>161.43212500000007</v>
      </c>
      <c r="CV61" s="13">
        <f t="shared" si="41"/>
        <v>41.16536748337429</v>
      </c>
      <c r="CW61" s="20">
        <f t="shared" si="13"/>
        <v>352.85729940854367</v>
      </c>
      <c r="CX61" s="59">
        <f t="shared" si="14"/>
        <v>646.19063274187693</v>
      </c>
      <c r="CY61" s="59">
        <f ca="1">AVERAGE(OFFSET($CX$3,0,0,'Données projet'!$E$13+1,1))-AVERAGE(OFFSET($H$3,0,0,'Données projet'!$E$13+1,1))</f>
        <v>280.25710840677186</v>
      </c>
      <c r="CZ61" s="59">
        <f t="shared" si="42"/>
        <v>209.65224013288037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</v>
      </c>
      <c r="DO61" s="12">
        <f>IF('Données projet'!$A$166&gt;35,DO60+DN61-DW60,IF(A61&lt;'Données projet'!$A$166,$DL$205^A61,IF(A61='Données projet'!$A$166,'Données projet'!$B$166,DO60+DN61-DW60)))</f>
        <v>213.00000000000003</v>
      </c>
      <c r="DP61" s="17">
        <f>DO61*VLOOKUP('Données projet'!$B$14,Paramètres!$A$1:$I$89,3,0)*VLOOKUP('Données projet'!$B$14,Paramètres!$A$1:$I$89,5,0)</f>
        <v>222.62760000000006</v>
      </c>
      <c r="DQ61" s="13">
        <f t="shared" si="43"/>
        <v>54.685586371535265</v>
      </c>
      <c r="DR61" s="20">
        <f t="shared" si="16"/>
        <v>482.98713293042402</v>
      </c>
      <c r="DS61" s="59">
        <f t="shared" si="17"/>
        <v>776.32046626375734</v>
      </c>
      <c r="DT61" s="59">
        <f ca="1">AVERAGE(OFFSET($DS$3,0,0,'Données projet'!$E$14+1,1))-AVERAGE(OFFSET($H$3,0,0,'Données projet'!$E$14+1,1))</f>
        <v>330.14201227773452</v>
      </c>
      <c r="DU61" s="59">
        <f t="shared" si="44"/>
        <v>307.07297894926467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12.372315139299872</v>
      </c>
      <c r="EB61" s="21">
        <f>EXP(-LN(2)/25)*EB60+(1-EXP(-LN(2)/25))/(LN(2)/25)*Calculateur!DW61*Calculateur!DY61*VLOOKUP('Données projet'!$B$14,Paramètres!$A$1:$I$89,3,0)*0.475*44/12</f>
        <v>19.17140559872233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31.543720738022202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5.8</v>
      </c>
      <c r="EJ61" s="12">
        <f>IF('Données projet'!$A$192&gt;35,EJ60+EI61-ER60,IF(A61&lt;'Données projet'!$A$192,$EG$205^A61,IF(A61='Données projet'!$A$192,'Données projet'!$B$192,EJ60+EI61-ER60)))</f>
        <v>217.40000000000012</v>
      </c>
      <c r="EK61" s="17">
        <f>EJ61*VLOOKUP('Données projet'!$B$15,Paramètres!$A$1:$I$89,3,0)*VLOOKUP('Données projet'!$B$15,Paramètres!$A$1:$I$89,5,0)</f>
        <v>142.44048000000009</v>
      </c>
      <c r="EL61" s="13">
        <f t="shared" si="45"/>
        <v>36.855521628538284</v>
      </c>
      <c r="EM61" s="20">
        <f t="shared" si="19"/>
        <v>312.27386950303764</v>
      </c>
      <c r="EN61" s="59">
        <f t="shared" si="20"/>
        <v>605.60720283637102</v>
      </c>
      <c r="EO61" s="59">
        <f ca="1">AVERAGE(OFFSET($EN$3,0,0,'Données projet'!$E$15+1,1))-AVERAGE(OFFSET($H$3,0,0,'Données projet'!$E$15+1,1))</f>
        <v>183.30081488041924</v>
      </c>
      <c r="EP61" s="59">
        <f t="shared" si="46"/>
        <v>199.33099759570928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7.0055433312097053</v>
      </c>
      <c r="EX61" s="21">
        <f>EXP(-LN(2)/2)*EX60+(1-EXP(-LN(2)/2))/(LN(2)/2)*ER61*EU61*VLOOKUP('Données projet'!$B$15,Paramètres!$A$1:$I$89,3,0)*0.475*44/12</f>
        <v>1.8484860235707248</v>
      </c>
      <c r="EY61" s="22">
        <f t="shared" si="21"/>
        <v>8.8540293547804296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14.270329670329668</v>
      </c>
      <c r="N62" s="13">
        <f>IF('Données projet'!$A$36&gt;35,N61+M62-V61,IF(A62&lt;'Données projet'!$A$36,$K$205^A62,IF(A62='Données projet'!$A$36,'Données projet'!$B$36,N61+M62-V61)))</f>
        <v>318.09560439560437</v>
      </c>
      <c r="O62" s="13">
        <f>N62*VLOOKUP('Données projet'!$B$9,Paramètres!$A$1:$I$89,3,0)*VLOOKUP('Données projet'!$B$9,Paramètres!$A$1:$I$89,5,0)</f>
        <v>148.86874285714285</v>
      </c>
      <c r="P62" s="13">
        <f t="shared" si="33"/>
        <v>38.321390217280914</v>
      </c>
      <c r="Q62" s="20">
        <f t="shared" si="53"/>
        <v>326.02281510462137</v>
      </c>
      <c r="R62" s="59">
        <f t="shared" si="0"/>
        <v>619.35614843795474</v>
      </c>
      <c r="S62" s="59">
        <f ca="1">AVERAGE(OFFSET($R$3,0,0,'Données projet'!$E$9+1,1))-AVERAGE(OFFSET($H$3,0,0,'Données projet'!$E$9+1,1))</f>
        <v>205.73717397588365</v>
      </c>
      <c r="T62" s="59">
        <f t="shared" si="34"/>
        <v>190.64998698136026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34.914784732157443</v>
      </c>
      <c r="AA62" s="21">
        <f>EXP(-LN(2)/25)*AA61+(1-EXP(-LN(2)/25))/(LN(2)/25)*Calculateur!V62*Calculateur!X62*VLOOKUP('Données projet'!$B$9,Paramètres!$A$1:$I$89,3,0)*0.475*44/12</f>
        <v>29.297494690658571</v>
      </c>
      <c r="AB62" s="21">
        <f>EXP(-LN(2)/2)*AB61+(1-EXP(-LN(2)/2))/(LN(2)/2)*V62*Y62*VLOOKUP('Données projet'!$B$9,Paramètres!$A$1:$I$89,3,0)*0.475*44/12</f>
        <v>2.1218503157669075</v>
      </c>
      <c r="AC62" s="22">
        <f t="shared" si="3"/>
        <v>66.334129738582917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283.73369613548124</v>
      </c>
      <c r="AO62" s="59">
        <f t="shared" si="36"/>
        <v>249.77804091581208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-1.1368683772161603E-13</v>
      </c>
      <c r="BE62" s="13">
        <f>BD62*VLOOKUP('Données projet'!$B$11,Paramètres!$A$1:$I$89,3,0)*VLOOKUP('Données projet'!$B$11,Paramètres!$A$1:$I$89,5,0)</f>
        <v>-6.3550942286383367E-14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278.5296012747549</v>
      </c>
      <c r="BJ62" s="59">
        <f t="shared" si="38"/>
        <v>370.55343097937077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209.39478685858731</v>
      </c>
      <c r="BQ62" s="21">
        <f>EXP(-LN(2)/25)*BQ61+(1-EXP(-LN(2)/25))/(LN(2)/25)*Calculateur!BL62*Calculateur!BN62*VLOOKUP('Données projet'!$B$11,Paramètres!$A$1:$I$89,3,0)*0.475*44/12</f>
        <v>51.560318225480358</v>
      </c>
      <c r="BR62" s="21">
        <f>EXP(-LN(2)/2)*BR61+(1-EXP(-LN(2)/2))/(LN(2)/2)*BL62*BO62*VLOOKUP('Données projet'!$B$11,Paramètres!$A$1:$I$89,3,0)*0.475*44/12</f>
        <v>8.5403260010281166</v>
      </c>
      <c r="BS62" s="22">
        <f t="shared" si="9"/>
        <v>269.49543108509579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-5.6843418860808015E-14</v>
      </c>
      <c r="BZ62" s="13">
        <f>BY62*VLOOKUP('Données projet'!$B$12,Paramètres!$A$1:$I$89,3,0)*VLOOKUP('Données projet'!$B$12,Paramètres!$A$1:$I$89,5,0)</f>
        <v>-3.1036506698001178E-14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159.92263609041913</v>
      </c>
      <c r="CE62" s="59">
        <f t="shared" si="40"/>
        <v>271.78119133009307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46.291342887860523</v>
      </c>
      <c r="CL62" s="21">
        <f>EXP(-LN(2)/25)*CL61+(1-EXP(-LN(2)/25))/(LN(2)/25)*Calculateur!CG62*Calculateur!CI62*VLOOKUP('Données projet'!$B$12,Paramètres!$A$1:$I$89,3,0)*0.475*44/12</f>
        <v>88.529629622044624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134.82097250990515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8.374198717948719</v>
      </c>
      <c r="CT62" s="12">
        <f>IF('Données projet'!$A$140&gt;35,CT61+CS62-DB61,IF(A62&lt;'Données projet'!$A$140,$CQ$205^A62,IF(A62='Données projet'!$A$140,'Données projet'!$B$140,CT61+CS62-DB61)))</f>
        <v>186.79166666666674</v>
      </c>
      <c r="CU62" s="17">
        <f>CT62*VLOOKUP('Données projet'!$B$13,Paramètres!$A$1:$I$89,3,0)*VLOOKUP('Données projet'!$B$13,Paramètres!$A$1:$I$89,5,0)</f>
        <v>169.00910000000005</v>
      </c>
      <c r="CV62" s="13">
        <f t="shared" si="41"/>
        <v>42.868019497909927</v>
      </c>
      <c r="CW62" s="20">
        <f t="shared" si="13"/>
        <v>369.01931645885981</v>
      </c>
      <c r="CX62" s="59">
        <f t="shared" si="14"/>
        <v>662.35264979219312</v>
      </c>
      <c r="CY62" s="59">
        <f ca="1">AVERAGE(OFFSET($CX$3,0,0,'Données projet'!$E$13+1,1))-AVERAGE(OFFSET($H$3,0,0,'Données projet'!$E$13+1,1))</f>
        <v>280.25710840677186</v>
      </c>
      <c r="CZ62" s="59">
        <f t="shared" si="42"/>
        <v>209.65224013288037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</v>
      </c>
      <c r="DO62" s="12">
        <f>IF('Données projet'!$A$166&gt;35,DO61+DN62-DW61,IF(A62&lt;'Données projet'!$A$166,$DL$205^A62,IF(A62='Données projet'!$A$166,'Données projet'!$B$166,DO61+DN62-DW61)))</f>
        <v>219.00000000000003</v>
      </c>
      <c r="DP62" s="17">
        <f>DO62*VLOOKUP('Données projet'!$B$14,Paramètres!$A$1:$I$89,3,0)*VLOOKUP('Données projet'!$B$14,Paramètres!$A$1:$I$89,5,0)</f>
        <v>228.89880000000002</v>
      </c>
      <c r="DQ62" s="13">
        <f t="shared" si="43"/>
        <v>56.044509878204664</v>
      </c>
      <c r="DR62" s="20">
        <f t="shared" si="16"/>
        <v>496.27626470453976</v>
      </c>
      <c r="DS62" s="59">
        <f t="shared" si="17"/>
        <v>789.60959803787307</v>
      </c>
      <c r="DT62" s="59">
        <f ca="1">AVERAGE(OFFSET($DS$3,0,0,'Données projet'!$E$14+1,1))-AVERAGE(OFFSET($H$3,0,0,'Données projet'!$E$14+1,1))</f>
        <v>330.14201227773452</v>
      </c>
      <c r="DU62" s="59">
        <f t="shared" si="44"/>
        <v>307.07297894926467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12.129701585785295</v>
      </c>
      <c r="EB62" s="21">
        <f>EXP(-LN(2)/25)*EB61+(1-EXP(-LN(2)/25))/(LN(2)/25)*Calculateur!DW62*Calculateur!DY62*VLOOKUP('Données projet'!$B$14,Paramètres!$A$1:$I$89,3,0)*0.475*44/12</f>
        <v>18.647162504444864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30.776864090230159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5.8</v>
      </c>
      <c r="EJ62" s="12">
        <f>IF('Données projet'!$A$192&gt;35,EJ61+EI62-ER61,IF(A62&lt;'Données projet'!$A$192,$EG$205^A62,IF(A62='Données projet'!$A$192,'Données projet'!$B$192,EJ61+EI62-ER61)))</f>
        <v>223.20000000000013</v>
      </c>
      <c r="EK62" s="17">
        <f>EJ62*VLOOKUP('Données projet'!$B$15,Paramètres!$A$1:$I$89,3,0)*VLOOKUP('Données projet'!$B$15,Paramètres!$A$1:$I$89,5,0)</f>
        <v>146.2406400000001</v>
      </c>
      <c r="EL62" s="13">
        <f t="shared" si="45"/>
        <v>37.722999642090628</v>
      </c>
      <c r="EM62" s="20">
        <f t="shared" si="19"/>
        <v>320.40333904330799</v>
      </c>
      <c r="EN62" s="59">
        <f t="shared" si="20"/>
        <v>613.73667237664131</v>
      </c>
      <c r="EO62" s="59">
        <f ca="1">AVERAGE(OFFSET($EN$3,0,0,'Données projet'!$E$15+1,1))-AVERAGE(OFFSET($H$3,0,0,'Données projet'!$E$15+1,1))</f>
        <v>183.30081488041924</v>
      </c>
      <c r="EP62" s="59">
        <f t="shared" si="46"/>
        <v>199.33099759570928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6.8139763804122637</v>
      </c>
      <c r="EX62" s="21">
        <f>EXP(-LN(2)/2)*EX61+(1-EXP(-LN(2)/2))/(LN(2)/2)*ER62*EU62*VLOOKUP('Données projet'!$B$15,Paramètres!$A$1:$I$89,3,0)*0.475*44/12</f>
        <v>1.3070770021954159</v>
      </c>
      <c r="EY62" s="22">
        <f t="shared" si="21"/>
        <v>8.1210533826076805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14.270329670329668</v>
      </c>
      <c r="N63" s="13">
        <f>IF('Données projet'!$A$36&gt;35,N62+M63-V62,IF(A63&lt;'Données projet'!$A$36,$K$205^A63,IF(A63='Données projet'!$A$36,'Données projet'!$B$36,N62+M63-V62)))</f>
        <v>332.36593406593403</v>
      </c>
      <c r="O63" s="13">
        <f>N63*VLOOKUP('Données projet'!$B$9,Paramètres!$A$1:$I$89,3,0)*VLOOKUP('Données projet'!$B$9,Paramètres!$A$1:$I$89,5,0)</f>
        <v>155.54725714285712</v>
      </c>
      <c r="P63" s="13">
        <f t="shared" si="33"/>
        <v>39.836543030962723</v>
      </c>
      <c r="Q63" s="20">
        <f t="shared" si="53"/>
        <v>340.29345196940289</v>
      </c>
      <c r="R63" s="59">
        <f t="shared" si="0"/>
        <v>633.62678530273615</v>
      </c>
      <c r="S63" s="59">
        <f ca="1">AVERAGE(OFFSET($R$3,0,0,'Données projet'!$E$9+1,1))-AVERAGE(OFFSET($H$3,0,0,'Données projet'!$E$9+1,1))</f>
        <v>205.73717397588365</v>
      </c>
      <c r="T63" s="59">
        <f t="shared" si="34"/>
        <v>190.64998698136026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34.230127099475723</v>
      </c>
      <c r="AA63" s="21">
        <f>EXP(-LN(2)/25)*AA62+(1-EXP(-LN(2)/25))/(LN(2)/25)*Calculateur!V63*Calculateur!X63*VLOOKUP('Données projet'!$B$9,Paramètres!$A$1:$I$89,3,0)*0.475*44/12</f>
        <v>28.496353157654227</v>
      </c>
      <c r="AB63" s="21">
        <f>EXP(-LN(2)/2)*AB62+(1-EXP(-LN(2)/2))/(LN(2)/2)*V63*Y63*VLOOKUP('Données projet'!$B$9,Paramètres!$A$1:$I$89,3,0)*0.475*44/12</f>
        <v>1.5003747469415976</v>
      </c>
      <c r="AC63" s="22">
        <f t="shared" si="3"/>
        <v>64.226855004071552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283.73369613548124</v>
      </c>
      <c r="AO63" s="59">
        <f t="shared" si="36"/>
        <v>249.77804091581208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-1.1368683772161603E-13</v>
      </c>
      <c r="BE63" s="13">
        <f>BD63*VLOOKUP('Données projet'!$B$11,Paramètres!$A$1:$I$89,3,0)*VLOOKUP('Données projet'!$B$11,Paramètres!$A$1:$I$89,5,0)</f>
        <v>-6.3550942286383367E-14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278.5296012747549</v>
      </c>
      <c r="BJ63" s="59">
        <f t="shared" si="38"/>
        <v>370.55343097937077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205.28868280649928</v>
      </c>
      <c r="BQ63" s="21">
        <f>EXP(-LN(2)/25)*BQ62+(1-EXP(-LN(2)/25))/(LN(2)/25)*Calculateur!BL63*Calculateur!BN63*VLOOKUP('Données projet'!$B$11,Paramètres!$A$1:$I$89,3,0)*0.475*44/12</f>
        <v>50.150398612165304</v>
      </c>
      <c r="BR63" s="21">
        <f>EXP(-LN(2)/2)*BR62+(1-EXP(-LN(2)/2))/(LN(2)/2)*BL63*BO63*VLOOKUP('Données projet'!$B$11,Paramètres!$A$1:$I$89,3,0)*0.475*44/12</f>
        <v>6.0389224288707712</v>
      </c>
      <c r="BS63" s="22">
        <f t="shared" si="9"/>
        <v>261.47800384753538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-5.6843418860808015E-14</v>
      </c>
      <c r="BZ63" s="13">
        <f>BY63*VLOOKUP('Données projet'!$B$12,Paramètres!$A$1:$I$89,3,0)*VLOOKUP('Données projet'!$B$12,Paramètres!$A$1:$I$89,5,0)</f>
        <v>-3.1036506698001178E-14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159.92263609041913</v>
      </c>
      <c r="CE63" s="59">
        <f t="shared" si="40"/>
        <v>271.78119133009307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45.383597888760775</v>
      </c>
      <c r="CL63" s="21">
        <f>EXP(-LN(2)/25)*CL62+(1-EXP(-LN(2)/25))/(LN(2)/25)*Calculateur!CG63*Calculateur!CI63*VLOOKUP('Données projet'!$B$12,Paramètres!$A$1:$I$89,3,0)*0.475*44/12</f>
        <v>86.108782244458922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131.49238013321968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8.374198717948719</v>
      </c>
      <c r="CT63" s="12">
        <f>IF('Données projet'!$A$140&gt;35,CT62+CS63-DB62,IF(A63&lt;'Données projet'!$A$140,$CQ$205^A63,IF(A63='Données projet'!$A$140,'Données projet'!$B$140,CT62+CS63-DB62)))</f>
        <v>195.16586538461547</v>
      </c>
      <c r="CU63" s="17">
        <f>CT63*VLOOKUP('Données projet'!$B$13,Paramètres!$A$1:$I$89,3,0)*VLOOKUP('Données projet'!$B$13,Paramètres!$A$1:$I$89,5,0)</f>
        <v>176.58607500000008</v>
      </c>
      <c r="CV63" s="13">
        <f t="shared" si="41"/>
        <v>44.561806372041367</v>
      </c>
      <c r="CW63" s="20">
        <f t="shared" si="13"/>
        <v>385.16589338963877</v>
      </c>
      <c r="CX63" s="59">
        <f t="shared" si="14"/>
        <v>678.49922672297203</v>
      </c>
      <c r="CY63" s="59">
        <f ca="1">AVERAGE(OFFSET($CX$3,0,0,'Données projet'!$E$13+1,1))-AVERAGE(OFFSET($H$3,0,0,'Données projet'!$E$13+1,1))</f>
        <v>280.25710840677186</v>
      </c>
      <c r="CZ63" s="59">
        <f t="shared" si="42"/>
        <v>209.65224013288037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225</v>
      </c>
      <c r="DM63" s="12">
        <f>VLOOKUP(A63,'Données projet'!$A$165:$I$185,9,0)</f>
        <v>6</v>
      </c>
      <c r="DN63" s="12">
        <f t="array" ref="DN63">INDEX(DM:DM,MIN(IF(ISNUMBER(DM63:DM259),ROW(DM63:DM259),"")))</f>
        <v>6</v>
      </c>
      <c r="DO63" s="12">
        <f>IF('Données projet'!$A$166&gt;35,DO62+DN63-DW62,IF(A63&lt;'Données projet'!$A$166,$DL$205^A63,IF(A63='Données projet'!$A$166,'Données projet'!$B$166,DO62+DN63-DW62)))</f>
        <v>225.00000000000003</v>
      </c>
      <c r="DP63" s="17">
        <f>DO63*VLOOKUP('Données projet'!$B$14,Paramètres!$A$1:$I$89,3,0)*VLOOKUP('Données projet'!$B$14,Paramètres!$A$1:$I$89,5,0)</f>
        <v>235.17000000000004</v>
      </c>
      <c r="DQ63" s="13">
        <f t="shared" si="43"/>
        <v>57.399106052685539</v>
      </c>
      <c r="DR63" s="20">
        <f t="shared" si="16"/>
        <v>509.55785970842743</v>
      </c>
      <c r="DS63" s="59">
        <f t="shared" si="17"/>
        <v>802.89119304176074</v>
      </c>
      <c r="DT63" s="59">
        <f ca="1">AVERAGE(OFFSET($DS$3,0,0,'Données projet'!$E$14+1,1))-AVERAGE(OFFSET($H$3,0,0,'Données projet'!$E$14+1,1))</f>
        <v>330.14201227773452</v>
      </c>
      <c r="DU63" s="59">
        <f t="shared" si="44"/>
        <v>307.07297894926467</v>
      </c>
      <c r="DV63" s="15">
        <f>IF(ISNA(VLOOKUP(A63,'Données projet'!$A$165:$I$185,3,0)),0,VLOOKUP(A63,'Données projet'!$A$165:$I$185,3,0))</f>
        <v>9</v>
      </c>
      <c r="DW63" s="15" t="str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0.215</v>
      </c>
      <c r="DY63" s="16">
        <f>IF(ISNA(VLOOKUP(A63,'Données projet'!$A$165:$I$185,6,0)),0%,VLOOKUP(A63,'Données projet'!$A$165:$I$185,6,0)*VLOOKUP('Données projet'!$B$14,Paramètres!$A$1:$I$89,7,0))</f>
        <v>0.17200000000000001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17.108646483781079</v>
      </c>
      <c r="EB63" s="21">
        <f>EXP(-LN(2)/25)*EB62+(1-EXP(-LN(2)/25))/(LN(2)/25)*Calculateur!DW63*Calculateur!DY63*VLOOKUP('Données projet'!$B$14,Paramètres!$A$1:$I$89,3,0)*0.475*44/12</f>
        <v>22.294263196843147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39.402909680624226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229</v>
      </c>
      <c r="EH63" s="12">
        <f>VLOOKUP(A63,'Données projet'!$A$191:$I$211,9,0)</f>
        <v>5.8</v>
      </c>
      <c r="EI63" s="12">
        <f t="array" ref="EI63">INDEX(EH:EH,MIN(IF(ISNUMBER(EH63:EH259),ROW(EH63:EH259),"")))</f>
        <v>5.8</v>
      </c>
      <c r="EJ63" s="12">
        <f>IF('Données projet'!$A$192&gt;35,EJ62+EI63-ER62,IF(A63&lt;'Données projet'!$A$192,$EG$205^A63,IF(A63='Données projet'!$A$192,'Données projet'!$B$192,EJ62+EI63-ER62)))</f>
        <v>229.00000000000014</v>
      </c>
      <c r="EK63" s="17">
        <f>EJ63*VLOOKUP('Données projet'!$B$15,Paramètres!$A$1:$I$89,3,0)*VLOOKUP('Données projet'!$B$15,Paramètres!$A$1:$I$89,5,0)</f>
        <v>150.04080000000008</v>
      </c>
      <c r="EL63" s="13">
        <f t="shared" si="45"/>
        <v>38.587857420495212</v>
      </c>
      <c r="EM63" s="20">
        <f t="shared" si="19"/>
        <v>328.52824500736261</v>
      </c>
      <c r="EN63" s="59">
        <f t="shared" si="20"/>
        <v>621.86157834069593</v>
      </c>
      <c r="EO63" s="59">
        <f ca="1">AVERAGE(OFFSET($EN$3,0,0,'Données projet'!$E$15+1,1))-AVERAGE(OFFSET($H$3,0,0,'Données projet'!$E$15+1,1))</f>
        <v>183.30081488041924</v>
      </c>
      <c r="EP63" s="59">
        <f t="shared" si="46"/>
        <v>199.33099759570928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22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0.129</v>
      </c>
      <c r="EU63" s="16">
        <f>IF(ISNA(VLOOKUP(A63,'Données projet'!$A$191:$I$211,7,0)),0%,VLOOKUP(A63,'Données projet'!$A$191:$I$211,7,0))</f>
        <v>0.3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8.6751295535689152</v>
      </c>
      <c r="EX63" s="21">
        <f>EXP(-LN(2)/2)*EX62+(1-EXP(-LN(2)/2))/(LN(2)/2)*ER63*EU63*VLOOKUP('Données projet'!$B$15,Paramètres!$A$1:$I$89,3,0)*0.475*44/12</f>
        <v>5.0043553191517347</v>
      </c>
      <c r="EY63" s="22">
        <f t="shared" si="21"/>
        <v>13.67948487272065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14.270329670329668</v>
      </c>
      <c r="N64" s="13">
        <f>IF('Données projet'!$A$36&gt;35,N63+M64-V63,IF(A64&lt;'Données projet'!$A$36,$K$205^A64,IF(A64='Données projet'!$A$36,'Données projet'!$B$36,N63+M64-V63)))</f>
        <v>346.63626373626369</v>
      </c>
      <c r="O64" s="13">
        <f>N64*VLOOKUP('Données projet'!$B$9,Paramètres!$A$1:$I$89,3,0)*VLOOKUP('Données projet'!$B$9,Paramètres!$A$1:$I$89,5,0)</f>
        <v>162.22577142857142</v>
      </c>
      <c r="P64" s="13">
        <f t="shared" si="33"/>
        <v>41.344139999178246</v>
      </c>
      <c r="Q64" s="20">
        <f t="shared" si="53"/>
        <v>354.55092906999738</v>
      </c>
      <c r="R64" s="59">
        <f t="shared" si="0"/>
        <v>647.88426240333069</v>
      </c>
      <c r="S64" s="59">
        <f ca="1">AVERAGE(OFFSET($R$3,0,0,'Données projet'!$E$9+1,1))-AVERAGE(OFFSET($H$3,0,0,'Données projet'!$E$9+1,1))</f>
        <v>205.73717397588365</v>
      </c>
      <c r="T64" s="59">
        <f t="shared" si="34"/>
        <v>190.64998698136026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33.558895185370972</v>
      </c>
      <c r="AA64" s="21">
        <f>EXP(-LN(2)/25)*AA63+(1-EXP(-LN(2)/25))/(LN(2)/25)*Calculateur!V64*Calculateur!X64*VLOOKUP('Données projet'!$B$9,Paramètres!$A$1:$I$89,3,0)*0.475*44/12</f>
        <v>27.71711888200009</v>
      </c>
      <c r="AB64" s="21">
        <f>EXP(-LN(2)/2)*AB63+(1-EXP(-LN(2)/2))/(LN(2)/2)*V64*Y64*VLOOKUP('Données projet'!$B$9,Paramètres!$A$1:$I$89,3,0)*0.475*44/12</f>
        <v>1.060925157883454</v>
      </c>
      <c r="AC64" s="22">
        <f t="shared" si="3"/>
        <v>62.336939225254518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283.73369613548124</v>
      </c>
      <c r="AO64" s="59">
        <f t="shared" si="36"/>
        <v>249.77804091581208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-1.1368683772161603E-13</v>
      </c>
      <c r="BE64" s="13">
        <f>BD64*VLOOKUP('Données projet'!$B$11,Paramètres!$A$1:$I$89,3,0)*VLOOKUP('Données projet'!$B$11,Paramètres!$A$1:$I$89,5,0)</f>
        <v>-6.3550942286383367E-14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278.5296012747549</v>
      </c>
      <c r="BJ64" s="59">
        <f t="shared" si="38"/>
        <v>370.55343097937077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201.26309695039652</v>
      </c>
      <c r="BQ64" s="21">
        <f>EXP(-LN(2)/25)*BQ63+(1-EXP(-LN(2)/25))/(LN(2)/25)*Calculateur!BL64*Calculateur!BN64*VLOOKUP('Données projet'!$B$11,Paramètres!$A$1:$I$89,3,0)*0.475*44/12</f>
        <v>48.779033324820801</v>
      </c>
      <c r="BR64" s="21">
        <f>EXP(-LN(2)/2)*BR63+(1-EXP(-LN(2)/2))/(LN(2)/2)*BL64*BO64*VLOOKUP('Données projet'!$B$11,Paramètres!$A$1:$I$89,3,0)*0.475*44/12</f>
        <v>4.2701630005140592</v>
      </c>
      <c r="BS64" s="22">
        <f t="shared" si="9"/>
        <v>254.31229327573138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-5.6843418860808015E-14</v>
      </c>
      <c r="BZ64" s="13">
        <f>BY64*VLOOKUP('Données projet'!$B$12,Paramètres!$A$1:$I$89,3,0)*VLOOKUP('Données projet'!$B$12,Paramètres!$A$1:$I$89,5,0)</f>
        <v>-3.1036506698001178E-14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159.92263609041913</v>
      </c>
      <c r="CE64" s="59">
        <f t="shared" si="40"/>
        <v>271.78119133009307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44.493653215423592</v>
      </c>
      <c r="CL64" s="21">
        <f>EXP(-LN(2)/25)*CL63+(1-EXP(-LN(2)/25))/(LN(2)/25)*Calculateur!CG64*Calculateur!CI64*VLOOKUP('Données projet'!$B$12,Paramètres!$A$1:$I$89,3,0)*0.475*44/12</f>
        <v>83.75413306572014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128.24778628114373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8.374198717948719</v>
      </c>
      <c r="CT64" s="12">
        <f>IF('Données projet'!$A$140&gt;35,CT63+CS64-DB63,IF(A64&lt;'Données projet'!$A$140,$CQ$205^A64,IF(A64='Données projet'!$A$140,'Données projet'!$B$140,CT63+CS64-DB63)))</f>
        <v>203.5400641025642</v>
      </c>
      <c r="CU64" s="17">
        <f>CT64*VLOOKUP('Données projet'!$B$13,Paramètres!$A$1:$I$89,3,0)*VLOOKUP('Données projet'!$B$13,Paramètres!$A$1:$I$89,5,0)</f>
        <v>184.16305000000008</v>
      </c>
      <c r="CV64" s="13">
        <f t="shared" si="41"/>
        <v>46.247151975893182</v>
      </c>
      <c r="CW64" s="20">
        <f t="shared" si="13"/>
        <v>401.29776844134739</v>
      </c>
      <c r="CX64" s="59">
        <f t="shared" si="14"/>
        <v>694.6311017746807</v>
      </c>
      <c r="CY64" s="59">
        <f ca="1">AVERAGE(OFFSET($CX$3,0,0,'Données projet'!$E$13+1,1))-AVERAGE(OFFSET($H$3,0,0,'Données projet'!$E$13+1,1))</f>
        <v>280.25710840677186</v>
      </c>
      <c r="CZ64" s="59">
        <f t="shared" si="42"/>
        <v>209.65224013288037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5.6</v>
      </c>
      <c r="DO64" s="12">
        <f>IF('Données projet'!$A$166&gt;35,DO63+DN64-DW63,IF(A64&lt;'Données projet'!$A$166,$DL$205^A64,IF(A64='Données projet'!$A$166,'Données projet'!$B$166,DO63+DN64-DW63)))</f>
        <v>209.60000000000002</v>
      </c>
      <c r="DP64" s="17">
        <f>DO64*VLOOKUP('Données projet'!$B$14,Paramètres!$A$1:$I$89,3,0)*VLOOKUP('Données projet'!$B$14,Paramètres!$A$1:$I$89,5,0)</f>
        <v>219.07392000000004</v>
      </c>
      <c r="DQ64" s="13">
        <f t="shared" si="43"/>
        <v>53.913557419387772</v>
      </c>
      <c r="DR64" s="20">
        <f t="shared" si="16"/>
        <v>475.45318983876706</v>
      </c>
      <c r="DS64" s="59">
        <f t="shared" si="17"/>
        <v>768.78652317210037</v>
      </c>
      <c r="DT64" s="59">
        <f ca="1">AVERAGE(OFFSET($DS$3,0,0,'Données projet'!$E$14+1,1))-AVERAGE(OFFSET($H$3,0,0,'Données projet'!$E$14+1,1))</f>
        <v>330.14201227773452</v>
      </c>
      <c r="DU64" s="59">
        <f t="shared" si="44"/>
        <v>307.07297894926467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16.773156361478094</v>
      </c>
      <c r="EB64" s="21">
        <f>EXP(-LN(2)/25)*EB63+(1-EXP(-LN(2)/25))/(LN(2)/25)*Calculateur!DW64*Calculateur!DY64*VLOOKUP('Données projet'!$B$14,Paramètres!$A$1:$I$89,3,0)*0.475*44/12</f>
        <v>21.684625397321124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38.457781758799214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212.20000000000013</v>
      </c>
      <c r="EK64" s="17">
        <f>EJ64*VLOOKUP('Données projet'!$B$15,Paramètres!$A$1:$I$89,3,0)*VLOOKUP('Données projet'!$B$15,Paramètres!$A$1:$I$89,5,0)</f>
        <v>139.0334400000001</v>
      </c>
      <c r="EL64" s="13">
        <f t="shared" si="45"/>
        <v>36.07549097093554</v>
      </c>
      <c r="EM64" s="20">
        <f t="shared" si="19"/>
        <v>304.98138810771292</v>
      </c>
      <c r="EN64" s="59">
        <f t="shared" si="20"/>
        <v>598.31472144104623</v>
      </c>
      <c r="EO64" s="59">
        <f ca="1">AVERAGE(OFFSET($EN$3,0,0,'Données projet'!$E$15+1,1))-AVERAGE(OFFSET($H$3,0,0,'Données projet'!$E$15+1,1))</f>
        <v>183.30081488041924</v>
      </c>
      <c r="EP64" s="59">
        <f t="shared" si="46"/>
        <v>199.33099759570928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8.4379076797213379</v>
      </c>
      <c r="EX64" s="21">
        <f>EXP(-LN(2)/2)*EX63+(1-EXP(-LN(2)/2))/(LN(2)/2)*ER64*EU64*VLOOKUP('Données projet'!$B$15,Paramètres!$A$1:$I$89,3,0)*0.475*44/12</f>
        <v>3.5386135816391611</v>
      </c>
      <c r="EY64" s="22">
        <f t="shared" si="21"/>
        <v>11.976521261360499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14.270329670329668</v>
      </c>
      <c r="N65" s="13">
        <f>IF('Données projet'!$A$36&gt;35,N64+M65-V64,IF(A65&lt;'Données projet'!$A$36,$K$205^A65,IF(A65='Données projet'!$A$36,'Données projet'!$B$36,N64+M65-V64)))</f>
        <v>360.90659340659334</v>
      </c>
      <c r="O65" s="13">
        <f>N65*VLOOKUP('Données projet'!$B$9,Paramètres!$A$1:$I$89,3,0)*VLOOKUP('Données projet'!$B$9,Paramètres!$A$1:$I$89,5,0)</f>
        <v>168.90428571428566</v>
      </c>
      <c r="P65" s="13">
        <f t="shared" si="33"/>
        <v>42.844527757373569</v>
      </c>
      <c r="Q65" s="20">
        <f t="shared" si="53"/>
        <v>368.79585012980647</v>
      </c>
      <c r="R65" s="59">
        <f t="shared" si="0"/>
        <v>662.12918346313973</v>
      </c>
      <c r="S65" s="59">
        <f ca="1">AVERAGE(OFFSET($R$3,0,0,'Données projet'!$E$9+1,1))-AVERAGE(OFFSET($H$3,0,0,'Données projet'!$E$9+1,1))</f>
        <v>205.73717397588365</v>
      </c>
      <c r="T65" s="59">
        <f t="shared" si="34"/>
        <v>190.64998698136026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32.900825719690772</v>
      </c>
      <c r="AA65" s="21">
        <f>EXP(-LN(2)/25)*AA64+(1-EXP(-LN(2)/25))/(LN(2)/25)*Calculateur!V65*Calculateur!X65*VLOOKUP('Données projet'!$B$9,Paramètres!$A$1:$I$89,3,0)*0.475*44/12</f>
        <v>26.959192808591865</v>
      </c>
      <c r="AB65" s="21">
        <f>EXP(-LN(2)/2)*AB64+(1-EXP(-LN(2)/2))/(LN(2)/2)*V65*Y65*VLOOKUP('Données projet'!$B$9,Paramètres!$A$1:$I$89,3,0)*0.475*44/12</f>
        <v>0.75018737347079889</v>
      </c>
      <c r="AC65" s="22">
        <f t="shared" si="3"/>
        <v>60.610205901753439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283.73369613548124</v>
      </c>
      <c r="AO65" s="59">
        <f t="shared" si="36"/>
        <v>249.77804091581208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-1.1368683772161603E-13</v>
      </c>
      <c r="BE65" s="13">
        <f>BD65*VLOOKUP('Données projet'!$B$11,Paramètres!$A$1:$I$89,3,0)*VLOOKUP('Données projet'!$B$11,Paramètres!$A$1:$I$89,5,0)</f>
        <v>-6.3550942286383367E-14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278.5296012747549</v>
      </c>
      <c r="BJ65" s="59">
        <f t="shared" si="38"/>
        <v>370.55343097937077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197.31645037756701</v>
      </c>
      <c r="BQ65" s="21">
        <f>EXP(-LN(2)/25)*BQ64+(1-EXP(-LN(2)/25))/(LN(2)/25)*Calculateur!BL65*Calculateur!BN65*VLOOKUP('Données projet'!$B$11,Paramètres!$A$1:$I$89,3,0)*0.475*44/12</f>
        <v>47.445168093375699</v>
      </c>
      <c r="BR65" s="21">
        <f>EXP(-LN(2)/2)*BR64+(1-EXP(-LN(2)/2))/(LN(2)/2)*BL65*BO65*VLOOKUP('Données projet'!$B$11,Paramètres!$A$1:$I$89,3,0)*0.475*44/12</f>
        <v>3.0194612144353861</v>
      </c>
      <c r="BS65" s="22">
        <f t="shared" si="9"/>
        <v>247.7810796853781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-5.6843418860808015E-14</v>
      </c>
      <c r="BZ65" s="13">
        <f>BY65*VLOOKUP('Données projet'!$B$12,Paramètres!$A$1:$I$89,3,0)*VLOOKUP('Données projet'!$B$12,Paramètres!$A$1:$I$89,5,0)</f>
        <v>-3.1036506698001178E-14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159.92263609041913</v>
      </c>
      <c r="CE65" s="59">
        <f t="shared" si="40"/>
        <v>271.78119133009307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43.621159814317899</v>
      </c>
      <c r="CL65" s="21">
        <f>EXP(-LN(2)/25)*CL64+(1-EXP(-LN(2)/25))/(LN(2)/25)*Calculateur!CG65*Calculateur!CI65*VLOOKUP('Données projet'!$B$12,Paramètres!$A$1:$I$89,3,0)*0.475*44/12</f>
        <v>81.463871892599585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125.08503170691748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8.374198717948719</v>
      </c>
      <c r="CT65" s="12">
        <f>IF('Données projet'!$A$140&gt;35,CT64+CS65-DB64,IF(A65&lt;'Données projet'!$A$140,$CQ$205^A65,IF(A65='Données projet'!$A$140,'Données projet'!$B$140,CT64+CS65-DB64)))</f>
        <v>211.91426282051293</v>
      </c>
      <c r="CU65" s="17">
        <f>CT65*VLOOKUP('Données projet'!$B$13,Paramètres!$A$1:$I$89,3,0)*VLOOKUP('Données projet'!$B$13,Paramètres!$A$1:$I$89,5,0)</f>
        <v>191.74002500000009</v>
      </c>
      <c r="CV65" s="13">
        <f t="shared" si="41"/>
        <v>47.924443327659169</v>
      </c>
      <c r="CW65" s="20">
        <f t="shared" si="13"/>
        <v>417.41561567067316</v>
      </c>
      <c r="CX65" s="59">
        <f t="shared" si="14"/>
        <v>710.74894900400648</v>
      </c>
      <c r="CY65" s="59">
        <f ca="1">AVERAGE(OFFSET($CX$3,0,0,'Données projet'!$E$13+1,1))-AVERAGE(OFFSET($H$3,0,0,'Données projet'!$E$13+1,1))</f>
        <v>280.25710840677186</v>
      </c>
      <c r="CZ65" s="59">
        <f t="shared" si="42"/>
        <v>209.65224013288037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5.6</v>
      </c>
      <c r="DO65" s="12">
        <f>IF('Données projet'!$A$166&gt;35,DO64+DN65-DW64,IF(A65&lt;'Données projet'!$A$166,$DL$205^A65,IF(A65='Données projet'!$A$166,'Données projet'!$B$166,DO64+DN65-DW64)))</f>
        <v>215.20000000000002</v>
      </c>
      <c r="DP65" s="17">
        <f>DO65*VLOOKUP('Données projet'!$B$14,Paramètres!$A$1:$I$89,3,0)*VLOOKUP('Données projet'!$B$14,Paramètres!$A$1:$I$89,5,0)</f>
        <v>224.92704000000006</v>
      </c>
      <c r="DQ65" s="13">
        <f t="shared" si="43"/>
        <v>55.184369220926527</v>
      </c>
      <c r="DR65" s="20">
        <f t="shared" si="16"/>
        <v>487.86070439311379</v>
      </c>
      <c r="DS65" s="59">
        <f t="shared" si="17"/>
        <v>781.19403772644705</v>
      </c>
      <c r="DT65" s="59">
        <f ca="1">AVERAGE(OFFSET($DS$3,0,0,'Données projet'!$E$14+1,1))-AVERAGE(OFFSET($H$3,0,0,'Données projet'!$E$14+1,1))</f>
        <v>330.14201227773452</v>
      </c>
      <c r="DU65" s="59">
        <f t="shared" si="44"/>
        <v>307.07297894926467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16.444244995844699</v>
      </c>
      <c r="EB65" s="21">
        <f>EXP(-LN(2)/25)*EB64+(1-EXP(-LN(2)/25))/(LN(2)/25)*Calculateur!DW65*Calculateur!DY65*VLOOKUP('Données projet'!$B$14,Paramètres!$A$1:$I$89,3,0)*0.475*44/12</f>
        <v>21.09165817548649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37.535903171331185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217.40000000000012</v>
      </c>
      <c r="EK65" s="17">
        <f>EJ65*VLOOKUP('Données projet'!$B$15,Paramètres!$A$1:$I$89,3,0)*VLOOKUP('Données projet'!$B$15,Paramètres!$A$1:$I$89,5,0)</f>
        <v>142.44048000000009</v>
      </c>
      <c r="EL65" s="13">
        <f t="shared" si="45"/>
        <v>36.855521628538284</v>
      </c>
      <c r="EM65" s="20">
        <f t="shared" si="19"/>
        <v>312.27386950303764</v>
      </c>
      <c r="EN65" s="59">
        <f t="shared" si="20"/>
        <v>605.60720283637102</v>
      </c>
      <c r="EO65" s="59">
        <f ca="1">AVERAGE(OFFSET($EN$3,0,0,'Données projet'!$E$15+1,1))-AVERAGE(OFFSET($H$3,0,0,'Données projet'!$E$15+1,1))</f>
        <v>183.30081488041924</v>
      </c>
      <c r="EP65" s="59">
        <f t="shared" si="46"/>
        <v>199.33099759570928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8.2071726504890776</v>
      </c>
      <c r="EX65" s="21">
        <f>EXP(-LN(2)/2)*EX64+(1-EXP(-LN(2)/2))/(LN(2)/2)*ER65*EU65*VLOOKUP('Données projet'!$B$15,Paramètres!$A$1:$I$89,3,0)*0.475*44/12</f>
        <v>2.5021776595758678</v>
      </c>
      <c r="EY65" s="22">
        <f t="shared" si="21"/>
        <v>10.709350310064945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375.17692307692306</v>
      </c>
      <c r="L66" s="12">
        <f>VLOOKUP(A66,'Données projet'!$A$35:$I$55,9,0)</f>
        <v>14.270329670329668</v>
      </c>
      <c r="M66" s="12">
        <f t="array" ref="M66">INDEX(L:L,MIN(IF(ISNUMBER(L66:L262),ROW(L66:L262),"")))</f>
        <v>14.270329670329668</v>
      </c>
      <c r="N66" s="13">
        <f>IF('Données projet'!$A$36&gt;35,N65+M66-V65,IF(A66&lt;'Données projet'!$A$36,$K$205^A66,IF(A66='Données projet'!$A$36,'Données projet'!$B$36,N65+M66-V65)))</f>
        <v>375.176923076923</v>
      </c>
      <c r="O66" s="13">
        <f>N66*VLOOKUP('Données projet'!$B$9,Paramètres!$A$1:$I$89,3,0)*VLOOKUP('Données projet'!$B$9,Paramètres!$A$1:$I$89,5,0)</f>
        <v>175.58279999999996</v>
      </c>
      <c r="P66" s="13">
        <f t="shared" si="33"/>
        <v>44.338023977070598</v>
      </c>
      <c r="Q66" s="20">
        <f t="shared" si="53"/>
        <v>383.02876842673123</v>
      </c>
      <c r="R66" s="59">
        <f t="shared" si="0"/>
        <v>676.36210176006455</v>
      </c>
      <c r="S66" s="59">
        <f ca="1">AVERAGE(OFFSET($R$3,0,0,'Données projet'!$E$9+1,1))-AVERAGE(OFFSET($H$3,0,0,'Données projet'!$E$9+1,1))</f>
        <v>205.73717397588365</v>
      </c>
      <c r="T66" s="59">
        <f t="shared" si="34"/>
        <v>190.64998698136026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71.123076923076923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9.240000000000001E-2</v>
      </c>
      <c r="Y66" s="16">
        <f>IF(ISNA(VLOOKUP(A66,'Données projet'!$A$35:$I$55,7,0)),0%,VLOOKUP(A66,'Données projet'!$A$35:$I$55,7,0))</f>
        <v>0.13200000000000001</v>
      </c>
      <c r="Z66" s="21">
        <f>EXP(-LN(2)/35)*Z65+(1-EXP(-LN(2)/35))/(LN(2)/35)*V66*W66*VLOOKUP('Données projet'!$B$9,Paramètres!$A$1:$I$89,3,0)*0.475*44/12</f>
        <v>49.255525722471489</v>
      </c>
      <c r="AA66" s="21">
        <f>EXP(-LN(2)/25)*AA65+(1-EXP(-LN(2)/25))/(LN(2)/25)*Calculateur!V66*Calculateur!X66*VLOOKUP('Données projet'!$B$9,Paramètres!$A$1:$I$89,3,0)*0.475*44/12</f>
        <v>30.285895506996454</v>
      </c>
      <c r="AB66" s="21">
        <f>EXP(-LN(2)/2)*AB65+(1-EXP(-LN(2)/2))/(LN(2)/2)*V66*Y66*VLOOKUP('Données projet'!$B$9,Paramètres!$A$1:$I$89,3,0)*0.475*44/12</f>
        <v>5.5051507187979212</v>
      </c>
      <c r="AC66" s="22">
        <f t="shared" si="3"/>
        <v>85.046571948265864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283.73369613548124</v>
      </c>
      <c r="AO66" s="59">
        <f t="shared" si="36"/>
        <v>249.77804091581208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-1.1368683772161603E-13</v>
      </c>
      <c r="BE66" s="13">
        <f>BD66*VLOOKUP('Données projet'!$B$11,Paramètres!$A$1:$I$89,3,0)*VLOOKUP('Données projet'!$B$11,Paramètres!$A$1:$I$89,5,0)</f>
        <v>-6.3550942286383367E-14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278.5296012747549</v>
      </c>
      <c r="BJ66" s="59">
        <f t="shared" si="38"/>
        <v>370.55343097937077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193.44719513681397</v>
      </c>
      <c r="BQ66" s="21">
        <f>EXP(-LN(2)/25)*BQ65+(1-EXP(-LN(2)/25))/(LN(2)/25)*Calculateur!BL66*Calculateur!BN66*VLOOKUP('Données projet'!$B$11,Paramètres!$A$1:$I$89,3,0)*0.475*44/12</f>
        <v>46.14777747682939</v>
      </c>
      <c r="BR66" s="21">
        <f>EXP(-LN(2)/2)*BR65+(1-EXP(-LN(2)/2))/(LN(2)/2)*BL66*BO66*VLOOKUP('Données projet'!$B$11,Paramètres!$A$1:$I$89,3,0)*0.475*44/12</f>
        <v>2.1350815002570296</v>
      </c>
      <c r="BS66" s="22">
        <f t="shared" si="9"/>
        <v>241.73005411390039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-5.6843418860808015E-14</v>
      </c>
      <c r="BZ66" s="13">
        <f>BY66*VLOOKUP('Données projet'!$B$12,Paramètres!$A$1:$I$89,3,0)*VLOOKUP('Données projet'!$B$12,Paramètres!$A$1:$I$89,5,0)</f>
        <v>-3.1036506698001178E-14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159.92263609041913</v>
      </c>
      <c r="CE66" s="59">
        <f t="shared" si="40"/>
        <v>271.78119133009307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42.765775476639462</v>
      </c>
      <c r="CL66" s="21">
        <f>EXP(-LN(2)/25)*CL65+(1-EXP(-LN(2)/25))/(LN(2)/25)*Calculateur!CG66*Calculateur!CI66*VLOOKUP('Données projet'!$B$12,Paramètres!$A$1:$I$89,3,0)*0.475*44/12</f>
        <v>79.23623803169761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122.00201350833707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220.28846153846152</v>
      </c>
      <c r="CR66" s="12">
        <f>VLOOKUP(A66,'Données projet'!$A$139:$I$159,9,0)</f>
        <v>8.374198717948719</v>
      </c>
      <c r="CS66" s="12">
        <f t="array" ref="CS66">INDEX(CR:CR,MIN(IF(ISNUMBER(CR66:CR262),ROW(CR66:CR262),"")))</f>
        <v>8.374198717948719</v>
      </c>
      <c r="CT66" s="12">
        <f>IF('Données projet'!$A$140&gt;35,CT65+CS66-DB65,IF(A66&lt;'Données projet'!$A$140,$CQ$205^A66,IF(A66='Données projet'!$A$140,'Données projet'!$B$140,CT65+CS66-DB65)))</f>
        <v>220.28846153846166</v>
      </c>
      <c r="CU66" s="17">
        <f>CT66*VLOOKUP('Données projet'!$B$13,Paramètres!$A$1:$I$89,3,0)*VLOOKUP('Données projet'!$B$13,Paramètres!$A$1:$I$89,5,0)</f>
        <v>199.31700000000009</v>
      </c>
      <c r="CV66" s="13">
        <f t="shared" si="41"/>
        <v>49.594035126387503</v>
      </c>
      <c r="CW66" s="20">
        <f t="shared" si="13"/>
        <v>433.52005284512506</v>
      </c>
      <c r="CX66" s="59">
        <f t="shared" si="14"/>
        <v>726.85338617845832</v>
      </c>
      <c r="CY66" s="59">
        <f ca="1">AVERAGE(OFFSET($CX$3,0,0,'Données projet'!$E$13+1,1))-AVERAGE(OFFSET($H$3,0,0,'Données projet'!$E$13+1,1))</f>
        <v>280.25710840677186</v>
      </c>
      <c r="CZ66" s="59">
        <f t="shared" si="42"/>
        <v>209.65224013288037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41.724358974358978</v>
      </c>
      <c r="DC66" s="16">
        <f>IF(ISNA(VLOOKUP(A66,'Données projet'!$A$139:$I$159,5,0)),0%,VLOOKUP(A66,'Données projet'!$A$139:$I$159,5,0)*VLOOKUP('Données projet'!$B$13,Paramètres!$A$1:$I$89,7,0))</f>
        <v>0.30099999999999999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12.561915597523354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12.561915597523354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5.6</v>
      </c>
      <c r="DO66" s="12">
        <f>IF('Données projet'!$A$166&gt;35,DO65+DN66-DW65,IF(A66&lt;'Données projet'!$A$166,$DL$205^A66,IF(A66='Données projet'!$A$166,'Données projet'!$B$166,DO65+DN66-DW65)))</f>
        <v>220.8</v>
      </c>
      <c r="DP66" s="17">
        <f>DO66*VLOOKUP('Données projet'!$B$14,Paramètres!$A$1:$I$89,3,0)*VLOOKUP('Données projet'!$B$14,Paramètres!$A$1:$I$89,5,0)</f>
        <v>230.78016000000002</v>
      </c>
      <c r="DQ66" s="13">
        <f t="shared" si="43"/>
        <v>56.451337103640888</v>
      </c>
      <c r="DR66" s="20">
        <f t="shared" si="16"/>
        <v>500.26152412217448</v>
      </c>
      <c r="DS66" s="59">
        <f t="shared" si="17"/>
        <v>793.59485745550774</v>
      </c>
      <c r="DT66" s="59">
        <f ca="1">AVERAGE(OFFSET($DS$3,0,0,'Données projet'!$E$14+1,1))-AVERAGE(OFFSET($H$3,0,0,'Données projet'!$E$14+1,1))</f>
        <v>330.14201227773452</v>
      </c>
      <c r="DU66" s="59">
        <f t="shared" si="44"/>
        <v>307.07297894926467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16.12178338147525</v>
      </c>
      <c r="EB66" s="21">
        <f>EXP(-LN(2)/25)*EB65+(1-EXP(-LN(2)/25))/(LN(2)/25)*Calculateur!DW66*Calculateur!DY66*VLOOKUP('Données projet'!$B$14,Paramètres!$A$1:$I$89,3,0)*0.475*44/12</f>
        <v>20.514905673515713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36.636689054990967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222.60000000000011</v>
      </c>
      <c r="EK66" s="17">
        <f>EJ66*VLOOKUP('Données projet'!$B$15,Paramètres!$A$1:$I$89,3,0)*VLOOKUP('Données projet'!$B$15,Paramètres!$A$1:$I$89,5,0)</f>
        <v>145.84752000000009</v>
      </c>
      <c r="EL66" s="13">
        <f t="shared" si="45"/>
        <v>37.633383344887093</v>
      </c>
      <c r="EM66" s="20">
        <f t="shared" si="19"/>
        <v>319.56257332567844</v>
      </c>
      <c r="EN66" s="59">
        <f t="shared" si="20"/>
        <v>612.89590665901176</v>
      </c>
      <c r="EO66" s="59">
        <f ca="1">AVERAGE(OFFSET($EN$3,0,0,'Données projet'!$E$15+1,1))-AVERAGE(OFFSET($H$3,0,0,'Données projet'!$E$15+1,1))</f>
        <v>183.30081488041924</v>
      </c>
      <c r="EP66" s="59">
        <f t="shared" si="46"/>
        <v>199.33099759570928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7.9827470827650018</v>
      </c>
      <c r="EX66" s="21">
        <f>EXP(-LN(2)/2)*EX65+(1-EXP(-LN(2)/2))/(LN(2)/2)*ER66*EU66*VLOOKUP('Données projet'!$B$15,Paramètres!$A$1:$I$89,3,0)*0.475*44/12</f>
        <v>1.769306790819581</v>
      </c>
      <c r="EY66" s="22">
        <f t="shared" si="21"/>
        <v>9.7520538735845825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13.737499999999997</v>
      </c>
      <c r="N67" s="13">
        <f>IF('Données projet'!$A$36&gt;35,N66+M67-V66,IF(A67&lt;'Données projet'!$A$36,$K$205^A67,IF(A67='Données projet'!$A$36,'Données projet'!$B$36,N66+M67-V66)))</f>
        <v>317.79134615384612</v>
      </c>
      <c r="O67" s="13">
        <f>N67*VLOOKUP('Données projet'!$B$9,Paramètres!$A$1:$I$89,3,0)*VLOOKUP('Données projet'!$B$9,Paramètres!$A$1:$I$89,5,0)</f>
        <v>148.72635</v>
      </c>
      <c r="P67" s="13">
        <f t="shared" si="33"/>
        <v>38.289000598915827</v>
      </c>
      <c r="Q67" s="20">
        <f t="shared" ref="Q67:Q98" si="54">(O67+P67)*0.475*44/12</f>
        <v>325.71840229311169</v>
      </c>
      <c r="R67" s="59">
        <f t="shared" ref="R67:R130" si="55">Q67+(I67+J67)*44/12</f>
        <v>619.05173562644495</v>
      </c>
      <c r="S67" s="59">
        <f ca="1">AVERAGE(OFFSET($R$3,0,0,'Données projet'!$E$9+1,1))-AVERAGE(OFFSET($H$3,0,0,'Données projet'!$E$9+1,1))</f>
        <v>205.73717397588365</v>
      </c>
      <c r="T67" s="59">
        <f t="shared" si="34"/>
        <v>190.64998698136026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48.289654905958024</v>
      </c>
      <c r="AA67" s="21">
        <f>EXP(-LN(2)/25)*AA66+(1-EXP(-LN(2)/25))/(LN(2)/25)*Calculateur!V67*Calculateur!X67*VLOOKUP('Données projet'!$B$9,Paramètres!$A$1:$I$89,3,0)*0.475*44/12</f>
        <v>29.457726101691609</v>
      </c>
      <c r="AB67" s="21">
        <f>EXP(-LN(2)/2)*AB66+(1-EXP(-LN(2)/2))/(LN(2)/2)*V67*Y67*VLOOKUP('Données projet'!$B$9,Paramètres!$A$1:$I$89,3,0)*0.475*44/12</f>
        <v>3.8927294047160066</v>
      </c>
      <c r="AC67" s="22">
        <f t="shared" si="3"/>
        <v>81.640110412365644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283.73369613548124</v>
      </c>
      <c r="AO67" s="59">
        <f t="shared" si="36"/>
        <v>249.77804091581208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-1.1368683772161603E-13</v>
      </c>
      <c r="BE67" s="13">
        <f>BD67*VLOOKUP('Données projet'!$B$11,Paramètres!$A$1:$I$89,3,0)*VLOOKUP('Données projet'!$B$11,Paramètres!$A$1:$I$89,5,0)</f>
        <v>-6.3550942286383367E-14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278.5296012747549</v>
      </c>
      <c r="BJ67" s="59">
        <f t="shared" si="38"/>
        <v>370.55343097937077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189.65381363131942</v>
      </c>
      <c r="BQ67" s="21">
        <f>EXP(-LN(2)/25)*BQ66+(1-EXP(-LN(2)/25))/(LN(2)/25)*Calculateur!BL67*Calculateur!BN67*VLOOKUP('Données projet'!$B$11,Paramètres!$A$1:$I$89,3,0)*0.475*44/12</f>
        <v>44.885864074919347</v>
      </c>
      <c r="BR67" s="21">
        <f>EXP(-LN(2)/2)*BR66+(1-EXP(-LN(2)/2))/(LN(2)/2)*BL67*BO67*VLOOKUP('Données projet'!$B$11,Paramètres!$A$1:$I$89,3,0)*0.475*44/12</f>
        <v>1.509730607217693</v>
      </c>
      <c r="BS67" s="22">
        <f t="shared" si="9"/>
        <v>236.04940831345647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-5.6843418860808015E-14</v>
      </c>
      <c r="BZ67" s="13">
        <f>BY67*VLOOKUP('Données projet'!$B$12,Paramètres!$A$1:$I$89,3,0)*VLOOKUP('Données projet'!$B$12,Paramètres!$A$1:$I$89,5,0)</f>
        <v>-3.1036506698001178E-14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159.92263609041913</v>
      </c>
      <c r="CE67" s="59">
        <f t="shared" si="40"/>
        <v>271.78119133009307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41.927164704089968</v>
      </c>
      <c r="CL67" s="21">
        <f>EXP(-LN(2)/25)*CL66+(1-EXP(-LN(2)/25))/(LN(2)/25)*Calculateur!CG67*Calculateur!CI67*VLOOKUP('Données projet'!$B$12,Paramètres!$A$1:$I$89,3,0)*0.475*44/12</f>
        <v>77.069518935868174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118.99668363995815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8.1001602564102626</v>
      </c>
      <c r="CT67" s="12">
        <f>IF('Données projet'!$A$140&gt;35,CT66+CS67-DB66,IF(A67&lt;'Données projet'!$A$140,$CQ$205^A67,IF(A67='Données projet'!$A$140,'Données projet'!$B$140,CT66+CS67-DB66)))</f>
        <v>186.66426282051296</v>
      </c>
      <c r="CU67" s="17">
        <f>CT67*VLOOKUP('Données projet'!$B$13,Paramètres!$A$1:$I$89,3,0)*VLOOKUP('Données projet'!$B$13,Paramètres!$A$1:$I$89,5,0)</f>
        <v>168.89382500000013</v>
      </c>
      <c r="CV67" s="13">
        <f t="shared" si="41"/>
        <v>42.842183132845896</v>
      </c>
      <c r="CW67" s="20">
        <f t="shared" si="13"/>
        <v>368.77354749804016</v>
      </c>
      <c r="CX67" s="59">
        <f t="shared" si="14"/>
        <v>662.10688083137347</v>
      </c>
      <c r="CY67" s="59">
        <f ca="1">AVERAGE(OFFSET($CX$3,0,0,'Données projet'!$E$13+1,1))-AVERAGE(OFFSET($H$3,0,0,'Données projet'!$E$13+1,1))</f>
        <v>280.25710840677186</v>
      </c>
      <c r="CZ67" s="59">
        <f t="shared" si="42"/>
        <v>209.65224013288037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12.315584094667875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12.315584094667875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5.6</v>
      </c>
      <c r="DO67" s="12">
        <f>IF('Données projet'!$A$166&gt;35,DO66+DN67-DW66,IF(A67&lt;'Données projet'!$A$166,$DL$205^A67,IF(A67='Données projet'!$A$166,'Données projet'!$B$166,DO66+DN67-DW66)))</f>
        <v>226.4</v>
      </c>
      <c r="DP67" s="17">
        <f>DO67*VLOOKUP('Données projet'!$B$14,Paramètres!$A$1:$I$89,3,0)*VLOOKUP('Données projet'!$B$14,Paramètres!$A$1:$I$89,5,0)</f>
        <v>236.63328000000004</v>
      </c>
      <c r="DQ67" s="13">
        <f t="shared" si="43"/>
        <v>57.71456976922498</v>
      </c>
      <c r="DR67" s="20">
        <f t="shared" si="16"/>
        <v>512.65583834806694</v>
      </c>
      <c r="DS67" s="59">
        <f t="shared" si="17"/>
        <v>805.98917168140019</v>
      </c>
      <c r="DT67" s="59">
        <f ca="1">AVERAGE(OFFSET($DS$3,0,0,'Données projet'!$E$14+1,1))-AVERAGE(OFFSET($H$3,0,0,'Données projet'!$E$14+1,1))</f>
        <v>330.14201227773452</v>
      </c>
      <c r="DU67" s="59">
        <f t="shared" si="44"/>
        <v>307.07297894926467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15.805645042681425</v>
      </c>
      <c r="EB67" s="21">
        <f>EXP(-LN(2)/25)*EB66+(1-EXP(-LN(2)/25))/(LN(2)/25)*Calculateur!DW67*Calculateur!DY67*VLOOKUP('Données projet'!$B$14,Paramètres!$A$1:$I$89,3,0)*0.475*44/12</f>
        <v>19.953924499041424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35.759569541722847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227.8000000000001</v>
      </c>
      <c r="EK67" s="17">
        <f>EJ67*VLOOKUP('Données projet'!$B$15,Paramètres!$A$1:$I$89,3,0)*VLOOKUP('Données projet'!$B$15,Paramètres!$A$1:$I$89,5,0)</f>
        <v>149.25456000000005</v>
      </c>
      <c r="EL67" s="13">
        <f t="shared" si="45"/>
        <v>38.409132618275962</v>
      </c>
      <c r="EM67" s="20">
        <f t="shared" si="19"/>
        <v>326.84759797683068</v>
      </c>
      <c r="EN67" s="59">
        <f t="shared" si="20"/>
        <v>620.18093131016394</v>
      </c>
      <c r="EO67" s="59">
        <f ca="1">AVERAGE(OFFSET($EN$3,0,0,'Données projet'!$E$15+1,1))-AVERAGE(OFFSET($H$3,0,0,'Données projet'!$E$15+1,1))</f>
        <v>183.30081488041924</v>
      </c>
      <c r="EP67" s="59">
        <f t="shared" si="46"/>
        <v>199.33099759570928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7.7644584439923685</v>
      </c>
      <c r="EX67" s="21">
        <f>EXP(-LN(2)/2)*EX66+(1-EXP(-LN(2)/2))/(LN(2)/2)*ER67*EU67*VLOOKUP('Données projet'!$B$15,Paramètres!$A$1:$I$89,3,0)*0.475*44/12</f>
        <v>1.2510888297879341</v>
      </c>
      <c r="EY67" s="22">
        <f t="shared" si="21"/>
        <v>9.0155472737803031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13.737499999999997</v>
      </c>
      <c r="N68" s="13">
        <f>IF('Données projet'!$A$36&gt;35,N67+M68-V67,IF(A68&lt;'Données projet'!$A$36,$K$205^A68,IF(A68='Données projet'!$A$36,'Données projet'!$B$36,N67+M68-V67)))</f>
        <v>331.52884615384613</v>
      </c>
      <c r="O68" s="13">
        <f>N68*VLOOKUP('Données projet'!$B$9,Paramètres!$A$1:$I$89,3,0)*VLOOKUP('Données projet'!$B$9,Paramètres!$A$1:$I$89,5,0)</f>
        <v>155.15549999999999</v>
      </c>
      <c r="P68" s="13">
        <f t="shared" si="33"/>
        <v>39.74787733410745</v>
      </c>
      <c r="Q68" s="20">
        <f t="shared" si="54"/>
        <v>339.45671552357044</v>
      </c>
      <c r="R68" s="59">
        <f t="shared" si="55"/>
        <v>632.7900488569037</v>
      </c>
      <c r="S68" s="59">
        <f ca="1">AVERAGE(OFFSET($R$3,0,0,'Données projet'!$E$9+1,1))-AVERAGE(OFFSET($H$3,0,0,'Données projet'!$E$9+1,1))</f>
        <v>205.73717397588365</v>
      </c>
      <c r="T68" s="59">
        <f t="shared" si="34"/>
        <v>190.64998698136026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47.342724227033358</v>
      </c>
      <c r="AA68" s="21">
        <f>EXP(-LN(2)/25)*AA67+(1-EXP(-LN(2)/25))/(LN(2)/25)*Calculateur!V68*Calculateur!X68*VLOOKUP('Données projet'!$B$9,Paramètres!$A$1:$I$89,3,0)*0.475*44/12</f>
        <v>28.652203032326362</v>
      </c>
      <c r="AB68" s="21">
        <f>EXP(-LN(2)/2)*AB67+(1-EXP(-LN(2)/2))/(LN(2)/2)*V68*Y68*VLOOKUP('Données projet'!$B$9,Paramètres!$A$1:$I$89,3,0)*0.475*44/12</f>
        <v>2.752575359398961</v>
      </c>
      <c r="AC68" s="22">
        <f t="shared" ref="AC68:AC131" si="57">SUM(Z68:AB68)</f>
        <v>78.747502618758674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283.73369613548124</v>
      </c>
      <c r="AO68" s="59">
        <f t="shared" si="36"/>
        <v>249.77804091581208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-1.1368683772161603E-13</v>
      </c>
      <c r="BE68" s="13">
        <f>BD68*VLOOKUP('Données projet'!$B$11,Paramètres!$A$1:$I$89,3,0)*VLOOKUP('Données projet'!$B$11,Paramètres!$A$1:$I$89,5,0)</f>
        <v>-6.3550942286383367E-14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278.5296012747549</v>
      </c>
      <c r="BJ68" s="59">
        <f t="shared" si="38"/>
        <v>370.55343097937077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185.93481802341336</v>
      </c>
      <c r="BQ68" s="21">
        <f>EXP(-LN(2)/25)*BQ67+(1-EXP(-LN(2)/25))/(LN(2)/25)*Calculateur!BL68*Calculateur!BN68*VLOOKUP('Données projet'!$B$11,Paramètres!$A$1:$I$89,3,0)*0.475*44/12</f>
        <v>43.658457761345673</v>
      </c>
      <c r="BR68" s="21">
        <f>EXP(-LN(2)/2)*BR67+(1-EXP(-LN(2)/2))/(LN(2)/2)*BL68*BO68*VLOOKUP('Données projet'!$B$11,Paramètres!$A$1:$I$89,3,0)*0.475*44/12</f>
        <v>1.0675407501285148</v>
      </c>
      <c r="BS68" s="22">
        <f t="shared" ref="BS68:BS131" si="63">SUM(BP68:BR68)</f>
        <v>230.66081653488754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-5.6843418860808015E-14</v>
      </c>
      <c r="BZ68" s="13">
        <f>BY68*VLOOKUP('Données projet'!$B$12,Paramètres!$A$1:$I$89,3,0)*VLOOKUP('Données projet'!$B$12,Paramètres!$A$1:$I$89,5,0)</f>
        <v>-3.1036506698001178E-14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159.92263609041913</v>
      </c>
      <c r="CE68" s="59">
        <f t="shared" si="40"/>
        <v>271.78119133009307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41.104998577288107</v>
      </c>
      <c r="CL68" s="21">
        <f>EXP(-LN(2)/25)*CL67+(1-EXP(-LN(2)/25))/(LN(2)/25)*Calculateur!CG68*Calculateur!CI68*VLOOKUP('Données projet'!$B$12,Paramètres!$A$1:$I$89,3,0)*0.475*44/12</f>
        <v>74.962048887657005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116.06704746494512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8.1001602564102626</v>
      </c>
      <c r="CT68" s="12">
        <f>IF('Données projet'!$A$140&gt;35,CT67+CS68-DB67,IF(A68&lt;'Données projet'!$A$140,$CQ$205^A68,IF(A68='Données projet'!$A$140,'Données projet'!$B$140,CT67+CS68-DB67)))</f>
        <v>194.76442307692321</v>
      </c>
      <c r="CU68" s="17">
        <f>CT68*VLOOKUP('Données projet'!$B$13,Paramètres!$A$1:$I$89,3,0)*VLOOKUP('Données projet'!$B$13,Paramètres!$A$1:$I$89,5,0)</f>
        <v>176.22285000000011</v>
      </c>
      <c r="CV68" s="13">
        <f t="shared" si="41"/>
        <v>44.480805480154558</v>
      </c>
      <c r="CW68" s="20">
        <f t="shared" ref="CW68:CW131" si="67">(CU68+CV68)*0.475*44/12</f>
        <v>384.3921999612694</v>
      </c>
      <c r="CX68" s="59">
        <f t="shared" ref="CX68:CX131" si="68">CW68+(CO68+CP68)*44/12</f>
        <v>677.72553329460266</v>
      </c>
      <c r="CY68" s="59">
        <f ca="1">AVERAGE(OFFSET($CX$3,0,0,'Données projet'!$E$13+1,1))-AVERAGE(OFFSET($H$3,0,0,'Données projet'!$E$13+1,1))</f>
        <v>280.25710840677186</v>
      </c>
      <c r="CZ68" s="59">
        <f t="shared" si="42"/>
        <v>209.65224013288037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12.07408300233601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12.07408300233601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232</v>
      </c>
      <c r="DM68" s="12">
        <f>VLOOKUP(A68,'Données projet'!$A$165:$I$185,9,0)</f>
        <v>5.6</v>
      </c>
      <c r="DN68" s="12">
        <f t="array" ref="DN68">INDEX(DM:DM,MIN(IF(ISNUMBER(DM68:DM264),ROW(DM68:DM264),"")))</f>
        <v>5.6</v>
      </c>
      <c r="DO68" s="12">
        <f>IF('Données projet'!$A$166&gt;35,DO67+DN68-DW67,IF(A68&lt;'Données projet'!$A$166,$DL$205^A68,IF(A68='Données projet'!$A$166,'Données projet'!$B$166,DO67+DN68-DW67)))</f>
        <v>232</v>
      </c>
      <c r="DP68" s="17">
        <f>DO68*VLOOKUP('Données projet'!$B$14,Paramètres!$A$1:$I$89,3,0)*VLOOKUP('Données projet'!$B$14,Paramètres!$A$1:$I$89,5,0)</f>
        <v>242.4864</v>
      </c>
      <c r="DQ68" s="13">
        <f t="shared" si="43"/>
        <v>58.974170235372419</v>
      </c>
      <c r="DR68" s="20">
        <f t="shared" ref="DR68:DR131" si="70">(DP68+DQ68)*0.475*44/12</f>
        <v>525.04382649327351</v>
      </c>
      <c r="DS68" s="59">
        <f t="shared" ref="DS68:DS131" si="71">DR68+(DJ68+DK68)*44/12</f>
        <v>818.37715982660688</v>
      </c>
      <c r="DT68" s="59">
        <f ca="1">AVERAGE(OFFSET($DS$3,0,0,'Données projet'!$E$14+1,1))-AVERAGE(OFFSET($H$3,0,0,'Données projet'!$E$14+1,1))</f>
        <v>330.14201227773452</v>
      </c>
      <c r="DU68" s="59">
        <f t="shared" si="44"/>
        <v>307.07297894926467</v>
      </c>
      <c r="DV68" s="15">
        <f>IF(ISNA(VLOOKUP(A68,'Données projet'!$A$165:$I$185,3,0)),0,VLOOKUP(A68,'Données projet'!$A$165:$I$185,3,0))</f>
        <v>10</v>
      </c>
      <c r="DW68" s="15" t="str">
        <f>IF(ISNA(VLOOKUP(A68,'Données projet'!$A$165:$I$185,4,0)),0,VLOOKUP(A68,'Données projet'!$A$165:$I$185,4,0))</f>
        <v>20</v>
      </c>
      <c r="DX68" s="16">
        <f>IF(ISNA(VLOOKUP(A68,'Données projet'!$A$165:$I$185,5,0)),0%,VLOOKUP(A68,'Données projet'!$A$165:$I$185,5,0)*VLOOKUP('Données projet'!$B$14,Paramètres!$A$1:$I$89,7,0))</f>
        <v>0.215</v>
      </c>
      <c r="DY68" s="16">
        <f>IF(ISNA(VLOOKUP(A68,'Données projet'!$A$165:$I$185,6,0)),0%,VLOOKUP(A68,'Données projet'!$A$165:$I$185,6,0)*VLOOKUP('Données projet'!$B$14,Paramètres!$A$1:$I$89,7,0))</f>
        <v>0.17200000000000001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20.46408783884371</v>
      </c>
      <c r="EB68" s="21">
        <f>EXP(-LN(2)/25)*EB67+(1-EXP(-LN(2)/25))/(LN(2)/25)*Calculateur!DW68*Calculateur!DY68*VLOOKUP('Données projet'!$B$14,Paramètres!$A$1:$I$89,3,0)*0.475*44/12</f>
        <v>23.367338938278124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43.831426777121834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233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233.00000000000009</v>
      </c>
      <c r="EK68" s="17">
        <f>EJ68*VLOOKUP('Données projet'!$B$15,Paramètres!$A$1:$I$89,3,0)*VLOOKUP('Données projet'!$B$15,Paramètres!$A$1:$I$89,5,0)</f>
        <v>152.66160000000005</v>
      </c>
      <c r="EL68" s="13">
        <f t="shared" si="45"/>
        <v>39.182823220412118</v>
      </c>
      <c r="EM68" s="20">
        <f t="shared" ref="EM68:EM131" si="73">(EK68+EL68)*0.475*44/12</f>
        <v>334.12903710888452</v>
      </c>
      <c r="EN68" s="59">
        <f t="shared" ref="EN68:EN131" si="74">EM68+(EE68+EF68)*44/12</f>
        <v>627.46237044221789</v>
      </c>
      <c r="EO68" s="59">
        <f ca="1">AVERAGE(OFFSET($EN$3,0,0,'Données projet'!$E$15+1,1))-AVERAGE(OFFSET($H$3,0,0,'Données projet'!$E$15+1,1))</f>
        <v>183.30081488041924</v>
      </c>
      <c r="EP68" s="59">
        <f t="shared" si="46"/>
        <v>199.33099759570928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20</v>
      </c>
      <c r="ES68" s="16">
        <f>IF(ISNA(VLOOKUP(A68,'Données projet'!$A$191:$I$211,5,0)),0%,VLOOKUP(A68,'Données projet'!$A$191:$I$211,5,0)*VLOOKUP('Données projet'!$B$15,Paramètres!$A$1:$I$89,7,0))</f>
        <v>4.3000000000000003E-2</v>
      </c>
      <c r="ET68" s="16">
        <f>IF(ISNA(VLOOKUP(A68,'Données projet'!$A$191:$I$211,6,0)),0%,VLOOKUP(A68,'Données projet'!$A$191:$I$211,6,0)*VLOOKUP('Données projet'!$B$15,Paramètres!$A$1:$I$89,7,0))</f>
        <v>0.17200000000000001</v>
      </c>
      <c r="EU68" s="16">
        <f>IF(ISNA(VLOOKUP(A68,'Données projet'!$A$191:$I$211,7,0)),0%,VLOOKUP(A68,'Données projet'!$A$191:$I$211,7,0))</f>
        <v>0.3</v>
      </c>
      <c r="EV68" s="21">
        <f>EXP(-LN(2)/35)*EV67+(1-EXP(-LN(2)/35))/(LN(2)/35)*ER68*ES68*VLOOKUP('Données projet'!$B$15,Paramètres!$A$1:$I$89,3,0)*0.475*44/12</f>
        <v>0.62290160569619046</v>
      </c>
      <c r="EW68" s="21">
        <f>EXP(-LN(2)/25)*EW67+(1-EXP(-LN(2)/25))/(LN(2)/25)*Calculateur!ER68*Calculateur!ET68*VLOOKUP('Données projet'!$B$15,Paramètres!$A$1:$I$89,3,0)*0.475*44/12</f>
        <v>10.033934938448056</v>
      </c>
      <c r="EX68" s="21">
        <f>EXP(-LN(2)/2)*EX67+(1-EXP(-LN(2)/2))/(LN(2)/2)*ER68*EU68*VLOOKUP('Données projet'!$B$15,Paramètres!$A$1:$I$89,3,0)*0.475*44/12</f>
        <v>4.5938464021064931</v>
      </c>
      <c r="EY68" s="22">
        <f t="shared" ref="EY68:EY131" si="75">SUM(EV68:EX68)</f>
        <v>15.250682946250739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13.737499999999997</v>
      </c>
      <c r="N69" s="13">
        <f>IF('Données projet'!$A$36&gt;35,N68+M69-V68,IF(A69&lt;'Données projet'!$A$36,$K$205^A69,IF(A69='Données projet'!$A$36,'Données projet'!$B$36,N68+M69-V68)))</f>
        <v>345.26634615384614</v>
      </c>
      <c r="O69" s="13">
        <f>N69*VLOOKUP('Données projet'!$B$9,Paramètres!$A$1:$I$89,3,0)*VLOOKUP('Données projet'!$B$9,Paramètres!$A$1:$I$89,5,0)</f>
        <v>161.58464999999998</v>
      </c>
      <c r="P69" s="13">
        <f t="shared" ref="P69:P132" si="87">EXP(-1.0587+0.8836*LN(O69)+0.284)</f>
        <v>41.199732368807574</v>
      </c>
      <c r="Q69" s="20">
        <f t="shared" si="54"/>
        <v>353.18279929233978</v>
      </c>
      <c r="R69" s="59">
        <f t="shared" si="55"/>
        <v>646.51613262567309</v>
      </c>
      <c r="S69" s="59">
        <f ca="1">AVERAGE(OFFSET($R$3,0,0,'Données projet'!$E$9+1,1))-AVERAGE(OFFSET($H$3,0,0,'Données projet'!$E$9+1,1))</f>
        <v>205.73717397588365</v>
      </c>
      <c r="T69" s="59">
        <f t="shared" ref="T69:T132" si="88">$T$3</f>
        <v>190.64998698136026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46.414362281151725</v>
      </c>
      <c r="AA69" s="21">
        <f>EXP(-LN(2)/25)*AA68+(1-EXP(-LN(2)/25))/(LN(2)/25)*Calculateur!V69*Calculateur!X69*VLOOKUP('Données projet'!$B$9,Paramètres!$A$1:$I$89,3,0)*0.475*44/12</f>
        <v>27.868707033653525</v>
      </c>
      <c r="AB69" s="21">
        <f>EXP(-LN(2)/2)*AB68+(1-EXP(-LN(2)/2))/(LN(2)/2)*V69*Y69*VLOOKUP('Données projet'!$B$9,Paramètres!$A$1:$I$89,3,0)*0.475*44/12</f>
        <v>1.9463647023580037</v>
      </c>
      <c r="AC69" s="22">
        <f t="shared" si="57"/>
        <v>76.229434017163243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283.73369613548124</v>
      </c>
      <c r="AO69" s="59">
        <f t="shared" ref="AO69:AO132" si="90">$AO$3</f>
        <v>249.77804091581208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-6.3550942286383367E-14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278.5296012747549</v>
      </c>
      <c r="BJ69" s="59">
        <f t="shared" ref="BJ69:BJ132" si="92">$BJ$3</f>
        <v>370.55343097937077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182.288749651015</v>
      </c>
      <c r="BQ69" s="21">
        <f>EXP(-LN(2)/25)*BQ68+(1-EXP(-LN(2)/25))/(LN(2)/25)*Calculateur!BL69*Calculateur!BN69*VLOOKUP('Données projet'!$B$11,Paramètres!$A$1:$I$89,3,0)*0.475*44/12</f>
        <v>42.464614937963162</v>
      </c>
      <c r="BR69" s="21">
        <f>EXP(-LN(2)/2)*BR68+(1-EXP(-LN(2)/2))/(LN(2)/2)*BL69*BO69*VLOOKUP('Données projet'!$B$11,Paramètres!$A$1:$I$89,3,0)*0.475*44/12</f>
        <v>0.75486530360884652</v>
      </c>
      <c r="BS69" s="22">
        <f t="shared" si="63"/>
        <v>225.50822989258702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-5.6843418860808015E-14</v>
      </c>
      <c r="BZ69" s="13">
        <f>BY69*VLOOKUP('Données projet'!$B$12,Paramètres!$A$1:$I$89,3,0)*VLOOKUP('Données projet'!$B$12,Paramètres!$A$1:$I$89,5,0)</f>
        <v>-3.1036506698001178E-14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159.92263609041913</v>
      </c>
      <c r="CE69" s="59">
        <f t="shared" ref="CE69:CE132" si="94">$CE$3</f>
        <v>271.78119133009307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40.298954626761009</v>
      </c>
      <c r="CL69" s="21">
        <f>EXP(-LN(2)/25)*CL68+(1-EXP(-LN(2)/25))/(LN(2)/25)*Calculateur!CG69*Calculateur!CI69*VLOOKUP('Données projet'!$B$12,Paramètres!$A$1:$I$89,3,0)*0.475*44/12</f>
        <v>72.9122077187412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113.2111623455022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8.1001602564102626</v>
      </c>
      <c r="CT69" s="12">
        <f>IF('Données projet'!$A$140&gt;35,CT68+CS69-DB68,IF(A69&lt;'Données projet'!$A$140,$CQ$205^A69,IF(A69='Données projet'!$A$140,'Données projet'!$B$140,CT68+CS69-DB68)))</f>
        <v>202.86458333333348</v>
      </c>
      <c r="CU69" s="17">
        <f>CT69*VLOOKUP('Données projet'!$B$13,Paramètres!$A$1:$I$89,3,0)*VLOOKUP('Données projet'!$B$13,Paramètres!$A$1:$I$89,5,0)</f>
        <v>183.55187500000014</v>
      </c>
      <c r="CV69" s="13">
        <f t="shared" ref="CV69:CV132" si="95">EXP(-1.0587+0.8836*LN(CU69)+0.284)</f>
        <v>46.11151198237242</v>
      </c>
      <c r="CW69" s="20">
        <f t="shared" si="67"/>
        <v>399.99706566096552</v>
      </c>
      <c r="CX69" s="59">
        <f t="shared" si="68"/>
        <v>693.33039899429878</v>
      </c>
      <c r="CY69" s="59">
        <f ca="1">AVERAGE(OFFSET($CX$3,0,0,'Données projet'!$E$13+1,1))-AVERAGE(OFFSET($H$3,0,0,'Données projet'!$E$13+1,1))</f>
        <v>280.25710840677186</v>
      </c>
      <c r="CZ69" s="59">
        <f t="shared" ref="CZ69:CZ132" si="96">$CZ$3</f>
        <v>209.65224013288037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11.837317599123653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11.837317599123653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</v>
      </c>
      <c r="DO69" s="12">
        <f>IF('Données projet'!$A$166&gt;35,DO68+DN69-DW68,IF(A69&lt;'Données projet'!$A$166,$DL$205^A69,IF(A69='Données projet'!$A$166,'Données projet'!$B$166,DO68+DN69-DW68)))</f>
        <v>217</v>
      </c>
      <c r="DP69" s="17">
        <f>DO69*VLOOKUP('Données projet'!$B$14,Paramètres!$A$1:$I$89,3,0)*VLOOKUP('Données projet'!$B$14,Paramètres!$A$1:$I$89,5,0)</f>
        <v>226.80840000000003</v>
      </c>
      <c r="DQ69" s="13">
        <f t="shared" ref="DQ69:DQ132" si="97">EXP(-1.0587+0.8836*LN(DP69)+0.284)</f>
        <v>55.592022759242575</v>
      </c>
      <c r="DR69" s="20">
        <f t="shared" si="70"/>
        <v>491.84740297234742</v>
      </c>
      <c r="DS69" s="59">
        <f t="shared" si="71"/>
        <v>785.18073630568074</v>
      </c>
      <c r="DT69" s="59">
        <f ca="1">AVERAGE(OFFSET($DS$3,0,0,'Données projet'!$E$14+1,1))-AVERAGE(OFFSET($H$3,0,0,'Données projet'!$E$14+1,1))</f>
        <v>330.14201227773452</v>
      </c>
      <c r="DU69" s="59">
        <f t="shared" ref="DU69:DU132" si="98">$DU$3</f>
        <v>307.07297894926467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20.062799558185084</v>
      </c>
      <c r="EB69" s="21">
        <f>EXP(-LN(2)/25)*EB68+(1-EXP(-LN(2)/25))/(LN(2)/25)*Calculateur!DW69*Calculateur!DY69*VLOOKUP('Données projet'!$B$14,Paramètres!$A$1:$I$89,3,0)*0.475*44/12</f>
        <v>22.728357826175962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42.791157384361043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4.8</v>
      </c>
      <c r="EJ69" s="12">
        <f>IF('Données projet'!$A$192&gt;35,EJ68+EI69-ER68,IF(A69&lt;'Données projet'!$A$192,$EG$205^A69,IF(A69='Données projet'!$A$192,'Données projet'!$B$192,EJ68+EI69-ER68)))</f>
        <v>217.8000000000001</v>
      </c>
      <c r="EK69" s="17">
        <f>EJ69*VLOOKUP('Données projet'!$B$15,Paramètres!$A$1:$I$89,3,0)*VLOOKUP('Données projet'!$B$15,Paramètres!$A$1:$I$89,5,0)</f>
        <v>142.70256000000006</v>
      </c>
      <c r="EL69" s="13">
        <f t="shared" ref="EL69:EL132" si="99">EXP(-1.0587+0.8836*LN(EK69)+0.284)</f>
        <v>36.91543341153259</v>
      </c>
      <c r="EM69" s="20">
        <f t="shared" si="73"/>
        <v>312.83467185841943</v>
      </c>
      <c r="EN69" s="59">
        <f t="shared" si="74"/>
        <v>606.16800519175274</v>
      </c>
      <c r="EO69" s="59">
        <f ca="1">AVERAGE(OFFSET($EN$3,0,0,'Données projet'!$E$15+1,1))-AVERAGE(OFFSET($H$3,0,0,'Données projet'!$E$15+1,1))</f>
        <v>183.30081488041924</v>
      </c>
      <c r="EP69" s="59">
        <f t="shared" ref="EP69:EP132" si="100">$EP$3</f>
        <v>199.33099759570928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0.61068688514095237</v>
      </c>
      <c r="EW69" s="21">
        <f>EXP(-LN(2)/25)*EW68+(1-EXP(-LN(2)/25))/(LN(2)/25)*Calculateur!ER69*Calculateur!ET69*VLOOKUP('Données projet'!$B$15,Paramètres!$A$1:$I$89,3,0)*0.475*44/12</f>
        <v>9.7595564598944886</v>
      </c>
      <c r="EX69" s="21">
        <f>EXP(-LN(2)/2)*EX68+(1-EXP(-LN(2)/2))/(LN(2)/2)*ER69*EU69*VLOOKUP('Données projet'!$B$15,Paramètres!$A$1:$I$89,3,0)*0.475*44/12</f>
        <v>3.2483399426589248</v>
      </c>
      <c r="EY69" s="22">
        <f t="shared" si="75"/>
        <v>13.618583287694365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13.737499999999997</v>
      </c>
      <c r="N70" s="13">
        <f>IF('Données projet'!$A$36&gt;35,N69+M70-V69,IF(A70&lt;'Données projet'!$A$36,$K$205^A70,IF(A70='Données projet'!$A$36,'Données projet'!$B$36,N69+M70-V69)))</f>
        <v>359.00384615384615</v>
      </c>
      <c r="O70" s="13">
        <f>N70*VLOOKUP('Données projet'!$B$9,Paramètres!$A$1:$I$89,3,0)*VLOOKUP('Données projet'!$B$9,Paramètres!$A$1:$I$89,5,0)</f>
        <v>168.0138</v>
      </c>
      <c r="P70" s="13">
        <f t="shared" si="87"/>
        <v>42.644877049412187</v>
      </c>
      <c r="Q70" s="20">
        <f t="shared" si="54"/>
        <v>366.89719586105952</v>
      </c>
      <c r="R70" s="59">
        <f t="shared" si="55"/>
        <v>660.23052919439283</v>
      </c>
      <c r="S70" s="59">
        <f ca="1">AVERAGE(OFFSET($R$3,0,0,'Données projet'!$E$9+1,1))-AVERAGE(OFFSET($H$3,0,0,'Données projet'!$E$9+1,1))</f>
        <v>205.73717397588365</v>
      </c>
      <c r="T70" s="59">
        <f t="shared" si="88"/>
        <v>190.64998698136026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45.50420494678395</v>
      </c>
      <c r="AA70" s="21">
        <f>EXP(-LN(2)/25)*AA69+(1-EXP(-LN(2)/25))/(LN(2)/25)*Calculateur!V70*Calculateur!X70*VLOOKUP('Données projet'!$B$9,Paramètres!$A$1:$I$89,3,0)*0.475*44/12</f>
        <v>27.10663577426666</v>
      </c>
      <c r="AB70" s="21">
        <f>EXP(-LN(2)/2)*AB69+(1-EXP(-LN(2)/2))/(LN(2)/2)*V70*Y70*VLOOKUP('Données projet'!$B$9,Paramètres!$A$1:$I$89,3,0)*0.475*44/12</f>
        <v>1.3762876796994807</v>
      </c>
      <c r="AC70" s="22">
        <f t="shared" si="57"/>
        <v>73.987128400750095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283.73369613548124</v>
      </c>
      <c r="AO70" s="59">
        <f t="shared" si="90"/>
        <v>249.77804091581208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-6.3550942286383367E-14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278.5296012747549</v>
      </c>
      <c r="BJ70" s="59">
        <f t="shared" si="92"/>
        <v>370.55343097937077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178.71417845551724</v>
      </c>
      <c r="BQ70" s="21">
        <f>EXP(-LN(2)/25)*BQ69+(1-EXP(-LN(2)/25))/(LN(2)/25)*Calculateur!BL70*Calculateur!BN70*VLOOKUP('Données projet'!$B$11,Paramètres!$A$1:$I$89,3,0)*0.475*44/12</f>
        <v>41.303417809367517</v>
      </c>
      <c r="BR70" s="21">
        <f>EXP(-LN(2)/2)*BR69+(1-EXP(-LN(2)/2))/(LN(2)/2)*BL70*BO70*VLOOKUP('Données projet'!$B$11,Paramètres!$A$1:$I$89,3,0)*0.475*44/12</f>
        <v>0.5337703750642574</v>
      </c>
      <c r="BS70" s="22">
        <f t="shared" si="63"/>
        <v>220.55136663994901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-5.6843418860808015E-14</v>
      </c>
      <c r="BZ70" s="13">
        <f>BY70*VLOOKUP('Données projet'!$B$12,Paramètres!$A$1:$I$89,3,0)*VLOOKUP('Données projet'!$B$12,Paramètres!$A$1:$I$89,5,0)</f>
        <v>-3.1036506698001178E-14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159.92263609041913</v>
      </c>
      <c r="CE70" s="59">
        <f t="shared" si="94"/>
        <v>271.78119133009307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39.508716706465478</v>
      </c>
      <c r="CL70" s="21">
        <f>EXP(-LN(2)/25)*CL69+(1-EXP(-LN(2)/25))/(LN(2)/25)*Calculateur!CG70*Calculateur!CI70*VLOOKUP('Données projet'!$B$12,Paramètres!$A$1:$I$89,3,0)*0.475*44/12</f>
        <v>70.918419564385857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110.42713627085134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8.1001602564102626</v>
      </c>
      <c r="CT70" s="12">
        <f>IF('Données projet'!$A$140&gt;35,CT69+CS70-DB69,IF(A70&lt;'Données projet'!$A$140,$CQ$205^A70,IF(A70='Données projet'!$A$140,'Données projet'!$B$140,CT69+CS70-DB69)))</f>
        <v>210.96474358974376</v>
      </c>
      <c r="CU70" s="17">
        <f>CT70*VLOOKUP('Données projet'!$B$13,Paramètres!$A$1:$I$89,3,0)*VLOOKUP('Données projet'!$B$13,Paramètres!$A$1:$I$89,5,0)</f>
        <v>190.88090000000014</v>
      </c>
      <c r="CV70" s="13">
        <f t="shared" si="95"/>
        <v>47.734654873168694</v>
      </c>
      <c r="CW70" s="20">
        <f t="shared" si="67"/>
        <v>415.58875807076902</v>
      </c>
      <c r="CX70" s="59">
        <f t="shared" si="68"/>
        <v>708.92209140410228</v>
      </c>
      <c r="CY70" s="59">
        <f ca="1">AVERAGE(OFFSET($CX$3,0,0,'Données projet'!$E$13+1,1))-AVERAGE(OFFSET($H$3,0,0,'Données projet'!$E$13+1,1))</f>
        <v>280.25710840677186</v>
      </c>
      <c r="CZ70" s="59">
        <f t="shared" si="96"/>
        <v>209.65224013288037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11.605195021055652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11.605195021055652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</v>
      </c>
      <c r="DO70" s="12">
        <f>IF('Données projet'!$A$166&gt;35,DO69+DN70-DW69,IF(A70&lt;'Données projet'!$A$166,$DL$205^A70,IF(A70='Données projet'!$A$166,'Données projet'!$B$166,DO69+DN70-DW69)))</f>
        <v>222</v>
      </c>
      <c r="DP70" s="17">
        <f>DO70*VLOOKUP('Données projet'!$B$14,Paramètres!$A$1:$I$89,3,0)*VLOOKUP('Données projet'!$B$14,Paramètres!$A$1:$I$89,5,0)</f>
        <v>232.03440000000003</v>
      </c>
      <c r="DQ70" s="13">
        <f t="shared" si="97"/>
        <v>56.722340668285831</v>
      </c>
      <c r="DR70" s="20">
        <f t="shared" si="70"/>
        <v>502.91798999726456</v>
      </c>
      <c r="DS70" s="59">
        <f t="shared" si="71"/>
        <v>796.25132333059787</v>
      </c>
      <c r="DT70" s="59">
        <f ca="1">AVERAGE(OFFSET($DS$3,0,0,'Données projet'!$E$14+1,1))-AVERAGE(OFFSET($H$3,0,0,'Données projet'!$E$14+1,1))</f>
        <v>330.14201227773452</v>
      </c>
      <c r="DU70" s="59">
        <f t="shared" si="98"/>
        <v>307.07297894926467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19.669380295948493</v>
      </c>
      <c r="EB70" s="21">
        <f>EXP(-LN(2)/25)*EB69+(1-EXP(-LN(2)/25))/(LN(2)/25)*Calculateur!DW70*Calculateur!DY70*VLOOKUP('Données projet'!$B$14,Paramètres!$A$1:$I$89,3,0)*0.475*44/12</f>
        <v>22.106849686186788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41.776229982135277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4.8</v>
      </c>
      <c r="EJ70" s="12">
        <f>IF('Données projet'!$A$192&gt;35,EJ69+EI70-ER69,IF(A70&lt;'Données projet'!$A$192,$EG$205^A70,IF(A70='Données projet'!$A$192,'Données projet'!$B$192,EJ69+EI70-ER69)))</f>
        <v>222.60000000000011</v>
      </c>
      <c r="EK70" s="17">
        <f>EJ70*VLOOKUP('Données projet'!$B$15,Paramètres!$A$1:$I$89,3,0)*VLOOKUP('Données projet'!$B$15,Paramètres!$A$1:$I$89,5,0)</f>
        <v>145.84752000000009</v>
      </c>
      <c r="EL70" s="13">
        <f t="shared" si="99"/>
        <v>37.633383344887093</v>
      </c>
      <c r="EM70" s="20">
        <f t="shared" si="73"/>
        <v>319.56257332567844</v>
      </c>
      <c r="EN70" s="59">
        <f t="shared" si="74"/>
        <v>612.89590665901176</v>
      </c>
      <c r="EO70" s="59">
        <f ca="1">AVERAGE(OFFSET($EN$3,0,0,'Données projet'!$E$15+1,1))-AVERAGE(OFFSET($H$3,0,0,'Données projet'!$E$15+1,1))</f>
        <v>183.30081488041924</v>
      </c>
      <c r="EP70" s="59">
        <f t="shared" si="100"/>
        <v>199.33099759570928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0.59871168780555872</v>
      </c>
      <c r="EW70" s="21">
        <f>EXP(-LN(2)/25)*EW69+(1-EXP(-LN(2)/25))/(LN(2)/25)*Calculateur!ER70*Calculateur!ET70*VLOOKUP('Données projet'!$B$15,Paramètres!$A$1:$I$89,3,0)*0.475*44/12</f>
        <v>9.492680875265906</v>
      </c>
      <c r="EX70" s="21">
        <f>EXP(-LN(2)/2)*EX69+(1-EXP(-LN(2)/2))/(LN(2)/2)*ER70*EU70*VLOOKUP('Données projet'!$B$15,Paramètres!$A$1:$I$89,3,0)*0.475*44/12</f>
        <v>2.296923201053247</v>
      </c>
      <c r="EY70" s="22">
        <f t="shared" si="75"/>
        <v>12.388315764124711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13.737499999999997</v>
      </c>
      <c r="N71" s="13">
        <f>IF('Données projet'!$A$36&gt;35,N70+M71-V70,IF(A71&lt;'Données projet'!$A$36,$K$205^A71,IF(A71='Données projet'!$A$36,'Données projet'!$B$36,N70+M71-V70)))</f>
        <v>372.74134615384617</v>
      </c>
      <c r="O71" s="13">
        <f>N71*VLOOKUP('Données projet'!$B$9,Paramètres!$A$1:$I$89,3,0)*VLOOKUP('Données projet'!$B$9,Paramètres!$A$1:$I$89,5,0)</f>
        <v>174.44295000000002</v>
      </c>
      <c r="P71" s="13">
        <f t="shared" si="87"/>
        <v>44.083597545116064</v>
      </c>
      <c r="Q71" s="20">
        <f t="shared" si="54"/>
        <v>380.60040364107721</v>
      </c>
      <c r="R71" s="59">
        <f t="shared" si="55"/>
        <v>673.93373697441052</v>
      </c>
      <c r="S71" s="59">
        <f ca="1">AVERAGE(OFFSET($R$3,0,0,'Données projet'!$E$9+1,1))-AVERAGE(OFFSET($H$3,0,0,'Données projet'!$E$9+1,1))</f>
        <v>205.73717397588365</v>
      </c>
      <c r="T71" s="59">
        <f t="shared" si="88"/>
        <v>190.64998698136026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44.611895242601975</v>
      </c>
      <c r="AA71" s="21">
        <f>EXP(-LN(2)/25)*AA70+(1-EXP(-LN(2)/25))/(LN(2)/25)*Calculateur!V71*Calculateur!X71*VLOOKUP('Données projet'!$B$9,Paramètres!$A$1:$I$89,3,0)*0.475*44/12</f>
        <v>26.365403393543318</v>
      </c>
      <c r="AB71" s="21">
        <f>EXP(-LN(2)/2)*AB70+(1-EXP(-LN(2)/2))/(LN(2)/2)*V71*Y71*VLOOKUP('Données projet'!$B$9,Paramètres!$A$1:$I$89,3,0)*0.475*44/12</f>
        <v>0.97318235117900198</v>
      </c>
      <c r="AC71" s="22">
        <f t="shared" si="57"/>
        <v>71.950480987324298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283.73369613548124</v>
      </c>
      <c r="AO71" s="59">
        <f t="shared" si="90"/>
        <v>249.77804091581208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-6.3550942286383367E-14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278.5296012747549</v>
      </c>
      <c r="BJ71" s="59">
        <f t="shared" si="92"/>
        <v>370.55343097937077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175.20970242089007</v>
      </c>
      <c r="BQ71" s="21">
        <f>EXP(-LN(2)/25)*BQ70+(1-EXP(-LN(2)/25))/(LN(2)/25)*Calculateur!BL71*Calculateur!BN71*VLOOKUP('Données projet'!$B$11,Paramètres!$A$1:$I$89,3,0)*0.475*44/12</f>
        <v>40.173973677318017</v>
      </c>
      <c r="BR71" s="21">
        <f>EXP(-LN(2)/2)*BR70+(1-EXP(-LN(2)/2))/(LN(2)/2)*BL71*BO71*VLOOKUP('Données projet'!$B$11,Paramètres!$A$1:$I$89,3,0)*0.475*44/12</f>
        <v>0.37743265180442326</v>
      </c>
      <c r="BS71" s="22">
        <f t="shared" si="63"/>
        <v>215.76110875001248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-5.6843418860808015E-14</v>
      </c>
      <c r="BZ71" s="13">
        <f>BY71*VLOOKUP('Données projet'!$B$12,Paramètres!$A$1:$I$89,3,0)*VLOOKUP('Données projet'!$B$12,Paramètres!$A$1:$I$89,5,0)</f>
        <v>-3.1036506698001178E-14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159.92263609041913</v>
      </c>
      <c r="CE71" s="59">
        <f t="shared" si="94"/>
        <v>271.78119133009307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38.733974869789407</v>
      </c>
      <c r="CL71" s="21">
        <f>EXP(-LN(2)/25)*CL70+(1-EXP(-LN(2)/25))/(LN(2)/25)*Calculateur!CG71*Calculateur!CI71*VLOOKUP('Données projet'!$B$12,Paramètres!$A$1:$I$89,3,0)*0.475*44/12</f>
        <v>68.979151651960123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107.71312652174953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8.1001602564102626</v>
      </c>
      <c r="CT71" s="12">
        <f>IF('Données projet'!$A$140&gt;35,CT70+CS71-DB70,IF(A71&lt;'Données projet'!$A$140,$CQ$205^A71,IF(A71='Données projet'!$A$140,'Données projet'!$B$140,CT70+CS71-DB70)))</f>
        <v>219.06490384615404</v>
      </c>
      <c r="CU71" s="17">
        <f>CT71*VLOOKUP('Données projet'!$B$13,Paramètres!$A$1:$I$89,3,0)*VLOOKUP('Données projet'!$B$13,Paramètres!$A$1:$I$89,5,0)</f>
        <v>198.20992500000017</v>
      </c>
      <c r="CV71" s="13">
        <f t="shared" si="95"/>
        <v>49.350557805795496</v>
      </c>
      <c r="CW71" s="20">
        <f t="shared" si="67"/>
        <v>431.16784088676076</v>
      </c>
      <c r="CX71" s="59">
        <f t="shared" si="68"/>
        <v>724.50117422009407</v>
      </c>
      <c r="CY71" s="59">
        <f ca="1">AVERAGE(OFFSET($CX$3,0,0,'Données projet'!$E$13+1,1))-AVERAGE(OFFSET($H$3,0,0,'Données projet'!$E$13+1,1))</f>
        <v>280.25710840677186</v>
      </c>
      <c r="CZ71" s="59">
        <f t="shared" si="96"/>
        <v>209.65224013288037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11.377624225162773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11.377624225162773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</v>
      </c>
      <c r="DO71" s="12">
        <f>IF('Données projet'!$A$166&gt;35,DO70+DN71-DW70,IF(A71&lt;'Données projet'!$A$166,$DL$205^A71,IF(A71='Données projet'!$A$166,'Données projet'!$B$166,DO70+DN71-DW70)))</f>
        <v>227</v>
      </c>
      <c r="DP71" s="17">
        <f>DO71*VLOOKUP('Données projet'!$B$14,Paramètres!$A$1:$I$89,3,0)*VLOOKUP('Données projet'!$B$14,Paramètres!$A$1:$I$89,5,0)</f>
        <v>237.2604</v>
      </c>
      <c r="DQ71" s="13">
        <f t="shared" si="97"/>
        <v>57.849698927879167</v>
      </c>
      <c r="DR71" s="20">
        <f t="shared" si="70"/>
        <v>513.98342229938953</v>
      </c>
      <c r="DS71" s="59">
        <f t="shared" si="71"/>
        <v>807.31675563272279</v>
      </c>
      <c r="DT71" s="59">
        <f ca="1">AVERAGE(OFFSET($DS$3,0,0,'Données projet'!$E$14+1,1))-AVERAGE(OFFSET($H$3,0,0,'Données projet'!$E$14+1,1))</f>
        <v>330.14201227773452</v>
      </c>
      <c r="DU71" s="59">
        <f t="shared" si="98"/>
        <v>307.07297894926467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19.283675745482306</v>
      </c>
      <c r="EB71" s="21">
        <f>EXP(-LN(2)/25)*EB70+(1-EXP(-LN(2)/25))/(LN(2)/25)*Calculateur!DW71*Calculateur!DY71*VLOOKUP('Données projet'!$B$14,Paramètres!$A$1:$I$89,3,0)*0.475*44/12</f>
        <v>21.50233671896931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40.786012464451616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4.8</v>
      </c>
      <c r="EJ71" s="12">
        <f>IF('Données projet'!$A$192&gt;35,EJ70+EI71-ER70,IF(A71&lt;'Données projet'!$A$192,$EG$205^A71,IF(A71='Données projet'!$A$192,'Données projet'!$B$192,EJ70+EI71-ER70)))</f>
        <v>227.40000000000012</v>
      </c>
      <c r="EK71" s="17">
        <f>EJ71*VLOOKUP('Données projet'!$B$15,Paramètres!$A$1:$I$89,3,0)*VLOOKUP('Données projet'!$B$15,Paramètres!$A$1:$I$89,5,0)</f>
        <v>148.99248000000009</v>
      </c>
      <c r="EL71" s="13">
        <f t="shared" si="99"/>
        <v>38.349533355462334</v>
      </c>
      <c r="EM71" s="20">
        <f t="shared" si="73"/>
        <v>326.28733992743042</v>
      </c>
      <c r="EN71" s="59">
        <f t="shared" si="74"/>
        <v>619.62067326076374</v>
      </c>
      <c r="EO71" s="59">
        <f ca="1">AVERAGE(OFFSET($EN$3,0,0,'Données projet'!$E$15+1,1))-AVERAGE(OFFSET($H$3,0,0,'Données projet'!$E$15+1,1))</f>
        <v>183.30081488041924</v>
      </c>
      <c r="EP71" s="59">
        <f t="shared" si="100"/>
        <v>199.33099759570928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0.58697131678576298</v>
      </c>
      <c r="EW71" s="21">
        <f>EXP(-LN(2)/25)*EW70+(1-EXP(-LN(2)/25))/(LN(2)/25)*Calculateur!ER71*Calculateur!ET71*VLOOKUP('Données projet'!$B$15,Paramètres!$A$1:$I$89,3,0)*0.475*44/12</f>
        <v>9.2331030175333684</v>
      </c>
      <c r="EX71" s="21">
        <f>EXP(-LN(2)/2)*EX70+(1-EXP(-LN(2)/2))/(LN(2)/2)*ER71*EU71*VLOOKUP('Données projet'!$B$15,Paramètres!$A$1:$I$89,3,0)*0.475*44/12</f>
        <v>1.6241699713294628</v>
      </c>
      <c r="EY71" s="22">
        <f t="shared" si="75"/>
        <v>11.444244305648594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13.737499999999997</v>
      </c>
      <c r="N72" s="13">
        <f>IF('Données projet'!$A$36&gt;35,N71+M72-V71,IF(A72&lt;'Données projet'!$A$36,$K$205^A72,IF(A72='Données projet'!$A$36,'Données projet'!$B$36,N71+M72-V71)))</f>
        <v>386.47884615384618</v>
      </c>
      <c r="O72" s="13">
        <f>N72*VLOOKUP('Données projet'!$B$9,Paramètres!$A$1:$I$89,3,0)*VLOOKUP('Données projet'!$B$9,Paramètres!$A$1:$I$89,5,0)</f>
        <v>180.87209999999999</v>
      </c>
      <c r="P72" s="13">
        <f t="shared" si="87"/>
        <v>45.516157736157588</v>
      </c>
      <c r="Q72" s="20">
        <f t="shared" si="54"/>
        <v>394.29288222380774</v>
      </c>
      <c r="R72" s="59">
        <f t="shared" si="55"/>
        <v>687.62621555714099</v>
      </c>
      <c r="S72" s="59">
        <f ca="1">AVERAGE(OFFSET($R$3,0,0,'Données projet'!$E$9+1,1))-AVERAGE(OFFSET($H$3,0,0,'Données projet'!$E$9+1,1))</f>
        <v>205.73717397588365</v>
      </c>
      <c r="T72" s="59">
        <f t="shared" si="88"/>
        <v>190.64998698136026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43.737083187463824</v>
      </c>
      <c r="AA72" s="21">
        <f>EXP(-LN(2)/25)*AA71+(1-EXP(-LN(2)/25))/(LN(2)/25)*Calculateur!V72*Calculateur!X72*VLOOKUP('Données projet'!$B$9,Paramètres!$A$1:$I$89,3,0)*0.475*44/12</f>
        <v>25.644440051250569</v>
      </c>
      <c r="AB72" s="21">
        <f>EXP(-LN(2)/2)*AB71+(1-EXP(-LN(2)/2))/(LN(2)/2)*V72*Y72*VLOOKUP('Données projet'!$B$9,Paramètres!$A$1:$I$89,3,0)*0.475*44/12</f>
        <v>0.68814383984974048</v>
      </c>
      <c r="AC72" s="22">
        <f t="shared" si="57"/>
        <v>70.069667078564137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283.73369613548124</v>
      </c>
      <c r="AO72" s="59">
        <f t="shared" si="90"/>
        <v>249.77804091581208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-6.3550942286383367E-14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278.5296012747549</v>
      </c>
      <c r="BJ72" s="59">
        <f t="shared" si="92"/>
        <v>370.55343097937077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171.77394702378263</v>
      </c>
      <c r="BQ72" s="21">
        <f>EXP(-LN(2)/25)*BQ71+(1-EXP(-LN(2)/25))/(LN(2)/25)*Calculateur!BL72*Calculateur!BN72*VLOOKUP('Données projet'!$B$11,Paramètres!$A$1:$I$89,3,0)*0.475*44/12</f>
        <v>39.075414254454301</v>
      </c>
      <c r="BR72" s="21">
        <f>EXP(-LN(2)/2)*BR71+(1-EXP(-LN(2)/2))/(LN(2)/2)*BL72*BO72*VLOOKUP('Données projet'!$B$11,Paramètres!$A$1:$I$89,3,0)*0.475*44/12</f>
        <v>0.2668851875321287</v>
      </c>
      <c r="BS72" s="22">
        <f t="shared" si="63"/>
        <v>211.11624646576905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-5.6843418860808015E-14</v>
      </c>
      <c r="BZ72" s="13">
        <f>BY72*VLOOKUP('Données projet'!$B$12,Paramètres!$A$1:$I$89,3,0)*VLOOKUP('Données projet'!$B$12,Paramètres!$A$1:$I$89,5,0)</f>
        <v>-3.1036506698001178E-14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159.92263609041913</v>
      </c>
      <c r="CE72" s="59">
        <f t="shared" si="94"/>
        <v>271.78119133009307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37.974425247984691</v>
      </c>
      <c r="CL72" s="21">
        <f>EXP(-LN(2)/25)*CL71+(1-EXP(-LN(2)/25))/(LN(2)/25)*Calculateur!CG72*Calculateur!CI72*VLOOKUP('Données projet'!$B$12,Paramètres!$A$1:$I$89,3,0)*0.475*44/12</f>
        <v>67.092913122581336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105.06733837056603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8.1001602564102626</v>
      </c>
      <c r="CT72" s="12">
        <f>IF('Données projet'!$A$140&gt;35,CT71+CS72-DB71,IF(A72&lt;'Données projet'!$A$140,$CQ$205^A72,IF(A72='Données projet'!$A$140,'Données projet'!$B$140,CT71+CS72-DB71)))</f>
        <v>227.16506410256432</v>
      </c>
      <c r="CU72" s="17">
        <f>CT72*VLOOKUP('Données projet'!$B$13,Paramètres!$A$1:$I$89,3,0)*VLOOKUP('Données projet'!$B$13,Paramètres!$A$1:$I$89,5,0)</f>
        <v>205.53895000000017</v>
      </c>
      <c r="CV72" s="13">
        <f t="shared" si="95"/>
        <v>50.959519142478193</v>
      </c>
      <c r="CW72" s="20">
        <f t="shared" si="67"/>
        <v>446.73483375648311</v>
      </c>
      <c r="CX72" s="59">
        <f t="shared" si="68"/>
        <v>740.06816708981637</v>
      </c>
      <c r="CY72" s="59">
        <f ca="1">AVERAGE(OFFSET($CX$3,0,0,'Données projet'!$E$13+1,1))-AVERAGE(OFFSET($H$3,0,0,'Données projet'!$E$13+1,1))</f>
        <v>280.25710840677186</v>
      </c>
      <c r="CZ72" s="59">
        <f t="shared" si="96"/>
        <v>209.65224013288037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11.154515953772874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11.154515953772874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</v>
      </c>
      <c r="DO72" s="12">
        <f>IF('Données projet'!$A$166&gt;35,DO71+DN72-DW71,IF(A72&lt;'Données projet'!$A$166,$DL$205^A72,IF(A72='Données projet'!$A$166,'Données projet'!$B$166,DO71+DN72-DW71)))</f>
        <v>232</v>
      </c>
      <c r="DP72" s="17">
        <f>DO72*VLOOKUP('Données projet'!$B$14,Paramètres!$A$1:$I$89,3,0)*VLOOKUP('Données projet'!$B$14,Paramètres!$A$1:$I$89,5,0)</f>
        <v>242.4864</v>
      </c>
      <c r="DQ72" s="13">
        <f t="shared" si="97"/>
        <v>58.974170235372419</v>
      </c>
      <c r="DR72" s="20">
        <f t="shared" si="70"/>
        <v>525.04382649327351</v>
      </c>
      <c r="DS72" s="59">
        <f t="shared" si="71"/>
        <v>818.37715982660688</v>
      </c>
      <c r="DT72" s="59">
        <f ca="1">AVERAGE(OFFSET($DS$3,0,0,'Données projet'!$E$14+1,1))-AVERAGE(OFFSET($H$3,0,0,'Données projet'!$E$14+1,1))</f>
        <v>330.14201227773452</v>
      </c>
      <c r="DU72" s="59">
        <f t="shared" si="98"/>
        <v>307.07297894926467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18.905534625994214</v>
      </c>
      <c r="EB72" s="21">
        <f>EXP(-LN(2)/25)*EB71+(1-EXP(-LN(2)/25))/(LN(2)/25)*Calculateur!DW72*Calculateur!DY72*VLOOKUP('Données projet'!$B$14,Paramètres!$A$1:$I$89,3,0)*0.475*44/12</f>
        <v>20.914354190630352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39.819888816624569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4.8</v>
      </c>
      <c r="EJ72" s="12">
        <f>IF('Données projet'!$A$192&gt;35,EJ71+EI72-ER71,IF(A72&lt;'Données projet'!$A$192,$EG$205^A72,IF(A72='Données projet'!$A$192,'Données projet'!$B$192,EJ71+EI72-ER71)))</f>
        <v>232.20000000000013</v>
      </c>
      <c r="EK72" s="17">
        <f>EJ72*VLOOKUP('Données projet'!$B$15,Paramètres!$A$1:$I$89,3,0)*VLOOKUP('Données projet'!$B$15,Paramètres!$A$1:$I$89,5,0)</f>
        <v>152.13744000000008</v>
      </c>
      <c r="EL72" s="13">
        <f t="shared" si="99"/>
        <v>39.063925813036128</v>
      </c>
      <c r="EM72" s="20">
        <f t="shared" si="73"/>
        <v>333.0090454577047</v>
      </c>
      <c r="EN72" s="59">
        <f t="shared" si="74"/>
        <v>626.34237879103807</v>
      </c>
      <c r="EO72" s="59">
        <f ca="1">AVERAGE(OFFSET($EN$3,0,0,'Données projet'!$E$15+1,1))-AVERAGE(OFFSET($H$3,0,0,'Données projet'!$E$15+1,1))</f>
        <v>183.30081488041924</v>
      </c>
      <c r="EP72" s="59">
        <f t="shared" si="100"/>
        <v>199.33099759570928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0.57546116728074614</v>
      </c>
      <c r="EW72" s="21">
        <f>EXP(-LN(2)/25)*EW71+(1-EXP(-LN(2)/25))/(LN(2)/25)*Calculateur!ER72*Calculateur!ET72*VLOOKUP('Données projet'!$B$15,Paramètres!$A$1:$I$89,3,0)*0.475*44/12</f>
        <v>8.9806233299711327</v>
      </c>
      <c r="EX72" s="21">
        <f>EXP(-LN(2)/2)*EX71+(1-EXP(-LN(2)/2))/(LN(2)/2)*ER72*EU72*VLOOKUP('Données projet'!$B$15,Paramètres!$A$1:$I$89,3,0)*0.475*44/12</f>
        <v>1.1484616005266237</v>
      </c>
      <c r="EY72" s="22">
        <f t="shared" si="75"/>
        <v>10.704546097778502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13.737499999999997</v>
      </c>
      <c r="N73" s="13">
        <f>IF('Données projet'!$A$36&gt;35,N72+M73-V72,IF(A73&lt;'Données projet'!$A$36,$K$205^A73,IF(A73='Données projet'!$A$36,'Données projet'!$B$36,N72+M73-V72)))</f>
        <v>400.21634615384619</v>
      </c>
      <c r="O73" s="13">
        <f>N73*VLOOKUP('Données projet'!$B$9,Paramètres!$A$1:$I$89,3,0)*VLOOKUP('Données projet'!$B$9,Paramètres!$A$1:$I$89,5,0)</f>
        <v>187.30125000000001</v>
      </c>
      <c r="P73" s="13">
        <f t="shared" si="87"/>
        <v>46.942801679870392</v>
      </c>
      <c r="Q73" s="20">
        <f t="shared" si="54"/>
        <v>407.97505667577428</v>
      </c>
      <c r="R73" s="59">
        <f t="shared" si="55"/>
        <v>701.3083900091076</v>
      </c>
      <c r="S73" s="59">
        <f ca="1">AVERAGE(OFFSET($R$3,0,0,'Données projet'!$E$9+1,1))-AVERAGE(OFFSET($H$3,0,0,'Données projet'!$E$9+1,1))</f>
        <v>205.73717397588365</v>
      </c>
      <c r="T73" s="59">
        <f t="shared" si="88"/>
        <v>190.64998698136026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42.879425663144268</v>
      </c>
      <c r="AA73" s="21">
        <f>EXP(-LN(2)/25)*AA72+(1-EXP(-LN(2)/25))/(LN(2)/25)*Calculateur!V73*Calculateur!X73*VLOOKUP('Données projet'!$B$9,Paramètres!$A$1:$I$89,3,0)*0.475*44/12</f>
        <v>24.943191489466631</v>
      </c>
      <c r="AB73" s="21">
        <f>EXP(-LN(2)/2)*AB72+(1-EXP(-LN(2)/2))/(LN(2)/2)*V73*Y73*VLOOKUP('Données projet'!$B$9,Paramètres!$A$1:$I$89,3,0)*0.475*44/12</f>
        <v>0.4865911755895011</v>
      </c>
      <c r="AC73" s="22">
        <f t="shared" si="57"/>
        <v>68.309208328200398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283.73369613548124</v>
      </c>
      <c r="AO73" s="59">
        <f t="shared" si="90"/>
        <v>249.77804091581208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-6.3550942286383367E-14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278.5296012747549</v>
      </c>
      <c r="BJ73" s="59">
        <f t="shared" si="92"/>
        <v>370.55343097937077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168.40556469440858</v>
      </c>
      <c r="BQ73" s="21">
        <f>EXP(-LN(2)/25)*BQ72+(1-EXP(-LN(2)/25))/(LN(2)/25)*Calculateur!BL73*Calculateur!BN73*VLOOKUP('Données projet'!$B$11,Paramètres!$A$1:$I$89,3,0)*0.475*44/12</f>
        <v>38.006894996779522</v>
      </c>
      <c r="BR73" s="21">
        <f>EXP(-LN(2)/2)*BR72+(1-EXP(-LN(2)/2))/(LN(2)/2)*BL73*BO73*VLOOKUP('Données projet'!$B$11,Paramètres!$A$1:$I$89,3,0)*0.475*44/12</f>
        <v>0.18871632590221163</v>
      </c>
      <c r="BS73" s="22">
        <f t="shared" si="63"/>
        <v>206.60117601709032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-5.6843418860808015E-14</v>
      </c>
      <c r="BZ73" s="13">
        <f>BY73*VLOOKUP('Données projet'!$B$12,Paramètres!$A$1:$I$89,3,0)*VLOOKUP('Données projet'!$B$12,Paramètres!$A$1:$I$89,5,0)</f>
        <v>-3.1036506698001178E-14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159.92263609041913</v>
      </c>
      <c r="CE73" s="59">
        <f t="shared" si="94"/>
        <v>271.78119133009307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37.229769930984041</v>
      </c>
      <c r="CL73" s="21">
        <f>EXP(-LN(2)/25)*CL72+(1-EXP(-LN(2)/25))/(LN(2)/25)*Calculateur!CG73*Calculateur!CI73*VLOOKUP('Données projet'!$B$12,Paramètres!$A$1:$I$89,3,0)*0.475*44/12</f>
        <v>65.258253884981386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102.48802381596542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8.1001602564102626</v>
      </c>
      <c r="CT73" s="12">
        <f>IF('Données projet'!$A$140&gt;35,CT72+CS73-DB72,IF(A73&lt;'Données projet'!$A$140,$CQ$205^A73,IF(A73='Données projet'!$A$140,'Données projet'!$B$140,CT72+CS73-DB72)))</f>
        <v>235.26522435897459</v>
      </c>
      <c r="CU73" s="17">
        <f>CT73*VLOOKUP('Données projet'!$B$13,Paramètres!$A$1:$I$89,3,0)*VLOOKUP('Données projet'!$B$13,Paramètres!$A$1:$I$89,5,0)</f>
        <v>212.8679750000002</v>
      </c>
      <c r="CV73" s="13">
        <f t="shared" si="95"/>
        <v>52.561814761455608</v>
      </c>
      <c r="CW73" s="20">
        <f t="shared" si="67"/>
        <v>462.29021716786883</v>
      </c>
      <c r="CX73" s="59">
        <f t="shared" si="68"/>
        <v>755.62355050120209</v>
      </c>
      <c r="CY73" s="59">
        <f ca="1">AVERAGE(OFFSET($CX$3,0,0,'Données projet'!$E$13+1,1))-AVERAGE(OFFSET($H$3,0,0,'Données projet'!$E$13+1,1))</f>
        <v>280.25710840677186</v>
      </c>
      <c r="CZ73" s="59">
        <f t="shared" si="96"/>
        <v>209.65224013288037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10.935782699502322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10.935782699502322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237</v>
      </c>
      <c r="DM73" s="12">
        <f>VLOOKUP(A73,'Données projet'!$A$165:$I$185,9,0)</f>
        <v>5</v>
      </c>
      <c r="DN73" s="12">
        <f t="array" ref="DN73">INDEX(DM:DM,MIN(IF(ISNUMBER(DM73:DM269),ROW(DM73:DM269),"")))</f>
        <v>5</v>
      </c>
      <c r="DO73" s="12">
        <f>IF('Données projet'!$A$166&gt;35,DO72+DN73-DW72,IF(A73&lt;'Données projet'!$A$166,$DL$205^A73,IF(A73='Données projet'!$A$166,'Données projet'!$B$166,DO72+DN73-DW72)))</f>
        <v>237</v>
      </c>
      <c r="DP73" s="17">
        <f>DO73*VLOOKUP('Données projet'!$B$14,Paramètres!$A$1:$I$89,3,0)*VLOOKUP('Données projet'!$B$14,Paramètres!$A$1:$I$89,5,0)</f>
        <v>247.71240000000003</v>
      </c>
      <c r="DQ73" s="13">
        <f t="shared" si="97"/>
        <v>60.095823975624157</v>
      </c>
      <c r="DR73" s="20">
        <f t="shared" si="70"/>
        <v>536.099323424212</v>
      </c>
      <c r="DS73" s="59">
        <f t="shared" si="71"/>
        <v>829.43265675754537</v>
      </c>
      <c r="DT73" s="59">
        <f ca="1">AVERAGE(OFFSET($DS$3,0,0,'Données projet'!$E$14+1,1))-AVERAGE(OFFSET($H$3,0,0,'Données projet'!$E$14+1,1))</f>
        <v>330.14201227773452</v>
      </c>
      <c r="DU73" s="59">
        <f t="shared" si="98"/>
        <v>307.07297894926467</v>
      </c>
      <c r="DV73" s="15">
        <f>IF(ISNA(VLOOKUP(A73,'Données projet'!$A$165:$I$185,3,0)),0,VLOOKUP(A73,'Données projet'!$A$165:$I$185,3,0))</f>
        <v>11</v>
      </c>
      <c r="DW73" s="15" t="str">
        <f>IF(ISNA(VLOOKUP(A73,'Données projet'!$A$165:$I$185,4,0)),0,VLOOKUP(A73,'Données projet'!$A$165:$I$185,4,0))</f>
        <v>18</v>
      </c>
      <c r="DX73" s="16">
        <f>IF(ISNA(VLOOKUP(A73,'Données projet'!$A$165:$I$185,5,0)),0%,VLOOKUP(A73,'Données projet'!$A$165:$I$185,5,0)*VLOOKUP('Données projet'!$B$14,Paramètres!$A$1:$I$89,7,0))</f>
        <v>0.215</v>
      </c>
      <c r="DY73" s="16">
        <f>IF(ISNA(VLOOKUP(A73,'Données projet'!$A$165:$I$185,6,0)),0%,VLOOKUP(A73,'Données projet'!$A$165:$I$185,6,0)*VLOOKUP('Données projet'!$B$14,Paramètres!$A$1:$I$89,7,0))</f>
        <v>0.17200000000000001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23.00635229267791</v>
      </c>
      <c r="EB73" s="21">
        <f>EXP(-LN(2)/25)*EB72+(1-EXP(-LN(2)/25))/(LN(2)/25)*Calculateur!DW73*Calculateur!DY73*VLOOKUP('Données projet'!$B$14,Paramètres!$A$1:$I$89,3,0)*0.475*44/12</f>
        <v>23.905600074044322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46.911952366722232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237</v>
      </c>
      <c r="EH73" s="12">
        <f>VLOOKUP(A73,'Données projet'!$A$191:$I$211,9,0)</f>
        <v>4.8</v>
      </c>
      <c r="EI73" s="12">
        <f t="array" ref="EI73">INDEX(EH:EH,MIN(IF(ISNUMBER(EH73:EH269),ROW(EH73:EH269),"")))</f>
        <v>4.8</v>
      </c>
      <c r="EJ73" s="12">
        <f>IF('Données projet'!$A$192&gt;35,EJ72+EI73-ER72,IF(A73&lt;'Données projet'!$A$192,$EG$205^A73,IF(A73='Données projet'!$A$192,'Données projet'!$B$192,EJ72+EI73-ER72)))</f>
        <v>237.00000000000014</v>
      </c>
      <c r="EK73" s="17">
        <f>EJ73*VLOOKUP('Données projet'!$B$15,Paramètres!$A$1:$I$89,3,0)*VLOOKUP('Données projet'!$B$15,Paramètres!$A$1:$I$89,5,0)</f>
        <v>155.28240000000011</v>
      </c>
      <c r="EL73" s="13">
        <f t="shared" si="99"/>
        <v>39.776601235546444</v>
      </c>
      <c r="EM73" s="20">
        <f t="shared" si="73"/>
        <v>339.72776048524355</v>
      </c>
      <c r="EN73" s="59">
        <f t="shared" si="74"/>
        <v>633.06109381857686</v>
      </c>
      <c r="EO73" s="59">
        <f ca="1">AVERAGE(OFFSET($EN$3,0,0,'Données projet'!$E$15+1,1))-AVERAGE(OFFSET($H$3,0,0,'Données projet'!$E$15+1,1))</f>
        <v>183.30081488041924</v>
      </c>
      <c r="EP73" s="59">
        <f t="shared" si="100"/>
        <v>199.33099759570928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19</v>
      </c>
      <c r="ES73" s="16">
        <f>IF(ISNA(VLOOKUP(A73,'Données projet'!$A$191:$I$211,5,0)),0%,VLOOKUP(A73,'Données projet'!$A$191:$I$211,5,0)*VLOOKUP('Données projet'!$B$15,Paramètres!$A$1:$I$89,7,0))</f>
        <v>4.3000000000000003E-2</v>
      </c>
      <c r="ET73" s="16">
        <f>IF(ISNA(VLOOKUP(A73,'Données projet'!$A$191:$I$211,6,0)),0%,VLOOKUP(A73,'Données projet'!$A$191:$I$211,6,0)*VLOOKUP('Données projet'!$B$15,Paramètres!$A$1:$I$89,7,0))</f>
        <v>0.17200000000000001</v>
      </c>
      <c r="EU73" s="16">
        <f>IF(ISNA(VLOOKUP(A73,'Données projet'!$A$191:$I$211,7,0)),0%,VLOOKUP(A73,'Données projet'!$A$191:$I$211,7,0))</f>
        <v>0.3</v>
      </c>
      <c r="EV73" s="21">
        <f>EXP(-LN(2)/35)*EV72+(1-EXP(-LN(2)/35))/(LN(2)/35)*ER73*ES73*VLOOKUP('Données projet'!$B$15,Paramètres!$A$1:$I$89,3,0)*0.475*44/12</f>
        <v>1.1559332501984056</v>
      </c>
      <c r="EW73" s="21">
        <f>EXP(-LN(2)/25)*EW72+(1-EXP(-LN(2)/25))/(LN(2)/25)*Calculateur!ER73*Calculateur!ET73*VLOOKUP('Données projet'!$B$15,Paramètres!$A$1:$I$89,3,0)*0.475*44/12</f>
        <v>11.09275393071831</v>
      </c>
      <c r="EX73" s="21">
        <f>EXP(-LN(2)/2)*EX72+(1-EXP(-LN(2)/2))/(LN(2)/2)*ER73*EU73*VLOOKUP('Données projet'!$B$15,Paramètres!$A$1:$I$89,3,0)*0.475*44/12</f>
        <v>4.3358183420265979</v>
      </c>
      <c r="EY73" s="22">
        <f t="shared" si="75"/>
        <v>16.584505522943314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413.95384615384614</v>
      </c>
      <c r="L74" s="12">
        <f>VLOOKUP(A74,'Données projet'!$A$35:$I$55,9,0)</f>
        <v>13.737499999999997</v>
      </c>
      <c r="M74" s="12">
        <f t="array" ref="M74">INDEX(L:L,MIN(IF(ISNUMBER(L74:L270),ROW(L74:L270),"")))</f>
        <v>13.737499999999997</v>
      </c>
      <c r="N74" s="13">
        <f>IF('Données projet'!$A$36&gt;35,N73+M74-V73,IF(A74&lt;'Données projet'!$A$36,$K$205^A74,IF(A74='Données projet'!$A$36,'Données projet'!$B$36,N73+M74-V73)))</f>
        <v>413.9538461538462</v>
      </c>
      <c r="O74" s="13">
        <f>N74*VLOOKUP('Données projet'!$B$9,Paramètres!$A$1:$I$89,3,0)*VLOOKUP('Données projet'!$B$9,Paramètres!$A$1:$I$89,5,0)</f>
        <v>193.73040000000003</v>
      </c>
      <c r="P74" s="13">
        <f t="shared" si="87"/>
        <v>48.363755728631737</v>
      </c>
      <c r="Q74" s="20">
        <f t="shared" si="54"/>
        <v>421.647321227367</v>
      </c>
      <c r="R74" s="59">
        <f t="shared" si="55"/>
        <v>714.98065456070026</v>
      </c>
      <c r="S74" s="59">
        <f ca="1">AVERAGE(OFFSET($R$3,0,0,'Données projet'!$E$9+1,1))-AVERAGE(OFFSET($H$3,0,0,'Données projet'!$E$9+1,1))</f>
        <v>205.73717397588365</v>
      </c>
      <c r="T74" s="59">
        <f t="shared" si="88"/>
        <v>190.64998698136026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80.399999999999991</v>
      </c>
      <c r="W74" s="16">
        <f>IF(ISNA(VLOOKUP(A74,'Données projet'!$A$35:$I$55,5,0)),0%,VLOOKUP(A74,'Données projet'!$A$35:$I$55,5,0)*VLOOKUP('Données projet'!$B$9,Paramètres!$A$1:$I$89,7,0))</f>
        <v>0.38500000000000001</v>
      </c>
      <c r="X74" s="16">
        <f>IF(ISNA(VLOOKUP(A74,'Données projet'!$A$35:$I$55,6,0)),0%,VLOOKUP(A74,'Données projet'!$A$35:$I$55,6,0)*VLOOKUP('Données projet'!$B$9,Paramètres!$A$1:$I$89,7,0))</f>
        <v>9.240000000000001E-2</v>
      </c>
      <c r="Y74" s="16">
        <f>IF(ISNA(VLOOKUP(A74,'Données projet'!$A$35:$I$55,7,0)),0%,VLOOKUP(A74,'Données projet'!$A$35:$I$55,7,0))</f>
        <v>0.13200000000000001</v>
      </c>
      <c r="Z74" s="21">
        <f>EXP(-LN(2)/35)*Z73+(1-EXP(-LN(2)/35))/(LN(2)/35)*V74*W74*VLOOKUP('Données projet'!$B$9,Paramètres!$A$1:$I$89,3,0)*0.475*44/12</f>
        <v>61.255825119677326</v>
      </c>
      <c r="AA74" s="21">
        <f>EXP(-LN(2)/25)*AA73+(1-EXP(-LN(2)/25))/(LN(2)/25)*Calculateur!V74*Calculateur!X74*VLOOKUP('Données projet'!$B$9,Paramètres!$A$1:$I$89,3,0)*0.475*44/12</f>
        <v>28.85509618606541</v>
      </c>
      <c r="AB74" s="21">
        <f>EXP(-LN(2)/2)*AB73+(1-EXP(-LN(2)/2))/(LN(2)/2)*V74*Y74*VLOOKUP('Données projet'!$B$9,Paramètres!$A$1:$I$89,3,0)*0.475*44/12</f>
        <v>5.9676324258492643</v>
      </c>
      <c r="AC74" s="22">
        <f t="shared" si="57"/>
        <v>96.078553731591995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283.73369613548124</v>
      </c>
      <c r="AO74" s="59">
        <f t="shared" si="90"/>
        <v>249.77804091581208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-6.3550942286383367E-14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278.5296012747549</v>
      </c>
      <c r="BJ74" s="59">
        <f t="shared" si="92"/>
        <v>370.55343097937077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165.10323428800319</v>
      </c>
      <c r="BQ74" s="21">
        <f>EXP(-LN(2)/25)*BQ73+(1-EXP(-LN(2)/25))/(LN(2)/25)*Calculateur!BL74*Calculateur!BN74*VLOOKUP('Données projet'!$B$11,Paramètres!$A$1:$I$89,3,0)*0.475*44/12</f>
        <v>36.967594454396846</v>
      </c>
      <c r="BR74" s="21">
        <f>EXP(-LN(2)/2)*BR73+(1-EXP(-LN(2)/2))/(LN(2)/2)*BL74*BO74*VLOOKUP('Données projet'!$B$11,Paramètres!$A$1:$I$89,3,0)*0.475*44/12</f>
        <v>0.13344259376606435</v>
      </c>
      <c r="BS74" s="22">
        <f t="shared" si="63"/>
        <v>202.2042713361661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-5.6843418860808015E-14</v>
      </c>
      <c r="BZ74" s="13">
        <f>BY74*VLOOKUP('Données projet'!$B$12,Paramètres!$A$1:$I$89,3,0)*VLOOKUP('Données projet'!$B$12,Paramètres!$A$1:$I$89,5,0)</f>
        <v>-3.1036506698001178E-14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159.92263609041913</v>
      </c>
      <c r="CE74" s="59">
        <f t="shared" si="94"/>
        <v>271.78119133009307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36.499716850554883</v>
      </c>
      <c r="CL74" s="21">
        <f>EXP(-LN(2)/25)*CL73+(1-EXP(-LN(2)/25))/(LN(2)/25)*Calculateur!CG74*Calculateur!CI74*VLOOKUP('Données projet'!$B$12,Paramètres!$A$1:$I$89,3,0)*0.475*44/12</f>
        <v>63.473763500714149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99.973480351269032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243.36538461538464</v>
      </c>
      <c r="CR74" s="12">
        <f>VLOOKUP(A74,'Données projet'!$A$139:$I$159,9,0)</f>
        <v>8.1001602564102626</v>
      </c>
      <c r="CS74" s="12">
        <f t="array" ref="CS74">INDEX(CR:CR,MIN(IF(ISNUMBER(CR74:CR270),ROW(CR74:CR270),"")))</f>
        <v>8.1001602564102626</v>
      </c>
      <c r="CT74" s="12">
        <f>IF('Données projet'!$A$140&gt;35,CT73+CS74-DB73,IF(A74&lt;'Données projet'!$A$140,$CQ$205^A74,IF(A74='Données projet'!$A$140,'Données projet'!$B$140,CT73+CS74-DB73)))</f>
        <v>243.36538461538487</v>
      </c>
      <c r="CU74" s="17">
        <f>CT74*VLOOKUP('Données projet'!$B$13,Paramètres!$A$1:$I$89,3,0)*VLOOKUP('Données projet'!$B$13,Paramètres!$A$1:$I$89,5,0)</f>
        <v>220.19700000000023</v>
      </c>
      <c r="CV74" s="13">
        <f t="shared" si="95"/>
        <v>54.157700466574305</v>
      </c>
      <c r="CW74" s="20">
        <f t="shared" si="67"/>
        <v>477.83443664595069</v>
      </c>
      <c r="CX74" s="59">
        <f t="shared" si="68"/>
        <v>771.167769979284</v>
      </c>
      <c r="CY74" s="59">
        <f ca="1">AVERAGE(OFFSET($CX$3,0,0,'Données projet'!$E$13+1,1))-AVERAGE(OFFSET($H$3,0,0,'Données projet'!$E$13+1,1))</f>
        <v>280.25710840677186</v>
      </c>
      <c r="CZ74" s="59">
        <f t="shared" si="96"/>
        <v>209.65224013288037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39.935897435897431</v>
      </c>
      <c r="DC74" s="16">
        <f>IF(ISNA(VLOOKUP(A74,'Données projet'!$A$139:$I$159,5,0)),0%,VLOOKUP(A74,'Données projet'!$A$139:$I$159,5,0)*VLOOKUP('Données projet'!$B$13,Paramètres!$A$1:$I$89,7,0))</f>
        <v>0.30099999999999999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22.744803745841033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22.744803745841033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4.4000000000000004</v>
      </c>
      <c r="DO74" s="12">
        <f>IF('Données projet'!$A$166&gt;35,DO73+DN74-DW73,IF(A74&lt;'Données projet'!$A$166,$DL$205^A74,IF(A74='Données projet'!$A$166,'Données projet'!$B$166,DO73+DN74-DW73)))</f>
        <v>223.4</v>
      </c>
      <c r="DP74" s="17">
        <f>DO74*VLOOKUP('Données projet'!$B$14,Paramètres!$A$1:$I$89,3,0)*VLOOKUP('Données projet'!$B$14,Paramètres!$A$1:$I$89,5,0)</f>
        <v>233.49768000000006</v>
      </c>
      <c r="DQ74" s="13">
        <f t="shared" si="97"/>
        <v>57.038296123496387</v>
      </c>
      <c r="DR74" s="20">
        <f t="shared" si="70"/>
        <v>506.01682508175622</v>
      </c>
      <c r="DS74" s="59">
        <f t="shared" si="71"/>
        <v>799.35015841508948</v>
      </c>
      <c r="DT74" s="59">
        <f ca="1">AVERAGE(OFFSET($DS$3,0,0,'Données projet'!$E$14+1,1))-AVERAGE(OFFSET($H$3,0,0,'Données projet'!$E$14+1,1))</f>
        <v>330.14201227773452</v>
      </c>
      <c r="DU74" s="59">
        <f t="shared" si="98"/>
        <v>307.07297894926467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22.555211756707802</v>
      </c>
      <c r="EB74" s="21">
        <f>EXP(-LN(2)/25)*EB73+(1-EXP(-LN(2)/25))/(LN(2)/25)*Calculateur!DW74*Calculateur!DY74*VLOOKUP('Données projet'!$B$14,Paramètres!$A$1:$I$89,3,0)*0.475*44/12</f>
        <v>23.25190018287871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45.807111939586513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4.5999999999999996</v>
      </c>
      <c r="EJ74" s="12">
        <f>IF('Données projet'!$A$192&gt;35,EJ73+EI74-ER73,IF(A74&lt;'Données projet'!$A$192,$EG$205^A74,IF(A74='Données projet'!$A$192,'Données projet'!$B$192,EJ73+EI74-ER73)))</f>
        <v>222.60000000000014</v>
      </c>
      <c r="EK74" s="17">
        <f>EJ74*VLOOKUP('Données projet'!$B$15,Paramètres!$A$1:$I$89,3,0)*VLOOKUP('Données projet'!$B$15,Paramètres!$A$1:$I$89,5,0)</f>
        <v>145.84752000000009</v>
      </c>
      <c r="EL74" s="13">
        <f t="shared" si="99"/>
        <v>37.633383344887093</v>
      </c>
      <c r="EM74" s="20">
        <f t="shared" si="73"/>
        <v>319.56257332567844</v>
      </c>
      <c r="EN74" s="59">
        <f t="shared" si="74"/>
        <v>612.89590665901176</v>
      </c>
      <c r="EO74" s="59">
        <f ca="1">AVERAGE(OFFSET($EN$3,0,0,'Données projet'!$E$15+1,1))-AVERAGE(OFFSET($H$3,0,0,'Données projet'!$E$15+1,1))</f>
        <v>183.30081488041924</v>
      </c>
      <c r="EP74" s="59">
        <f t="shared" si="100"/>
        <v>199.33099759570928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1.1332661042116796</v>
      </c>
      <c r="EW74" s="21">
        <f>EXP(-LN(2)/25)*EW73+(1-EXP(-LN(2)/25))/(LN(2)/25)*Calculateur!ER74*Calculateur!ET74*VLOOKUP('Données projet'!$B$15,Paramètres!$A$1:$I$89,3,0)*0.475*44/12</f>
        <v>10.789421991140241</v>
      </c>
      <c r="EX74" s="21">
        <f>EXP(-LN(2)/2)*EX73+(1-EXP(-LN(2)/2))/(LN(2)/2)*ER74*EU74*VLOOKUP('Données projet'!$B$15,Paramètres!$A$1:$I$89,3,0)*0.475*44/12</f>
        <v>3.0658865516400211</v>
      </c>
      <c r="EY74" s="22">
        <f t="shared" si="75"/>
        <v>14.988574646991943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12.913461538461533</v>
      </c>
      <c r="N75" s="13">
        <f>IF('Données projet'!$A$36&gt;35,N74+M75-V74,IF(A75&lt;'Données projet'!$A$36,$K$205^A75,IF(A75='Données projet'!$A$36,'Données projet'!$B$36,N74+M75-V74)))</f>
        <v>346.46730769230777</v>
      </c>
      <c r="O75" s="13">
        <f>N75*VLOOKUP('Données projet'!$B$9,Paramètres!$A$1:$I$89,3,0)*VLOOKUP('Données projet'!$B$9,Paramètres!$A$1:$I$89,5,0)</f>
        <v>162.14670000000004</v>
      </c>
      <c r="P75" s="13">
        <f t="shared" si="87"/>
        <v>41.326333369414826</v>
      </c>
      <c r="Q75" s="20">
        <f t="shared" si="54"/>
        <v>354.38219978506419</v>
      </c>
      <c r="R75" s="59">
        <f t="shared" si="55"/>
        <v>647.7155331183975</v>
      </c>
      <c r="S75" s="59">
        <f ca="1">AVERAGE(OFFSET($R$3,0,0,'Données projet'!$E$9+1,1))-AVERAGE(OFFSET($H$3,0,0,'Données projet'!$E$9+1,1))</f>
        <v>205.73717397588365</v>
      </c>
      <c r="T75" s="59">
        <f t="shared" si="88"/>
        <v>190.64998698136026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60.05463575144455</v>
      </c>
      <c r="AA75" s="21">
        <f>EXP(-LN(2)/25)*AA74+(1-EXP(-LN(2)/25))/(LN(2)/25)*Calculateur!V75*Calculateur!X75*VLOOKUP('Données projet'!$B$9,Paramètres!$A$1:$I$89,3,0)*0.475*44/12</f>
        <v>28.066052063433894</v>
      </c>
      <c r="AB75" s="21">
        <f>EXP(-LN(2)/2)*AB74+(1-EXP(-LN(2)/2))/(LN(2)/2)*V75*Y75*VLOOKUP('Données projet'!$B$9,Paramètres!$A$1:$I$89,3,0)*0.475*44/12</f>
        <v>4.2197533559467422</v>
      </c>
      <c r="AC75" s="22">
        <f t="shared" si="57"/>
        <v>92.340441170825173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283.73369613548124</v>
      </c>
      <c r="AO75" s="59">
        <f t="shared" si="90"/>
        <v>249.77804091581208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-6.3550942286383367E-14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278.5296012747549</v>
      </c>
      <c r="BJ75" s="59">
        <f t="shared" si="92"/>
        <v>370.55343097937077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161.86566056664478</v>
      </c>
      <c r="BQ75" s="21">
        <f>EXP(-LN(2)/25)*BQ74+(1-EXP(-LN(2)/25))/(LN(2)/25)*Calculateur!BL75*Calculateur!BN75*VLOOKUP('Données projet'!$B$11,Paramètres!$A$1:$I$89,3,0)*0.475*44/12</f>
        <v>35.956713640000061</v>
      </c>
      <c r="BR75" s="21">
        <f>EXP(-LN(2)/2)*BR74+(1-EXP(-LN(2)/2))/(LN(2)/2)*BL75*BO75*VLOOKUP('Données projet'!$B$11,Paramètres!$A$1:$I$89,3,0)*0.475*44/12</f>
        <v>9.4358162951105815E-2</v>
      </c>
      <c r="BS75" s="22">
        <f t="shared" si="63"/>
        <v>197.91673236959593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-5.6843418860808015E-14</v>
      </c>
      <c r="BZ75" s="13">
        <f>BY75*VLOOKUP('Données projet'!$B$12,Paramètres!$A$1:$I$89,3,0)*VLOOKUP('Données projet'!$B$12,Paramètres!$A$1:$I$89,5,0)</f>
        <v>-3.1036506698001178E-14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159.92263609041913</v>
      </c>
      <c r="CE75" s="59">
        <f t="shared" si="94"/>
        <v>271.78119133009307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35.783979665744525</v>
      </c>
      <c r="CL75" s="21">
        <f>EXP(-LN(2)/25)*CL74+(1-EXP(-LN(2)/25))/(LN(2)/25)*Calculateur!CG75*Calculateur!CI75*VLOOKUP('Données projet'!$B$12,Paramètres!$A$1:$I$89,3,0)*0.475*44/12</f>
        <v>61.738070099846972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97.522049765591504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7.8425925925925934</v>
      </c>
      <c r="CT75" s="12">
        <f>IF('Données projet'!$A$140&gt;35,CT74+CS75-DB74,IF(A75&lt;'Données projet'!$A$140,$CQ$205^A75,IF(A75='Données projet'!$A$140,'Données projet'!$B$140,CT74+CS75-DB74)))</f>
        <v>211.27207977208002</v>
      </c>
      <c r="CU75" s="17">
        <f>CT75*VLOOKUP('Données projet'!$B$13,Paramètres!$A$1:$I$89,3,0)*VLOOKUP('Données projet'!$B$13,Paramètres!$A$1:$I$89,5,0)</f>
        <v>191.15897777777801</v>
      </c>
      <c r="CV75" s="13">
        <f t="shared" si="95"/>
        <v>47.796095622022989</v>
      </c>
      <c r="CW75" s="20">
        <f t="shared" si="67"/>
        <v>416.18008617132006</v>
      </c>
      <c r="CX75" s="59">
        <f t="shared" si="68"/>
        <v>709.51341950465337</v>
      </c>
      <c r="CY75" s="59">
        <f ca="1">AVERAGE(OFFSET($CX$3,0,0,'Données projet'!$E$13+1,1))-AVERAGE(OFFSET($H$3,0,0,'Données projet'!$E$13+1,1))</f>
        <v>280.25710840677186</v>
      </c>
      <c r="CZ75" s="59">
        <f t="shared" si="96"/>
        <v>209.65224013288037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22.298792017345534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22.298792017345534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4.4000000000000004</v>
      </c>
      <c r="DO75" s="12">
        <f>IF('Données projet'!$A$166&gt;35,DO74+DN75-DW74,IF(A75&lt;'Données projet'!$A$166,$DL$205^A75,IF(A75='Données projet'!$A$166,'Données projet'!$B$166,DO74+DN75-DW74)))</f>
        <v>227.8</v>
      </c>
      <c r="DP75" s="17">
        <f>DO75*VLOOKUP('Données projet'!$B$14,Paramètres!$A$1:$I$89,3,0)*VLOOKUP('Données projet'!$B$14,Paramètres!$A$1:$I$89,5,0)</f>
        <v>238.09656000000001</v>
      </c>
      <c r="DQ75" s="13">
        <f t="shared" si="97"/>
        <v>58.029806498941532</v>
      </c>
      <c r="DR75" s="20">
        <f t="shared" si="70"/>
        <v>515.75342165232314</v>
      </c>
      <c r="DS75" s="59">
        <f t="shared" si="71"/>
        <v>809.0867549856564</v>
      </c>
      <c r="DT75" s="59">
        <f ca="1">AVERAGE(OFFSET($DS$3,0,0,'Données projet'!$E$14+1,1))-AVERAGE(OFFSET($H$3,0,0,'Données projet'!$E$14+1,1))</f>
        <v>330.14201227773452</v>
      </c>
      <c r="DU75" s="59">
        <f t="shared" si="98"/>
        <v>307.07297894926467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22.112917811479512</v>
      </c>
      <c r="EB75" s="21">
        <f>EXP(-LN(2)/25)*EB74+(1-EXP(-LN(2)/25))/(LN(2)/25)*Calculateur!DW75*Calculateur!DY75*VLOOKUP('Données projet'!$B$14,Paramètres!$A$1:$I$89,3,0)*0.475*44/12</f>
        <v>22.616075749613604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44.72899356109312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4.5999999999999996</v>
      </c>
      <c r="EJ75" s="12">
        <f>IF('Données projet'!$A$192&gt;35,EJ74+EI75-ER74,IF(A75&lt;'Données projet'!$A$192,$EG$205^A75,IF(A75='Données projet'!$A$192,'Données projet'!$B$192,EJ74+EI75-ER74)))</f>
        <v>227.20000000000013</v>
      </c>
      <c r="EK75" s="17">
        <f>EJ75*VLOOKUP('Données projet'!$B$15,Paramètres!$A$1:$I$89,3,0)*VLOOKUP('Données projet'!$B$15,Paramètres!$A$1:$I$89,5,0)</f>
        <v>148.86144000000007</v>
      </c>
      <c r="EL75" s="13">
        <f t="shared" si="99"/>
        <v>38.319729148991954</v>
      </c>
      <c r="EM75" s="20">
        <f t="shared" si="73"/>
        <v>326.00720293449439</v>
      </c>
      <c r="EN75" s="59">
        <f t="shared" si="74"/>
        <v>619.3405362678277</v>
      </c>
      <c r="EO75" s="59">
        <f ca="1">AVERAGE(OFFSET($EN$3,0,0,'Données projet'!$E$15+1,1))-AVERAGE(OFFSET($H$3,0,0,'Données projet'!$E$15+1,1))</f>
        <v>183.30081488041924</v>
      </c>
      <c r="EP75" s="59">
        <f t="shared" si="100"/>
        <v>199.33099759570928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1.1110434471321595</v>
      </c>
      <c r="EW75" s="21">
        <f>EXP(-LN(2)/25)*EW74+(1-EXP(-LN(2)/25))/(LN(2)/25)*Calculateur!ER75*Calculateur!ET75*VLOOKUP('Données projet'!$B$15,Paramètres!$A$1:$I$89,3,0)*0.475*44/12</f>
        <v>10.494384679401469</v>
      </c>
      <c r="EX75" s="21">
        <f>EXP(-LN(2)/2)*EX74+(1-EXP(-LN(2)/2))/(LN(2)/2)*ER75*EU75*VLOOKUP('Données projet'!$B$15,Paramètres!$A$1:$I$89,3,0)*0.475*44/12</f>
        <v>2.1679091710132994</v>
      </c>
      <c r="EY75" s="22">
        <f t="shared" si="75"/>
        <v>13.773337297546927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12.913461538461533</v>
      </c>
      <c r="N76" s="13">
        <f>IF('Données projet'!$A$36&gt;35,N75+M76-V75,IF(A76&lt;'Données projet'!$A$36,$K$205^A76,IF(A76='Données projet'!$A$36,'Données projet'!$B$36,N75+M76-V75)))</f>
        <v>359.38076923076932</v>
      </c>
      <c r="O76" s="13">
        <f>N76*VLOOKUP('Données projet'!$B$9,Paramètres!$A$1:$I$89,3,0)*VLOOKUP('Données projet'!$B$9,Paramètres!$A$1:$I$89,5,0)</f>
        <v>168.19020000000003</v>
      </c>
      <c r="P76" s="13">
        <f t="shared" si="87"/>
        <v>42.684436447240749</v>
      </c>
      <c r="Q76" s="20">
        <f t="shared" si="54"/>
        <v>367.27332514561107</v>
      </c>
      <c r="R76" s="59">
        <f t="shared" si="55"/>
        <v>660.60665847894438</v>
      </c>
      <c r="S76" s="59">
        <f ca="1">AVERAGE(OFFSET($R$3,0,0,'Données projet'!$E$9+1,1))-AVERAGE(OFFSET($H$3,0,0,'Données projet'!$E$9+1,1))</f>
        <v>205.73717397588365</v>
      </c>
      <c r="T76" s="59">
        <f t="shared" si="88"/>
        <v>190.64998698136026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58.877000974069645</v>
      </c>
      <c r="AA76" s="21">
        <f>EXP(-LN(2)/25)*AA75+(1-EXP(-LN(2)/25))/(LN(2)/25)*Calculateur!V76*Calculateur!X76*VLOOKUP('Données projet'!$B$9,Paramètres!$A$1:$I$89,3,0)*0.475*44/12</f>
        <v>27.298584393829763</v>
      </c>
      <c r="AB76" s="21">
        <f>EXP(-LN(2)/2)*AB75+(1-EXP(-LN(2)/2))/(LN(2)/2)*V76*Y76*VLOOKUP('Données projet'!$B$9,Paramètres!$A$1:$I$89,3,0)*0.475*44/12</f>
        <v>2.9838162129246326</v>
      </c>
      <c r="AC76" s="22">
        <f t="shared" si="57"/>
        <v>89.159401580824039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283.73369613548124</v>
      </c>
      <c r="AO76" s="59">
        <f t="shared" si="90"/>
        <v>249.77804091581208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-6.3550942286383367E-14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278.5296012747549</v>
      </c>
      <c r="BJ76" s="59">
        <f t="shared" si="92"/>
        <v>370.55343097937077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158.69157369123721</v>
      </c>
      <c r="BQ76" s="21">
        <f>EXP(-LN(2)/25)*BQ75+(1-EXP(-LN(2)/25))/(LN(2)/25)*Calculateur!BL76*Calculateur!BN76*VLOOKUP('Données projet'!$B$11,Paramètres!$A$1:$I$89,3,0)*0.475*44/12</f>
        <v>34.973475414632865</v>
      </c>
      <c r="BR76" s="21">
        <f>EXP(-LN(2)/2)*BR75+(1-EXP(-LN(2)/2))/(LN(2)/2)*BL76*BO76*VLOOKUP('Données projet'!$B$11,Paramètres!$A$1:$I$89,3,0)*0.475*44/12</f>
        <v>6.6721296883032175E-2</v>
      </c>
      <c r="BS76" s="22">
        <f t="shared" si="63"/>
        <v>193.73177040275311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-5.6843418860808015E-14</v>
      </c>
      <c r="BZ76" s="13">
        <f>BY76*VLOOKUP('Données projet'!$B$12,Paramètres!$A$1:$I$89,3,0)*VLOOKUP('Données projet'!$B$12,Paramètres!$A$1:$I$89,5,0)</f>
        <v>-3.1036506698001178E-14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159.92263609041913</v>
      </c>
      <c r="CE76" s="59">
        <f t="shared" si="94"/>
        <v>271.78119133009307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35.082277650571726</v>
      </c>
      <c r="CL76" s="21">
        <f>EXP(-LN(2)/25)*CL75+(1-EXP(-LN(2)/25))/(LN(2)/25)*Calculateur!CG76*Calculateur!CI76*VLOOKUP('Données projet'!$B$12,Paramètres!$A$1:$I$89,3,0)*0.475*44/12</f>
        <v>60.049839326302653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95.132116976874386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7.8425925925925934</v>
      </c>
      <c r="CT76" s="12">
        <f>IF('Données projet'!$A$140&gt;35,CT75+CS76-DB75,IF(A76&lt;'Données projet'!$A$140,$CQ$205^A76,IF(A76='Données projet'!$A$140,'Données projet'!$B$140,CT75+CS76-DB75)))</f>
        <v>219.1146723646726</v>
      </c>
      <c r="CU76" s="17">
        <f>CT76*VLOOKUP('Données projet'!$B$13,Paramètres!$A$1:$I$89,3,0)*VLOOKUP('Données projet'!$B$13,Paramètres!$A$1:$I$89,5,0)</f>
        <v>198.25495555555577</v>
      </c>
      <c r="CV76" s="13">
        <f t="shared" si="95"/>
        <v>49.360464390082804</v>
      </c>
      <c r="CW76" s="20">
        <f t="shared" si="67"/>
        <v>431.26352307198721</v>
      </c>
      <c r="CX76" s="59">
        <f t="shared" si="68"/>
        <v>724.59685640532052</v>
      </c>
      <c r="CY76" s="59">
        <f ca="1">AVERAGE(OFFSET($CX$3,0,0,'Données projet'!$E$13+1,1))-AVERAGE(OFFSET($H$3,0,0,'Données projet'!$E$13+1,1))</f>
        <v>280.25710840677186</v>
      </c>
      <c r="CZ76" s="59">
        <f t="shared" si="96"/>
        <v>209.65224013288037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21.861526306805541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21.861526306805541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4.4000000000000004</v>
      </c>
      <c r="DO76" s="12">
        <f>IF('Données projet'!$A$166&gt;35,DO75+DN76-DW75,IF(A76&lt;'Données projet'!$A$166,$DL$205^A76,IF(A76='Données projet'!$A$166,'Données projet'!$B$166,DO75+DN76-DW75)))</f>
        <v>232.20000000000002</v>
      </c>
      <c r="DP76" s="17">
        <f>DO76*VLOOKUP('Données projet'!$B$14,Paramètres!$A$1:$I$89,3,0)*VLOOKUP('Données projet'!$B$14,Paramètres!$A$1:$I$89,5,0)</f>
        <v>242.69544000000002</v>
      </c>
      <c r="DQ76" s="13">
        <f t="shared" si="97"/>
        <v>59.019090031230249</v>
      </c>
      <c r="DR76" s="20">
        <f t="shared" si="70"/>
        <v>525.48613980439268</v>
      </c>
      <c r="DS76" s="59">
        <f t="shared" si="71"/>
        <v>818.81947313772594</v>
      </c>
      <c r="DT76" s="59">
        <f ca="1">AVERAGE(OFFSET($DS$3,0,0,'Données projet'!$E$14+1,1))-AVERAGE(OFFSET($H$3,0,0,'Données projet'!$E$14+1,1))</f>
        <v>330.14201227773452</v>
      </c>
      <c r="DU76" s="59">
        <f t="shared" si="98"/>
        <v>307.07297894926467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21.679296980744478</v>
      </c>
      <c r="EB76" s="21">
        <f>EXP(-LN(2)/25)*EB75+(1-EXP(-LN(2)/25))/(LN(2)/25)*Calculateur!DW76*Calculateur!DY76*VLOOKUP('Données projet'!$B$14,Paramètres!$A$1:$I$89,3,0)*0.475*44/12</f>
        <v>21.997637968912684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43.676934949657166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4.5999999999999996</v>
      </c>
      <c r="EJ76" s="12">
        <f>IF('Données projet'!$A$192&gt;35,EJ75+EI76-ER75,IF(A76&lt;'Données projet'!$A$192,$EG$205^A76,IF(A76='Données projet'!$A$192,'Données projet'!$B$192,EJ75+EI76-ER75)))</f>
        <v>231.80000000000013</v>
      </c>
      <c r="EK76" s="17">
        <f>EJ76*VLOOKUP('Données projet'!$B$15,Paramètres!$A$1:$I$89,3,0)*VLOOKUP('Données projet'!$B$15,Paramètres!$A$1:$I$89,5,0)</f>
        <v>151.87536000000009</v>
      </c>
      <c r="EL76" s="13">
        <f t="shared" si="99"/>
        <v>39.004459236504758</v>
      </c>
      <c r="EM76" s="20">
        <f t="shared" si="73"/>
        <v>332.44901850357923</v>
      </c>
      <c r="EN76" s="59">
        <f t="shared" si="74"/>
        <v>625.78235183691254</v>
      </c>
      <c r="EO76" s="59">
        <f ca="1">AVERAGE(OFFSET($EN$3,0,0,'Données projet'!$E$15+1,1))-AVERAGE(OFFSET($H$3,0,0,'Données projet'!$E$15+1,1))</f>
        <v>183.30081488041924</v>
      </c>
      <c r="EP76" s="59">
        <f t="shared" si="100"/>
        <v>199.33099759570928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1.0892565628034863</v>
      </c>
      <c r="EW76" s="21">
        <f>EXP(-LN(2)/25)*EW75+(1-EXP(-LN(2)/25))/(LN(2)/25)*Calculateur!ER76*Calculateur!ET76*VLOOKUP('Données projet'!$B$15,Paramètres!$A$1:$I$89,3,0)*0.475*44/12</f>
        <v>10.20741517846753</v>
      </c>
      <c r="EX76" s="21">
        <f>EXP(-LN(2)/2)*EX75+(1-EXP(-LN(2)/2))/(LN(2)/2)*ER76*EU76*VLOOKUP('Données projet'!$B$15,Paramètres!$A$1:$I$89,3,0)*0.475*44/12</f>
        <v>1.5329432758200108</v>
      </c>
      <c r="EY76" s="22">
        <f t="shared" si="75"/>
        <v>12.829615017091026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12.913461538461533</v>
      </c>
      <c r="N77" s="13">
        <f>IF('Données projet'!$A$36&gt;35,N76+M77-V76,IF(A77&lt;'Données projet'!$A$36,$K$205^A77,IF(A77='Données projet'!$A$36,'Données projet'!$B$36,N76+M77-V76)))</f>
        <v>372.29423076923086</v>
      </c>
      <c r="O77" s="13">
        <f>N77*VLOOKUP('Données projet'!$B$9,Paramètres!$A$1:$I$89,3,0)*VLOOKUP('Données projet'!$B$9,Paramètres!$A$1:$I$89,5,0)</f>
        <v>174.23370000000006</v>
      </c>
      <c r="P77" s="13">
        <f t="shared" si="87"/>
        <v>44.036869769028705</v>
      </c>
      <c r="Q77" s="20">
        <f t="shared" si="54"/>
        <v>380.15457568105836</v>
      </c>
      <c r="R77" s="59">
        <f t="shared" si="55"/>
        <v>673.48790901439168</v>
      </c>
      <c r="S77" s="59">
        <f ca="1">AVERAGE(OFFSET($R$3,0,0,'Données projet'!$E$9+1,1))-AVERAGE(OFFSET($H$3,0,0,'Données projet'!$E$9+1,1))</f>
        <v>205.73717397588365</v>
      </c>
      <c r="T77" s="59">
        <f t="shared" si="88"/>
        <v>190.64998698136026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57.722458896392773</v>
      </c>
      <c r="AA77" s="21">
        <f>EXP(-LN(2)/25)*AA76+(1-EXP(-LN(2)/25))/(LN(2)/25)*Calculateur!V77*Calculateur!X77*VLOOKUP('Données projet'!$B$9,Paramètres!$A$1:$I$89,3,0)*0.475*44/12</f>
        <v>26.552103168010326</v>
      </c>
      <c r="AB77" s="21">
        <f>EXP(-LN(2)/2)*AB76+(1-EXP(-LN(2)/2))/(LN(2)/2)*V77*Y77*VLOOKUP('Données projet'!$B$9,Paramètres!$A$1:$I$89,3,0)*0.475*44/12</f>
        <v>2.1098766779733711</v>
      </c>
      <c r="AC77" s="22">
        <f t="shared" si="57"/>
        <v>86.384438742376474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283.73369613548124</v>
      </c>
      <c r="AO77" s="59">
        <f t="shared" si="90"/>
        <v>249.77804091581208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-6.3550942286383367E-14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278.5296012747549</v>
      </c>
      <c r="BJ77" s="59">
        <f t="shared" si="92"/>
        <v>370.55343097937077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155.57972872345456</v>
      </c>
      <c r="BQ77" s="21">
        <f>EXP(-LN(2)/25)*BQ76+(1-EXP(-LN(2)/25))/(LN(2)/25)*Calculateur!BL77*Calculateur!BN77*VLOOKUP('Données projet'!$B$11,Paramètres!$A$1:$I$89,3,0)*0.475*44/12</f>
        <v>34.017123890244591</v>
      </c>
      <c r="BR77" s="21">
        <f>EXP(-LN(2)/2)*BR76+(1-EXP(-LN(2)/2))/(LN(2)/2)*BL77*BO77*VLOOKUP('Données projet'!$B$11,Paramètres!$A$1:$I$89,3,0)*0.475*44/12</f>
        <v>4.7179081475552907E-2</v>
      </c>
      <c r="BS77" s="22">
        <f t="shared" si="63"/>
        <v>189.6440316951747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-5.6843418860808015E-14</v>
      </c>
      <c r="BZ77" s="13">
        <f>BY77*VLOOKUP('Données projet'!$B$12,Paramètres!$A$1:$I$89,3,0)*VLOOKUP('Données projet'!$B$12,Paramètres!$A$1:$I$89,5,0)</f>
        <v>-3.1036506698001178E-14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159.92263609041913</v>
      </c>
      <c r="CE77" s="59">
        <f t="shared" si="94"/>
        <v>271.78119133009307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34.394335583920494</v>
      </c>
      <c r="CL77" s="21">
        <f>EXP(-LN(2)/25)*CL76+(1-EXP(-LN(2)/25))/(LN(2)/25)*Calculateur!CG77*Calculateur!CI77*VLOOKUP('Données projet'!$B$12,Paramètres!$A$1:$I$89,3,0)*0.475*44/12</f>
        <v>58.407773312041101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92.802108895961595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7.8425925925925934</v>
      </c>
      <c r="CT77" s="12">
        <f>IF('Données projet'!$A$140&gt;35,CT76+CS77-DB76,IF(A77&lt;'Données projet'!$A$140,$CQ$205^A77,IF(A77='Données projet'!$A$140,'Données projet'!$B$140,CT76+CS77-DB76)))</f>
        <v>226.95726495726518</v>
      </c>
      <c r="CU77" s="17">
        <f>CT77*VLOOKUP('Données projet'!$B$13,Paramètres!$A$1:$I$89,3,0)*VLOOKUP('Données projet'!$B$13,Paramètres!$A$1:$I$89,5,0)</f>
        <v>205.35093333333353</v>
      </c>
      <c r="CV77" s="13">
        <f t="shared" si="95"/>
        <v>50.91832775961656</v>
      </c>
      <c r="CW77" s="20">
        <f t="shared" si="67"/>
        <v>446.33562973688805</v>
      </c>
      <c r="CX77" s="59">
        <f t="shared" si="68"/>
        <v>739.66896307022137</v>
      </c>
      <c r="CY77" s="59">
        <f ca="1">AVERAGE(OFFSET($CX$3,0,0,'Données projet'!$E$13+1,1))-AVERAGE(OFFSET($H$3,0,0,'Données projet'!$E$13+1,1))</f>
        <v>280.25710840677186</v>
      </c>
      <c r="CZ77" s="59">
        <f t="shared" si="96"/>
        <v>209.65224013288037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21.432835110143486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21.432835110143486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4.4000000000000004</v>
      </c>
      <c r="DO77" s="12">
        <f>IF('Données projet'!$A$166&gt;35,DO76+DN77-DW76,IF(A77&lt;'Données projet'!$A$166,$DL$205^A77,IF(A77='Données projet'!$A$166,'Données projet'!$B$166,DO76+DN77-DW76)))</f>
        <v>236.60000000000002</v>
      </c>
      <c r="DP77" s="17">
        <f>DO77*VLOOKUP('Données projet'!$B$14,Paramètres!$A$1:$I$89,3,0)*VLOOKUP('Données projet'!$B$14,Paramètres!$A$1:$I$89,5,0)</f>
        <v>247.29432000000003</v>
      </c>
      <c r="DQ77" s="13">
        <f t="shared" si="97"/>
        <v>60.006193782698659</v>
      </c>
      <c r="DR77" s="20">
        <f t="shared" si="70"/>
        <v>535.21506150486687</v>
      </c>
      <c r="DS77" s="59">
        <f t="shared" si="71"/>
        <v>828.54839483820024</v>
      </c>
      <c r="DT77" s="59">
        <f ca="1">AVERAGE(OFFSET($DS$3,0,0,'Données projet'!$E$14+1,1))-AVERAGE(OFFSET($H$3,0,0,'Données projet'!$E$14+1,1))</f>
        <v>330.14201227773452</v>
      </c>
      <c r="DU77" s="59">
        <f t="shared" si="98"/>
        <v>307.07297894926467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21.254179190017567</v>
      </c>
      <c r="EB77" s="21">
        <f>EXP(-LN(2)/25)*EB76+(1-EXP(-LN(2)/25))/(LN(2)/25)*Calculateur!DW77*Calculateur!DY77*VLOOKUP('Données projet'!$B$14,Paramètres!$A$1:$I$89,3,0)*0.475*44/12</f>
        <v>21.396111401847264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42.650290591864831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4.5999999999999996</v>
      </c>
      <c r="EJ77" s="12">
        <f>IF('Données projet'!$A$192&gt;35,EJ76+EI77-ER76,IF(A77&lt;'Données projet'!$A$192,$EG$205^A77,IF(A77='Données projet'!$A$192,'Données projet'!$B$192,EJ76+EI77-ER76)))</f>
        <v>236.40000000000012</v>
      </c>
      <c r="EK77" s="17">
        <f>EJ77*VLOOKUP('Données projet'!$B$15,Paramètres!$A$1:$I$89,3,0)*VLOOKUP('Données projet'!$B$15,Paramètres!$A$1:$I$89,5,0)</f>
        <v>154.8892800000001</v>
      </c>
      <c r="EL77" s="13">
        <f t="shared" si="99"/>
        <v>39.687609366432291</v>
      </c>
      <c r="EM77" s="20">
        <f t="shared" si="73"/>
        <v>338.88808231320309</v>
      </c>
      <c r="EN77" s="59">
        <f t="shared" si="74"/>
        <v>632.22141564653634</v>
      </c>
      <c r="EO77" s="59">
        <f ca="1">AVERAGE(OFFSET($EN$3,0,0,'Données projet'!$E$15+1,1))-AVERAGE(OFFSET($H$3,0,0,'Données projet'!$E$15+1,1))</f>
        <v>183.30081488041924</v>
      </c>
      <c r="EP77" s="59">
        <f t="shared" si="100"/>
        <v>199.33099759570928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1.067896905987811</v>
      </c>
      <c r="EW77" s="21">
        <f>EXP(-LN(2)/25)*EW76+(1-EXP(-LN(2)/25))/(LN(2)/25)*Calculateur!ER77*Calculateur!ET77*VLOOKUP('Données projet'!$B$15,Paramètres!$A$1:$I$89,3,0)*0.475*44/12</f>
        <v>9.9282928736277007</v>
      </c>
      <c r="EX77" s="21">
        <f>EXP(-LN(2)/2)*EX76+(1-EXP(-LN(2)/2))/(LN(2)/2)*ER77*EU77*VLOOKUP('Données projet'!$B$15,Paramètres!$A$1:$I$89,3,0)*0.475*44/12</f>
        <v>1.0839545855066497</v>
      </c>
      <c r="EY77" s="22">
        <f t="shared" si="75"/>
        <v>12.080144365122161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12.913461538461533</v>
      </c>
      <c r="N78" s="13">
        <f>IF('Données projet'!$A$36&gt;35,N77+M78-V77,IF(A78&lt;'Données projet'!$A$36,$K$205^A78,IF(A78='Données projet'!$A$36,'Données projet'!$B$36,N77+M78-V77)))</f>
        <v>385.20769230769241</v>
      </c>
      <c r="O78" s="13">
        <f>N78*VLOOKUP('Données projet'!$B$9,Paramètres!$A$1:$I$89,3,0)*VLOOKUP('Données projet'!$B$9,Paramètres!$A$1:$I$89,5,0)</f>
        <v>180.27720000000005</v>
      </c>
      <c r="P78" s="13">
        <f t="shared" si="87"/>
        <v>45.383852535093837</v>
      </c>
      <c r="Q78" s="20">
        <f t="shared" si="54"/>
        <v>393.02633316528846</v>
      </c>
      <c r="R78" s="59">
        <f t="shared" si="55"/>
        <v>686.35966649862178</v>
      </c>
      <c r="S78" s="59">
        <f ca="1">AVERAGE(OFFSET($R$3,0,0,'Données projet'!$E$9+1,1))-AVERAGE(OFFSET($H$3,0,0,'Données projet'!$E$9+1,1))</f>
        <v>205.73717397588365</v>
      </c>
      <c r="T78" s="59">
        <f t="shared" si="88"/>
        <v>190.64998698136026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56.590556684658011</v>
      </c>
      <c r="AA78" s="21">
        <f>EXP(-LN(2)/25)*AA77+(1-EXP(-LN(2)/25))/(LN(2)/25)*Calculateur!V78*Calculateur!X78*VLOOKUP('Données projet'!$B$9,Paramètres!$A$1:$I$89,3,0)*0.475*44/12</f>
        <v>25.826034510566664</v>
      </c>
      <c r="AB78" s="21">
        <f>EXP(-LN(2)/2)*AB77+(1-EXP(-LN(2)/2))/(LN(2)/2)*V78*Y78*VLOOKUP('Données projet'!$B$9,Paramètres!$A$1:$I$89,3,0)*0.475*44/12</f>
        <v>1.4919081064623163</v>
      </c>
      <c r="AC78" s="22">
        <f t="shared" si="57"/>
        <v>83.908499301686987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283.73369613548124</v>
      </c>
      <c r="AO78" s="59">
        <f t="shared" si="90"/>
        <v>249.77804091581208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-6.3550942286383367E-14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278.5296012747549</v>
      </c>
      <c r="BJ78" s="59">
        <f t="shared" si="92"/>
        <v>370.55343097937077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152.52890513745211</v>
      </c>
      <c r="BQ78" s="21">
        <f>EXP(-LN(2)/25)*BQ77+(1-EXP(-LN(2)/25))/(LN(2)/25)*Calculateur!BL78*Calculateur!BN78*VLOOKUP('Données projet'!$B$11,Paramètres!$A$1:$I$89,3,0)*0.475*44/12</f>
        <v>33.086923848583055</v>
      </c>
      <c r="BR78" s="21">
        <f>EXP(-LN(2)/2)*BR77+(1-EXP(-LN(2)/2))/(LN(2)/2)*BL78*BO78*VLOOKUP('Données projet'!$B$11,Paramètres!$A$1:$I$89,3,0)*0.475*44/12</f>
        <v>3.3360648441516087E-2</v>
      </c>
      <c r="BS78" s="22">
        <f t="shared" si="63"/>
        <v>185.6491896344767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-5.6843418860808015E-14</v>
      </c>
      <c r="BZ78" s="13">
        <f>BY78*VLOOKUP('Données projet'!$B$12,Paramètres!$A$1:$I$89,3,0)*VLOOKUP('Données projet'!$B$12,Paramètres!$A$1:$I$89,5,0)</f>
        <v>-3.1036506698001178E-14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159.92263609041913</v>
      </c>
      <c r="CE78" s="59">
        <f t="shared" si="94"/>
        <v>271.78119133009307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33.719883641593064</v>
      </c>
      <c r="CL78" s="21">
        <f>EXP(-LN(2)/25)*CL77+(1-EXP(-LN(2)/25))/(LN(2)/25)*Calculateur!CG78*Calculateur!CI78*VLOOKUP('Données projet'!$B$12,Paramètres!$A$1:$I$89,3,0)*0.475*44/12</f>
        <v>56.810609679292028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90.530493320885085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7.8425925925925934</v>
      </c>
      <c r="CT78" s="12">
        <f>IF('Données projet'!$A$140&gt;35,CT77+CS78-DB77,IF(A78&lt;'Données projet'!$A$140,$CQ$205^A78,IF(A78='Données projet'!$A$140,'Données projet'!$B$140,CT77+CS78-DB77)))</f>
        <v>234.79985754985776</v>
      </c>
      <c r="CU78" s="17">
        <f>CT78*VLOOKUP('Données projet'!$B$13,Paramètres!$A$1:$I$89,3,0)*VLOOKUP('Données projet'!$B$13,Paramètres!$A$1:$I$89,5,0)</f>
        <v>212.44691111111132</v>
      </c>
      <c r="CV78" s="13">
        <f t="shared" si="95"/>
        <v>52.469936290697497</v>
      </c>
      <c r="CW78" s="20">
        <f t="shared" si="67"/>
        <v>461.39684255815035</v>
      </c>
      <c r="CX78" s="59">
        <f t="shared" si="68"/>
        <v>754.73017589148367</v>
      </c>
      <c r="CY78" s="59">
        <f ca="1">AVERAGE(OFFSET($CX$3,0,0,'Données projet'!$E$13+1,1))-AVERAGE(OFFSET($H$3,0,0,'Données projet'!$E$13+1,1))</f>
        <v>280.25710840677186</v>
      </c>
      <c r="CZ78" s="59">
        <f t="shared" si="96"/>
        <v>209.65224013288037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21.012550286372164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21.012550286372164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241</v>
      </c>
      <c r="DM78" s="12">
        <f>VLOOKUP(A78,'Données projet'!$A$165:$I$185,9,0)</f>
        <v>4.4000000000000004</v>
      </c>
      <c r="DN78" s="12">
        <f t="array" ref="DN78">INDEX(DM:DM,MIN(IF(ISNUMBER(DM78:DM274),ROW(DM78:DM274),"")))</f>
        <v>4.4000000000000004</v>
      </c>
      <c r="DO78" s="12">
        <f>IF('Données projet'!$A$166&gt;35,DO77+DN78-DW77,IF(A78&lt;'Données projet'!$A$166,$DL$205^A78,IF(A78='Données projet'!$A$166,'Données projet'!$B$166,DO77+DN78-DW77)))</f>
        <v>241.00000000000003</v>
      </c>
      <c r="DP78" s="17">
        <f>DO78*VLOOKUP('Données projet'!$B$14,Paramètres!$A$1:$I$89,3,0)*VLOOKUP('Données projet'!$B$14,Paramètres!$A$1:$I$89,5,0)</f>
        <v>251.89320000000006</v>
      </c>
      <c r="DQ78" s="13">
        <f t="shared" si="97"/>
        <v>60.991162965075887</v>
      </c>
      <c r="DR78" s="20">
        <f t="shared" si="70"/>
        <v>544.94026549750731</v>
      </c>
      <c r="DS78" s="59">
        <f t="shared" si="71"/>
        <v>838.27359883084068</v>
      </c>
      <c r="DT78" s="59">
        <f ca="1">AVERAGE(OFFSET($DS$3,0,0,'Données projet'!$E$14+1,1))-AVERAGE(OFFSET($H$3,0,0,'Données projet'!$E$14+1,1))</f>
        <v>330.14201227773452</v>
      </c>
      <c r="DU78" s="59">
        <f t="shared" si="98"/>
        <v>307.07297894926467</v>
      </c>
      <c r="DV78" s="15">
        <f>IF(ISNA(VLOOKUP(A78,'Données projet'!$A$165:$I$185,3,0)),0,VLOOKUP(A78,'Données projet'!$A$165:$I$185,3,0))</f>
        <v>12</v>
      </c>
      <c r="DW78" s="15" t="str">
        <f>IF(ISNA(VLOOKUP(A78,'Données projet'!$A$165:$I$185,4,0)),0,VLOOKUP(A78,'Données projet'!$A$165:$I$185,4,0))</f>
        <v>16</v>
      </c>
      <c r="DX78" s="16">
        <f>IF(ISNA(VLOOKUP(A78,'Données projet'!$A$165:$I$185,5,0)),0%,VLOOKUP(A78,'Données projet'!$A$165:$I$185,5,0)*VLOOKUP('Données projet'!$B$14,Paramètres!$A$1:$I$89,7,0))</f>
        <v>0.25800000000000001</v>
      </c>
      <c r="DY78" s="16">
        <f>IF(ISNA(VLOOKUP(A78,'Données projet'!$A$165:$I$185,6,0)),0%,VLOOKUP(A78,'Données projet'!$A$165:$I$185,6,0)*VLOOKUP('Données projet'!$B$14,Paramètres!$A$1:$I$89,7,0))</f>
        <v>0.129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25.607044280629964</v>
      </c>
      <c r="EB78" s="21">
        <f>EXP(-LN(2)/25)*EB77+(1-EXP(-LN(2)/25))/(LN(2)/25)*Calculateur!DW78*Calculateur!DY78*VLOOKUP('Données projet'!$B$14,Paramètres!$A$1:$I$89,3,0)*0.475*44/12</f>
        <v>23.186466942787717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48.793511223417681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241</v>
      </c>
      <c r="EH78" s="12">
        <f>VLOOKUP(A78,'Données projet'!$A$191:$I$211,9,0)</f>
        <v>4.5999999999999996</v>
      </c>
      <c r="EI78" s="12">
        <f t="array" ref="EI78">INDEX(EH:EH,MIN(IF(ISNUMBER(EH78:EH274),ROW(EH78:EH274),"")))</f>
        <v>4.5999999999999996</v>
      </c>
      <c r="EJ78" s="12">
        <f>IF('Données projet'!$A$192&gt;35,EJ77+EI78-ER77,IF(A78&lt;'Données projet'!$A$192,$EG$205^A78,IF(A78='Données projet'!$A$192,'Données projet'!$B$192,EJ77+EI78-ER77)))</f>
        <v>241.00000000000011</v>
      </c>
      <c r="EK78" s="17">
        <f>EJ78*VLOOKUP('Données projet'!$B$15,Paramètres!$A$1:$I$89,3,0)*VLOOKUP('Données projet'!$B$15,Paramètres!$A$1:$I$89,5,0)</f>
        <v>157.90320000000008</v>
      </c>
      <c r="EL78" s="13">
        <f t="shared" si="99"/>
        <v>40.369213826539486</v>
      </c>
      <c r="EM78" s="20">
        <f t="shared" si="73"/>
        <v>345.32445408122311</v>
      </c>
      <c r="EN78" s="59">
        <f t="shared" si="74"/>
        <v>638.65778741455642</v>
      </c>
      <c r="EO78" s="59">
        <f ca="1">AVERAGE(OFFSET($EN$3,0,0,'Données projet'!$E$15+1,1))-AVERAGE(OFFSET($H$3,0,0,'Données projet'!$E$15+1,1))</f>
        <v>183.30081488041924</v>
      </c>
      <c r="EP78" s="59">
        <f t="shared" si="100"/>
        <v>199.33099759570928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18</v>
      </c>
      <c r="ES78" s="16">
        <f>IF(ISNA(VLOOKUP(A78,'Données projet'!$A$191:$I$211,5,0)),0%,VLOOKUP(A78,'Données projet'!$A$191:$I$211,5,0)*VLOOKUP('Données projet'!$B$15,Paramètres!$A$1:$I$89,7,0))</f>
        <v>4.3000000000000003E-2</v>
      </c>
      <c r="ET78" s="16">
        <f>IF(ISNA(VLOOKUP(A78,'Données projet'!$A$191:$I$211,6,0)),0%,VLOOKUP(A78,'Données projet'!$A$191:$I$211,6,0)*VLOOKUP('Données projet'!$B$15,Paramètres!$A$1:$I$89,7,0))</f>
        <v>0.17200000000000001</v>
      </c>
      <c r="EU78" s="16">
        <f>IF(ISNA(VLOOKUP(A78,'Données projet'!$A$191:$I$211,7,0)),0%,VLOOKUP(A78,'Données projet'!$A$191:$I$211,7,0))</f>
        <v>0.3</v>
      </c>
      <c r="EV78" s="21">
        <f>EXP(-LN(2)/35)*EV77+(1-EXP(-LN(2)/35))/(LN(2)/35)*ER78*ES78*VLOOKUP('Données projet'!$B$15,Paramètres!$A$1:$I$89,3,0)*0.475*44/12</f>
        <v>1.6075675441407582</v>
      </c>
      <c r="EW78" s="21">
        <f>EXP(-LN(2)/25)*EW77+(1-EXP(-LN(2)/25))/(LN(2)/25)*Calculateur!ER78*Calculateur!ET78*VLOOKUP('Données projet'!$B$15,Paramètres!$A$1:$I$89,3,0)*0.475*44/12</f>
        <v>11.890419599921724</v>
      </c>
      <c r="EX78" s="21">
        <f>EXP(-LN(2)/2)*EX77+(1-EXP(-LN(2)/2))/(LN(2)/2)*ER78*EU78*VLOOKUP('Données projet'!$B$15,Paramètres!$A$1:$I$89,3,0)*0.475*44/12</f>
        <v>4.1047453439370365</v>
      </c>
      <c r="EY78" s="22">
        <f t="shared" si="75"/>
        <v>17.602732487999518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12.913461538461533</v>
      </c>
      <c r="N79" s="13">
        <f>IF('Données projet'!$A$36&gt;35,N78+M79-V78,IF(A79&lt;'Données projet'!$A$36,$K$205^A79,IF(A79='Données projet'!$A$36,'Données projet'!$B$36,N78+M79-V78)))</f>
        <v>398.12115384615396</v>
      </c>
      <c r="O79" s="13">
        <f>N79*VLOOKUP('Données projet'!$B$9,Paramètres!$A$1:$I$89,3,0)*VLOOKUP('Données projet'!$B$9,Paramètres!$A$1:$I$89,5,0)</f>
        <v>186.32070000000004</v>
      </c>
      <c r="P79" s="13">
        <f t="shared" si="87"/>
        <v>46.725588415193215</v>
      </c>
      <c r="Q79" s="20">
        <f t="shared" si="54"/>
        <v>405.88895232312825</v>
      </c>
      <c r="R79" s="59">
        <f t="shared" si="55"/>
        <v>699.22228565646151</v>
      </c>
      <c r="S79" s="59">
        <f ca="1">AVERAGE(OFFSET($R$3,0,0,'Données projet'!$E$9+1,1))-AVERAGE(OFFSET($H$3,0,0,'Données projet'!$E$9+1,1))</f>
        <v>205.73717397588365</v>
      </c>
      <c r="T79" s="59">
        <f t="shared" si="88"/>
        <v>190.64998698136026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55.480850384903192</v>
      </c>
      <c r="AA79" s="21">
        <f>EXP(-LN(2)/25)*AA78+(1-EXP(-LN(2)/25))/(LN(2)/25)*Calculateur!V79*Calculateur!X79*VLOOKUP('Données projet'!$B$9,Paramètres!$A$1:$I$89,3,0)*0.475*44/12</f>
        <v>25.119820238743092</v>
      </c>
      <c r="AB79" s="21">
        <f>EXP(-LN(2)/2)*AB78+(1-EXP(-LN(2)/2))/(LN(2)/2)*V79*Y79*VLOOKUP('Données projet'!$B$9,Paramètres!$A$1:$I$89,3,0)*0.475*44/12</f>
        <v>1.0549383389866855</v>
      </c>
      <c r="AC79" s="22">
        <f t="shared" si="57"/>
        <v>81.655608962632968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283.73369613548124</v>
      </c>
      <c r="AO79" s="59">
        <f t="shared" si="90"/>
        <v>249.77804091581208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-6.3550942286383367E-14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278.5296012747549</v>
      </c>
      <c r="BJ79" s="59">
        <f t="shared" si="92"/>
        <v>370.55343097937077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149.53790634115254</v>
      </c>
      <c r="BQ79" s="21">
        <f>EXP(-LN(2)/25)*BQ78+(1-EXP(-LN(2)/25))/(LN(2)/25)*Calculateur!BL79*Calculateur!BN79*VLOOKUP('Données projet'!$B$11,Paramètres!$A$1:$I$89,3,0)*0.475*44/12</f>
        <v>32.182160175977849</v>
      </c>
      <c r="BR79" s="21">
        <f>EXP(-LN(2)/2)*BR78+(1-EXP(-LN(2)/2))/(LN(2)/2)*BL79*BO79*VLOOKUP('Données projet'!$B$11,Paramètres!$A$1:$I$89,3,0)*0.475*44/12</f>
        <v>2.3589540737776454E-2</v>
      </c>
      <c r="BS79" s="22">
        <f t="shared" si="63"/>
        <v>181.74365605786818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-5.6843418860808015E-14</v>
      </c>
      <c r="BZ79" s="13">
        <f>BY79*VLOOKUP('Données projet'!$B$12,Paramètres!$A$1:$I$89,3,0)*VLOOKUP('Données projet'!$B$12,Paramètres!$A$1:$I$89,5,0)</f>
        <v>-3.1036506698001178E-14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159.92263609041913</v>
      </c>
      <c r="CE79" s="59">
        <f t="shared" si="94"/>
        <v>271.78119133009307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33.058657290479616</v>
      </c>
      <c r="CL79" s="21">
        <f>EXP(-LN(2)/25)*CL78+(1-EXP(-LN(2)/25))/(LN(2)/25)*Calculateur!CG79*Calculateur!CI79*VLOOKUP('Données projet'!$B$12,Paramètres!$A$1:$I$89,3,0)*0.475*44/12</f>
        <v>55.25712057007167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88.315777860551293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7.8425925925925934</v>
      </c>
      <c r="CT79" s="12">
        <f>IF('Données projet'!$A$140&gt;35,CT78+CS79-DB78,IF(A79&lt;'Données projet'!$A$140,$CQ$205^A79,IF(A79='Données projet'!$A$140,'Données projet'!$B$140,CT78+CS79-DB78)))</f>
        <v>242.64245014245034</v>
      </c>
      <c r="CU79" s="17">
        <f>CT79*VLOOKUP('Données projet'!$B$13,Paramètres!$A$1:$I$89,3,0)*VLOOKUP('Données projet'!$B$13,Paramètres!$A$1:$I$89,5,0)</f>
        <v>219.54288888888908</v>
      </c>
      <c r="CV79" s="13">
        <f t="shared" si="95"/>
        <v>54.015522855627488</v>
      </c>
      <c r="CW79" s="20">
        <f t="shared" si="67"/>
        <v>476.44756712169959</v>
      </c>
      <c r="CX79" s="59">
        <f t="shared" si="68"/>
        <v>769.78090045503291</v>
      </c>
      <c r="CY79" s="59">
        <f ca="1">AVERAGE(OFFSET($CX$3,0,0,'Données projet'!$E$13+1,1))-AVERAGE(OFFSET($H$3,0,0,'Données projet'!$E$13+1,1))</f>
        <v>280.25710840677186</v>
      </c>
      <c r="CZ79" s="59">
        <f t="shared" si="96"/>
        <v>209.65224013288037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20.600506991646569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20.600506991646569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229.00000000000003</v>
      </c>
      <c r="DP79" s="17">
        <f>DO79*VLOOKUP('Données projet'!$B$14,Paramètres!$A$1:$I$89,3,0)*VLOOKUP('Données projet'!$B$14,Paramètres!$A$1:$I$89,5,0)</f>
        <v>239.35080000000005</v>
      </c>
      <c r="DQ79" s="13">
        <f t="shared" si="97"/>
        <v>58.299829927807131</v>
      </c>
      <c r="DR79" s="20">
        <f t="shared" si="70"/>
        <v>518.4081804575975</v>
      </c>
      <c r="DS79" s="59">
        <f t="shared" si="71"/>
        <v>811.74151379093087</v>
      </c>
      <c r="DT79" s="59">
        <f ca="1">AVERAGE(OFFSET($DS$3,0,0,'Données projet'!$E$14+1,1))-AVERAGE(OFFSET($H$3,0,0,'Données projet'!$E$14+1,1))</f>
        <v>330.14201227773452</v>
      </c>
      <c r="DU79" s="59">
        <f t="shared" si="98"/>
        <v>307.07297894926467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25.104905761041596</v>
      </c>
      <c r="EB79" s="21">
        <f>EXP(-LN(2)/25)*EB78+(1-EXP(-LN(2)/25))/(LN(2)/25)*Calculateur!DW79*Calculateur!DY79*VLOOKUP('Données projet'!$B$14,Paramètres!$A$1:$I$89,3,0)*0.475*44/12</f>
        <v>22.552431784913885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47.657337545955485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4.2</v>
      </c>
      <c r="EJ79" s="12">
        <f>IF('Données projet'!$A$192&gt;35,EJ78+EI79-ER78,IF(A79&lt;'Données projet'!$A$192,$EG$205^A79,IF(A79='Données projet'!$A$192,'Données projet'!$B$192,EJ78+EI79-ER78)))</f>
        <v>227.2000000000001</v>
      </c>
      <c r="EK79" s="17">
        <f>EJ79*VLOOKUP('Données projet'!$B$15,Paramètres!$A$1:$I$89,3,0)*VLOOKUP('Données projet'!$B$15,Paramètres!$A$1:$I$89,5,0)</f>
        <v>148.86144000000007</v>
      </c>
      <c r="EL79" s="13">
        <f t="shared" si="99"/>
        <v>38.319729148991954</v>
      </c>
      <c r="EM79" s="20">
        <f t="shared" si="73"/>
        <v>326.00720293449439</v>
      </c>
      <c r="EN79" s="59">
        <f t="shared" si="74"/>
        <v>619.3405362678277</v>
      </c>
      <c r="EO79" s="59">
        <f ca="1">AVERAGE(OFFSET($EN$3,0,0,'Données projet'!$E$15+1,1))-AVERAGE(OFFSET($H$3,0,0,'Données projet'!$E$15+1,1))</f>
        <v>183.30081488041924</v>
      </c>
      <c r="EP79" s="59">
        <f t="shared" si="100"/>
        <v>199.33099759570928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1.5760441251195416</v>
      </c>
      <c r="EW79" s="21">
        <f>EXP(-LN(2)/25)*EW78+(1-EXP(-LN(2)/25))/(LN(2)/25)*Calculateur!ER79*Calculateur!ET79*VLOOKUP('Données projet'!$B$15,Paramètres!$A$1:$I$89,3,0)*0.475*44/12</f>
        <v>11.565275450671875</v>
      </c>
      <c r="EX79" s="21">
        <f>EXP(-LN(2)/2)*EX78+(1-EXP(-LN(2)/2))/(LN(2)/2)*ER79*EU79*VLOOKUP('Données projet'!$B$15,Paramètres!$A$1:$I$89,3,0)*0.475*44/12</f>
        <v>2.9024932677417858</v>
      </c>
      <c r="EY79" s="22">
        <f t="shared" si="75"/>
        <v>16.043812843533203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12.913461538461533</v>
      </c>
      <c r="N80" s="13">
        <f>IF('Données projet'!$A$36&gt;35,N79+M80-V79,IF(A80&lt;'Données projet'!$A$36,$K$205^A80,IF(A80='Données projet'!$A$36,'Données projet'!$B$36,N79+M80-V79)))</f>
        <v>411.03461538461551</v>
      </c>
      <c r="O80" s="13">
        <f>N80*VLOOKUP('Données projet'!$B$9,Paramètres!$A$1:$I$89,3,0)*VLOOKUP('Données projet'!$B$9,Paramètres!$A$1:$I$89,5,0)</f>
        <v>192.36420000000004</v>
      </c>
      <c r="P80" s="13">
        <f t="shared" si="87"/>
        <v>48.062267116572606</v>
      </c>
      <c r="Q80" s="20">
        <f t="shared" si="54"/>
        <v>418.74276356136397</v>
      </c>
      <c r="R80" s="59">
        <f t="shared" si="55"/>
        <v>712.07609689469723</v>
      </c>
      <c r="S80" s="59">
        <f ca="1">AVERAGE(OFFSET($R$3,0,0,'Données projet'!$E$9+1,1))-AVERAGE(OFFSET($H$3,0,0,'Données projet'!$E$9+1,1))</f>
        <v>205.73717397588365</v>
      </c>
      <c r="T80" s="59">
        <f t="shared" si="88"/>
        <v>190.64998698136026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54.392904748832557</v>
      </c>
      <c r="AA80" s="21">
        <f>EXP(-LN(2)/25)*AA79+(1-EXP(-LN(2)/25))/(LN(2)/25)*Calculateur!V80*Calculateur!X80*VLOOKUP('Données projet'!$B$9,Paramètres!$A$1:$I$89,3,0)*0.475*44/12</f>
        <v>24.432917433320728</v>
      </c>
      <c r="AB80" s="21">
        <f>EXP(-LN(2)/2)*AB79+(1-EXP(-LN(2)/2))/(LN(2)/2)*V80*Y80*VLOOKUP('Données projet'!$B$9,Paramètres!$A$1:$I$89,3,0)*0.475*44/12</f>
        <v>0.74595405323115815</v>
      </c>
      <c r="AC80" s="22">
        <f t="shared" si="57"/>
        <v>79.571776235384448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283.73369613548124</v>
      </c>
      <c r="AO80" s="59">
        <f t="shared" si="90"/>
        <v>249.77804091581208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-6.3550942286383367E-14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278.5296012747549</v>
      </c>
      <c r="BJ80" s="59">
        <f t="shared" si="92"/>
        <v>370.55343097937077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146.60555920691925</v>
      </c>
      <c r="BQ80" s="21">
        <f>EXP(-LN(2)/25)*BQ79+(1-EXP(-LN(2)/25))/(LN(2)/25)*Calculateur!BL80*Calculateur!BN80*VLOOKUP('Données projet'!$B$11,Paramètres!$A$1:$I$89,3,0)*0.475*44/12</f>
        <v>31.302137313579482</v>
      </c>
      <c r="BR80" s="21">
        <f>EXP(-LN(2)/2)*BR79+(1-EXP(-LN(2)/2))/(LN(2)/2)*BL80*BO80*VLOOKUP('Données projet'!$B$11,Paramètres!$A$1:$I$89,3,0)*0.475*44/12</f>
        <v>1.6680324220758044E-2</v>
      </c>
      <c r="BS80" s="22">
        <f t="shared" si="63"/>
        <v>177.92437684471952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-5.6843418860808015E-14</v>
      </c>
      <c r="BZ80" s="13">
        <f>BY80*VLOOKUP('Données projet'!$B$12,Paramètres!$A$1:$I$89,3,0)*VLOOKUP('Données projet'!$B$12,Paramètres!$A$1:$I$89,5,0)</f>
        <v>-3.1036506698001178E-14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159.92263609041913</v>
      </c>
      <c r="CE80" s="59">
        <f t="shared" si="94"/>
        <v>271.78119133009307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32.410397184803251</v>
      </c>
      <c r="CL80" s="21">
        <f>EXP(-LN(2)/25)*CL79+(1-EXP(-LN(2)/25))/(LN(2)/25)*Calculateur!CG80*Calculateur!CI80*VLOOKUP('Données projet'!$B$12,Paramètres!$A$1:$I$89,3,0)*0.475*44/12</f>
        <v>53.746111702237378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86.15650888704063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7.8425925925925934</v>
      </c>
      <c r="CT80" s="12">
        <f>IF('Données projet'!$A$140&gt;35,CT79+CS80-DB79,IF(A80&lt;'Données projet'!$A$140,$CQ$205^A80,IF(A80='Données projet'!$A$140,'Données projet'!$B$140,CT79+CS80-DB79)))</f>
        <v>250.48504273504292</v>
      </c>
      <c r="CU80" s="17">
        <f>CT80*VLOOKUP('Données projet'!$B$13,Paramètres!$A$1:$I$89,3,0)*VLOOKUP('Données projet'!$B$13,Paramètres!$A$1:$I$89,5,0)</f>
        <v>226.63886666666684</v>
      </c>
      <c r="CV80" s="13">
        <f t="shared" si="95"/>
        <v>55.555304418491261</v>
      </c>
      <c r="CW80" s="20">
        <f t="shared" si="67"/>
        <v>491.4881813066504</v>
      </c>
      <c r="CX80" s="59">
        <f t="shared" si="68"/>
        <v>784.82151463998366</v>
      </c>
      <c r="CY80" s="59">
        <f ca="1">AVERAGE(OFFSET($CX$3,0,0,'Données projet'!$E$13+1,1))-AVERAGE(OFFSET($H$3,0,0,'Données projet'!$E$13+1,1))</f>
        <v>280.25710840677186</v>
      </c>
      <c r="CZ80" s="59">
        <f t="shared" si="96"/>
        <v>209.65224013288037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20.196543614608945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20.196543614608945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233.00000000000003</v>
      </c>
      <c r="DP80" s="17">
        <f>DO80*VLOOKUP('Données projet'!$B$14,Paramètres!$A$1:$I$89,3,0)*VLOOKUP('Données projet'!$B$14,Paramètres!$A$1:$I$89,5,0)</f>
        <v>243.53160000000008</v>
      </c>
      <c r="DQ80" s="13">
        <f t="shared" si="97"/>
        <v>59.198724224270414</v>
      </c>
      <c r="DR80" s="20">
        <f t="shared" si="70"/>
        <v>527.25531469060445</v>
      </c>
      <c r="DS80" s="59">
        <f t="shared" si="71"/>
        <v>820.58864802393782</v>
      </c>
      <c r="DT80" s="59">
        <f ca="1">AVERAGE(OFFSET($DS$3,0,0,'Données projet'!$E$14+1,1))-AVERAGE(OFFSET($H$3,0,0,'Données projet'!$E$14+1,1))</f>
        <v>330.14201227773452</v>
      </c>
      <c r="DU80" s="59">
        <f t="shared" si="98"/>
        <v>307.07297894926467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24.612613871548103</v>
      </c>
      <c r="EB80" s="21">
        <f>EXP(-LN(2)/25)*EB79+(1-EXP(-LN(2)/25))/(LN(2)/25)*Calculateur!DW80*Calculateur!DY80*VLOOKUP('Données projet'!$B$14,Paramètres!$A$1:$I$89,3,0)*0.475*44/12</f>
        <v>21.93573435177457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46.548348223322677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4.2</v>
      </c>
      <c r="EJ80" s="12">
        <f>IF('Données projet'!$A$192&gt;35,EJ79+EI80-ER79,IF(A80&lt;'Données projet'!$A$192,$EG$205^A80,IF(A80='Données projet'!$A$192,'Données projet'!$B$192,EJ79+EI80-ER79)))</f>
        <v>231.40000000000009</v>
      </c>
      <c r="EK80" s="17">
        <f>EJ80*VLOOKUP('Données projet'!$B$15,Paramètres!$A$1:$I$89,3,0)*VLOOKUP('Données projet'!$B$15,Paramètres!$A$1:$I$89,5,0)</f>
        <v>151.61328000000006</v>
      </c>
      <c r="EL80" s="13">
        <f t="shared" si="99"/>
        <v>38.944980714143632</v>
      </c>
      <c r="EM80" s="20">
        <f t="shared" si="73"/>
        <v>331.88897074380026</v>
      </c>
      <c r="EN80" s="59">
        <f t="shared" si="74"/>
        <v>625.22230407713357</v>
      </c>
      <c r="EO80" s="59">
        <f ca="1">AVERAGE(OFFSET($EN$3,0,0,'Données projet'!$E$15+1,1))-AVERAGE(OFFSET($H$3,0,0,'Données projet'!$E$15+1,1))</f>
        <v>183.30081488041924</v>
      </c>
      <c r="EP80" s="59">
        <f t="shared" si="100"/>
        <v>199.33099759570928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1.545138861117944</v>
      </c>
      <c r="EW80" s="21">
        <f>EXP(-LN(2)/25)*EW79+(1-EXP(-LN(2)/25))/(LN(2)/25)*Calculateur!ER80*Calculateur!ET80*VLOOKUP('Données projet'!$B$15,Paramètres!$A$1:$I$89,3,0)*0.475*44/12</f>
        <v>11.249022385281849</v>
      </c>
      <c r="EX80" s="21">
        <f>EXP(-LN(2)/2)*EX79+(1-EXP(-LN(2)/2))/(LN(2)/2)*ER80*EU80*VLOOKUP('Données projet'!$B$15,Paramètres!$A$1:$I$89,3,0)*0.475*44/12</f>
        <v>2.0523726719685182</v>
      </c>
      <c r="EY80" s="22">
        <f t="shared" si="75"/>
        <v>14.846533918368312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12.913461538461533</v>
      </c>
      <c r="N81" s="13">
        <f>IF('Données projet'!$A$36&gt;35,N80+M81-V80,IF(A81&lt;'Données projet'!$A$36,$K$205^A81,IF(A81='Données projet'!$A$36,'Données projet'!$B$36,N80+M81-V80)))</f>
        <v>423.94807692307705</v>
      </c>
      <c r="O81" s="13">
        <f>N81*VLOOKUP('Données projet'!$B$9,Paramètres!$A$1:$I$89,3,0)*VLOOKUP('Données projet'!$B$9,Paramètres!$A$1:$I$89,5,0)</f>
        <v>198.40770000000006</v>
      </c>
      <c r="P81" s="13">
        <f t="shared" si="87"/>
        <v>49.394065749424826</v>
      </c>
      <c r="Q81" s="20">
        <f t="shared" si="54"/>
        <v>431.58807534691499</v>
      </c>
      <c r="R81" s="59">
        <f t="shared" si="55"/>
        <v>724.92140868024831</v>
      </c>
      <c r="S81" s="59">
        <f ca="1">AVERAGE(OFFSET($R$3,0,0,'Données projet'!$E$9+1,1))-AVERAGE(OFFSET($H$3,0,0,'Données projet'!$E$9+1,1))</f>
        <v>205.73717397588365</v>
      </c>
      <c r="T81" s="59">
        <f t="shared" si="88"/>
        <v>190.64998698136026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53.326293063103947</v>
      </c>
      <c r="AA81" s="21">
        <f>EXP(-LN(2)/25)*AA80+(1-EXP(-LN(2)/25))/(LN(2)/25)*Calculateur!V81*Calculateur!X81*VLOOKUP('Données projet'!$B$9,Paramètres!$A$1:$I$89,3,0)*0.475*44/12</f>
        <v>23.764798021235286</v>
      </c>
      <c r="AB81" s="21">
        <f>EXP(-LN(2)/2)*AB80+(1-EXP(-LN(2)/2))/(LN(2)/2)*V81*Y81*VLOOKUP('Données projet'!$B$9,Paramètres!$A$1:$I$89,3,0)*0.475*44/12</f>
        <v>0.52746916949334277</v>
      </c>
      <c r="AC81" s="22">
        <f t="shared" si="57"/>
        <v>77.618560253832584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283.73369613548124</v>
      </c>
      <c r="AO81" s="59">
        <f t="shared" si="90"/>
        <v>249.77804091581208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-6.3550942286383367E-14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278.5296012747549</v>
      </c>
      <c r="BJ81" s="59">
        <f t="shared" si="92"/>
        <v>370.55343097937077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143.73071361143315</v>
      </c>
      <c r="BQ81" s="21">
        <f>EXP(-LN(2)/25)*BQ80+(1-EXP(-LN(2)/25))/(LN(2)/25)*Calculateur!BL81*Calculateur!BN81*VLOOKUP('Données projet'!$B$11,Paramètres!$A$1:$I$89,3,0)*0.475*44/12</f>
        <v>30.446178722631792</v>
      </c>
      <c r="BR81" s="21">
        <f>EXP(-LN(2)/2)*BR80+(1-EXP(-LN(2)/2))/(LN(2)/2)*BL81*BO81*VLOOKUP('Données projet'!$B$11,Paramètres!$A$1:$I$89,3,0)*0.475*44/12</f>
        <v>1.1794770368888227E-2</v>
      </c>
      <c r="BS81" s="22">
        <f t="shared" si="63"/>
        <v>174.18868710443382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-5.6843418860808015E-14</v>
      </c>
      <c r="BZ81" s="13">
        <f>BY81*VLOOKUP('Données projet'!$B$12,Paramètres!$A$1:$I$89,3,0)*VLOOKUP('Données projet'!$B$12,Paramètres!$A$1:$I$89,5,0)</f>
        <v>-3.1036506698001178E-14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159.92263609041913</v>
      </c>
      <c r="CE81" s="59">
        <f t="shared" si="94"/>
        <v>271.78119133009307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31.774849064399575</v>
      </c>
      <c r="CL81" s="21">
        <f>EXP(-LN(2)/25)*CL80+(1-EXP(-LN(2)/25))/(LN(2)/25)*Calculateur!CG81*Calculateur!CI81*VLOOKUP('Données projet'!$B$12,Paramètres!$A$1:$I$89,3,0)*0.475*44/12</f>
        <v>52.276421451354523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84.051270515754098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7.8425925925925934</v>
      </c>
      <c r="CT81" s="12">
        <f>IF('Données projet'!$A$140&gt;35,CT80+CS81-DB80,IF(A81&lt;'Données projet'!$A$140,$CQ$205^A81,IF(A81='Données projet'!$A$140,'Données projet'!$B$140,CT80+CS81-DB80)))</f>
        <v>258.32763532763551</v>
      </c>
      <c r="CU81" s="17">
        <f>CT81*VLOOKUP('Données projet'!$B$13,Paramètres!$A$1:$I$89,3,0)*VLOOKUP('Données projet'!$B$13,Paramètres!$A$1:$I$89,5,0)</f>
        <v>233.7348444444446</v>
      </c>
      <c r="CV81" s="13">
        <f t="shared" si="95"/>
        <v>57.089483585580787</v>
      </c>
      <c r="CW81" s="20">
        <f t="shared" si="67"/>
        <v>506.51903798562756</v>
      </c>
      <c r="CX81" s="59">
        <f t="shared" si="68"/>
        <v>799.85237131896088</v>
      </c>
      <c r="CY81" s="59">
        <f ca="1">AVERAGE(OFFSET($CX$3,0,0,'Données projet'!$E$13+1,1))-AVERAGE(OFFSET($H$3,0,0,'Données projet'!$E$13+1,1))</f>
        <v>280.25710840677186</v>
      </c>
      <c r="CZ81" s="59">
        <f t="shared" si="96"/>
        <v>209.65224013288037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19.800501713001701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19.800501713001701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237.00000000000003</v>
      </c>
      <c r="DP81" s="17">
        <f>DO81*VLOOKUP('Données projet'!$B$14,Paramètres!$A$1:$I$89,3,0)*VLOOKUP('Données projet'!$B$14,Paramètres!$A$1:$I$89,5,0)</f>
        <v>247.71240000000003</v>
      </c>
      <c r="DQ81" s="13">
        <f t="shared" si="97"/>
        <v>60.095823975624157</v>
      </c>
      <c r="DR81" s="20">
        <f t="shared" si="70"/>
        <v>536.099323424212</v>
      </c>
      <c r="DS81" s="59">
        <f t="shared" si="71"/>
        <v>829.43265675754537</v>
      </c>
      <c r="DT81" s="59">
        <f ca="1">AVERAGE(OFFSET($DS$3,0,0,'Données projet'!$E$14+1,1))-AVERAGE(OFFSET($H$3,0,0,'Données projet'!$E$14+1,1))</f>
        <v>330.14201227773452</v>
      </c>
      <c r="DU81" s="59">
        <f t="shared" si="98"/>
        <v>307.07297894926467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24.129975525739173</v>
      </c>
      <c r="EB81" s="21">
        <f>EXP(-LN(2)/25)*EB80+(1-EXP(-LN(2)/25))/(LN(2)/25)*Calculateur!DW81*Calculateur!DY81*VLOOKUP('Données projet'!$B$14,Paramètres!$A$1:$I$89,3,0)*0.475*44/12</f>
        <v>21.33590054237516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45.465876068114333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4.2</v>
      </c>
      <c r="EJ81" s="12">
        <f>IF('Données projet'!$A$192&gt;35,EJ80+EI81-ER80,IF(A81&lt;'Données projet'!$A$192,$EG$205^A81,IF(A81='Données projet'!$A$192,'Données projet'!$B$192,EJ80+EI81-ER80)))</f>
        <v>235.60000000000008</v>
      </c>
      <c r="EK81" s="17">
        <f>EJ81*VLOOKUP('Données projet'!$B$15,Paramètres!$A$1:$I$89,3,0)*VLOOKUP('Données projet'!$B$15,Paramètres!$A$1:$I$89,5,0)</f>
        <v>154.36512000000005</v>
      </c>
      <c r="EL81" s="13">
        <f t="shared" si="99"/>
        <v>39.568912624848309</v>
      </c>
      <c r="EM81" s="20">
        <f t="shared" si="73"/>
        <v>337.76844015494419</v>
      </c>
      <c r="EN81" s="59">
        <f t="shared" si="74"/>
        <v>631.10177348827756</v>
      </c>
      <c r="EO81" s="59">
        <f ca="1">AVERAGE(OFFSET($EN$3,0,0,'Données projet'!$E$15+1,1))-AVERAGE(OFFSET($H$3,0,0,'Données projet'!$E$15+1,1))</f>
        <v>183.30081488041924</v>
      </c>
      <c r="EP81" s="59">
        <f t="shared" si="100"/>
        <v>199.33099759570928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1.514839630493068</v>
      </c>
      <c r="EW81" s="21">
        <f>EXP(-LN(2)/25)*EW80+(1-EXP(-LN(2)/25))/(LN(2)/25)*Calculateur!ER81*Calculateur!ET81*VLOOKUP('Données projet'!$B$15,Paramètres!$A$1:$I$89,3,0)*0.475*44/12</f>
        <v>10.94141727659594</v>
      </c>
      <c r="EX81" s="21">
        <f>EXP(-LN(2)/2)*EX80+(1-EXP(-LN(2)/2))/(LN(2)/2)*ER81*EU81*VLOOKUP('Données projet'!$B$15,Paramètres!$A$1:$I$89,3,0)*0.475*44/12</f>
        <v>1.4512466338708929</v>
      </c>
      <c r="EY81" s="22">
        <f t="shared" si="75"/>
        <v>13.907503540959901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436.86153846153843</v>
      </c>
      <c r="L82" s="12">
        <f>VLOOKUP(A82,'Données projet'!$A$35:$I$55,9,0)</f>
        <v>12.913461538461533</v>
      </c>
      <c r="M82" s="12">
        <f t="array" ref="M82">INDEX(L:L,MIN(IF(ISNUMBER(L82:L278),ROW(L82:L278),"")))</f>
        <v>12.913461538461533</v>
      </c>
      <c r="N82" s="13">
        <f>IF('Données projet'!$A$36&gt;35,N81+M82-V81,IF(A82&lt;'Données projet'!$A$36,$K$205^A82,IF(A82='Données projet'!$A$36,'Données projet'!$B$36,N81+M82-V81)))</f>
        <v>436.8615384615386</v>
      </c>
      <c r="O82" s="13">
        <f>N82*VLOOKUP('Données projet'!$B$9,Paramètres!$A$1:$I$89,3,0)*VLOOKUP('Données projet'!$B$9,Paramètres!$A$1:$I$89,5,0)</f>
        <v>204.45120000000009</v>
      </c>
      <c r="P82" s="13">
        <f t="shared" si="87"/>
        <v>50.721150021305952</v>
      </c>
      <c r="Q82" s="20">
        <f t="shared" si="54"/>
        <v>444.42517628710794</v>
      </c>
      <c r="R82" s="59">
        <f t="shared" si="55"/>
        <v>737.75850962044126</v>
      </c>
      <c r="S82" s="59">
        <f ca="1">AVERAGE(OFFSET($R$3,0,0,'Données projet'!$E$9+1,1))-AVERAGE(OFFSET($H$3,0,0,'Données projet'!$E$9+1,1))</f>
        <v>205.73717397588365</v>
      </c>
      <c r="T82" s="59">
        <f t="shared" si="88"/>
        <v>190.64998698136026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77.338461538461544</v>
      </c>
      <c r="W82" s="16">
        <f>IF(ISNA(VLOOKUP(A82,'Données projet'!$A$35:$I$55,5,0)),0%,VLOOKUP(A82,'Données projet'!$A$35:$I$55,5,0)*VLOOKUP('Données projet'!$B$9,Paramètres!$A$1:$I$89,7,0))</f>
        <v>0.38500000000000001</v>
      </c>
      <c r="X82" s="16">
        <f>IF(ISNA(VLOOKUP(A82,'Données projet'!$A$35:$I$55,6,0)),0%,VLOOKUP(A82,'Données projet'!$A$35:$I$55,6,0)*VLOOKUP('Données projet'!$B$9,Paramètres!$A$1:$I$89,7,0))</f>
        <v>9.240000000000001E-2</v>
      </c>
      <c r="Y82" s="16">
        <f>IF(ISNA(VLOOKUP(A82,'Données projet'!$A$35:$I$55,7,0)),0%,VLOOKUP(A82,'Données projet'!$A$35:$I$55,7,0))</f>
        <v>0.13200000000000001</v>
      </c>
      <c r="Z82" s="21">
        <f>EXP(-LN(2)/35)*Z81+(1-EXP(-LN(2)/35))/(LN(2)/35)*V82*W82*VLOOKUP('Données projet'!$B$9,Paramètres!$A$1:$I$89,3,0)*0.475*44/12</f>
        <v>70.766065724458542</v>
      </c>
      <c r="AA82" s="21">
        <f>EXP(-LN(2)/25)*AA81+(1-EXP(-LN(2)/25))/(LN(2)/25)*Calculateur!V82*Calculateur!X82*VLOOKUP('Données projet'!$B$9,Paramètres!$A$1:$I$89,3,0)*0.475*44/12</f>
        <v>27.533992627657781</v>
      </c>
      <c r="AB82" s="21">
        <f>EXP(-LN(2)/2)*AB81+(1-EXP(-LN(2)/2))/(LN(2)/2)*V82*Y82*VLOOKUP('Données projet'!$B$9,Paramètres!$A$1:$I$89,3,0)*0.475*44/12</f>
        <v>5.7823988910017112</v>
      </c>
      <c r="AC82" s="22">
        <f t="shared" si="57"/>
        <v>104.08245724311803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283.73369613548124</v>
      </c>
      <c r="AO82" s="59">
        <f t="shared" si="90"/>
        <v>249.77804091581208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-6.3550942286383367E-14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278.5296012747549</v>
      </c>
      <c r="BJ82" s="59">
        <f t="shared" si="92"/>
        <v>370.55343097937077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140.91224198459184</v>
      </c>
      <c r="BQ82" s="21">
        <f>EXP(-LN(2)/25)*BQ81+(1-EXP(-LN(2)/25))/(LN(2)/25)*Calculateur!BL82*Calculateur!BN82*VLOOKUP('Données projet'!$B$11,Paramètres!$A$1:$I$89,3,0)*0.475*44/12</f>
        <v>29.613626364366471</v>
      </c>
      <c r="BR82" s="21">
        <f>EXP(-LN(2)/2)*BR81+(1-EXP(-LN(2)/2))/(LN(2)/2)*BL82*BO82*VLOOKUP('Données projet'!$B$11,Paramètres!$A$1:$I$89,3,0)*0.475*44/12</f>
        <v>8.3401621103790218E-3</v>
      </c>
      <c r="BS82" s="22">
        <f t="shared" si="63"/>
        <v>170.5342085110687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-5.6843418860808015E-14</v>
      </c>
      <c r="BZ82" s="13">
        <f>BY82*VLOOKUP('Données projet'!$B$12,Paramètres!$A$1:$I$89,3,0)*VLOOKUP('Données projet'!$B$12,Paramètres!$A$1:$I$89,5,0)</f>
        <v>-3.1036506698001178E-14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159.92263609041913</v>
      </c>
      <c r="CE82" s="59">
        <f t="shared" si="94"/>
        <v>271.78119133009307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31.15176365499094</v>
      </c>
      <c r="CL82" s="21">
        <f>EXP(-LN(2)/25)*CL81+(1-EXP(-LN(2)/25))/(LN(2)/25)*Calculateur!CG82*Calculateur!CI82*VLOOKUP('Données projet'!$B$12,Paramètres!$A$1:$I$89,3,0)*0.475*44/12</f>
        <v>50.846919957669705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81.998683612660642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7.8425925925925934</v>
      </c>
      <c r="CT82" s="12">
        <f>IF('Données projet'!$A$140&gt;35,CT81+CS82-DB81,IF(A82&lt;'Données projet'!$A$140,$CQ$205^A82,IF(A82='Données projet'!$A$140,'Données projet'!$B$140,CT81+CS82-DB81)))</f>
        <v>266.17022792022811</v>
      </c>
      <c r="CU82" s="17">
        <f>CT82*VLOOKUP('Données projet'!$B$13,Paramètres!$A$1:$I$89,3,0)*VLOOKUP('Données projet'!$B$13,Paramètres!$A$1:$I$89,5,0)</f>
        <v>240.83082222222239</v>
      </c>
      <c r="CV82" s="13">
        <f t="shared" si="95"/>
        <v>58.618249962252264</v>
      </c>
      <c r="CW82" s="20">
        <f t="shared" si="67"/>
        <v>521.54046738795989</v>
      </c>
      <c r="CX82" s="59">
        <f t="shared" si="68"/>
        <v>814.87380072129326</v>
      </c>
      <c r="CY82" s="59">
        <f ca="1">AVERAGE(OFFSET($CX$3,0,0,'Données projet'!$E$13+1,1))-AVERAGE(OFFSET($H$3,0,0,'Données projet'!$E$13+1,1))</f>
        <v>280.25710840677186</v>
      </c>
      <c r="CZ82" s="59">
        <f t="shared" si="96"/>
        <v>209.65224013288037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19.412225951523265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19.412225951523265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241.00000000000003</v>
      </c>
      <c r="DP82" s="17">
        <f>DO82*VLOOKUP('Données projet'!$B$14,Paramètres!$A$1:$I$89,3,0)*VLOOKUP('Données projet'!$B$14,Paramètres!$A$1:$I$89,5,0)</f>
        <v>251.89320000000006</v>
      </c>
      <c r="DQ82" s="13">
        <f t="shared" si="97"/>
        <v>60.991162965075887</v>
      </c>
      <c r="DR82" s="20">
        <f t="shared" si="70"/>
        <v>544.94026549750731</v>
      </c>
      <c r="DS82" s="59">
        <f t="shared" si="71"/>
        <v>838.27359883084068</v>
      </c>
      <c r="DT82" s="59">
        <f ca="1">AVERAGE(OFFSET($DS$3,0,0,'Données projet'!$E$14+1,1))-AVERAGE(OFFSET($H$3,0,0,'Données projet'!$E$14+1,1))</f>
        <v>330.14201227773452</v>
      </c>
      <c r="DU82" s="59">
        <f t="shared" si="98"/>
        <v>307.07297894926467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23.656801423511233</v>
      </c>
      <c r="EB82" s="21">
        <f>EXP(-LN(2)/25)*EB81+(1-EXP(-LN(2)/25))/(LN(2)/25)*Calculateur!DW82*Calculateur!DY82*VLOOKUP('Données projet'!$B$14,Paramètres!$A$1:$I$89,3,0)*0.475*44/12</f>
        <v>20.752469220037668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44.409270643548901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4.2</v>
      </c>
      <c r="EJ82" s="12">
        <f>IF('Données projet'!$A$192&gt;35,EJ81+EI82-ER81,IF(A82&lt;'Données projet'!$A$192,$EG$205^A82,IF(A82='Données projet'!$A$192,'Données projet'!$B$192,EJ81+EI82-ER81)))</f>
        <v>239.80000000000007</v>
      </c>
      <c r="EK82" s="17">
        <f>EJ82*VLOOKUP('Données projet'!$B$15,Paramètres!$A$1:$I$89,3,0)*VLOOKUP('Données projet'!$B$15,Paramètres!$A$1:$I$89,5,0)</f>
        <v>157.11696000000003</v>
      </c>
      <c r="EL82" s="13">
        <f t="shared" si="99"/>
        <v>40.191551120265856</v>
      </c>
      <c r="EM82" s="20">
        <f t="shared" si="73"/>
        <v>343.6456568677965</v>
      </c>
      <c r="EN82" s="59">
        <f t="shared" si="74"/>
        <v>636.97899020112982</v>
      </c>
      <c r="EO82" s="59">
        <f ca="1">AVERAGE(OFFSET($EN$3,0,0,'Données projet'!$E$15+1,1))-AVERAGE(OFFSET($H$3,0,0,'Données projet'!$E$15+1,1))</f>
        <v>183.30081488041924</v>
      </c>
      <c r="EP82" s="59">
        <f t="shared" si="100"/>
        <v>199.33099759570928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1.4851345493000401</v>
      </c>
      <c r="EW82" s="21">
        <f>EXP(-LN(2)/25)*EW81+(1-EXP(-LN(2)/25))/(LN(2)/25)*Calculateur!ER82*Calculateur!ET82*VLOOKUP('Données projet'!$B$15,Paramètres!$A$1:$I$89,3,0)*0.475*44/12</f>
        <v>10.642223645783297</v>
      </c>
      <c r="EX82" s="21">
        <f>EXP(-LN(2)/2)*EX81+(1-EXP(-LN(2)/2))/(LN(2)/2)*ER82*EU82*VLOOKUP('Données projet'!$B$15,Paramètres!$A$1:$I$89,3,0)*0.475*44/12</f>
        <v>1.0261863359842591</v>
      </c>
      <c r="EY82" s="22">
        <f t="shared" si="75"/>
        <v>13.153544531067595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12.124038461538468</v>
      </c>
      <c r="N83" s="13">
        <f>IF('Données projet'!$A$36&gt;35,N82+M83-V82,IF(A83&lt;'Données projet'!$A$36,$K$205^A83,IF(A83='Données projet'!$A$36,'Données projet'!$B$36,N82+M83-V82)))</f>
        <v>371.64711538461552</v>
      </c>
      <c r="O83" s="13">
        <f>N83*VLOOKUP('Données projet'!$B$9,Paramètres!$A$1:$I$89,3,0)*VLOOKUP('Données projet'!$B$9,Paramètres!$A$1:$I$89,5,0)</f>
        <v>173.93085000000008</v>
      </c>
      <c r="P83" s="13">
        <f t="shared" si="87"/>
        <v>43.969228534222836</v>
      </c>
      <c r="Q83" s="20">
        <f t="shared" si="54"/>
        <v>379.50930344710491</v>
      </c>
      <c r="R83" s="59">
        <f t="shared" si="55"/>
        <v>672.84263678043817</v>
      </c>
      <c r="S83" s="59">
        <f ca="1">AVERAGE(OFFSET($R$3,0,0,'Données projet'!$E$9+1,1))-AVERAGE(OFFSET($H$3,0,0,'Données projet'!$E$9+1,1))</f>
        <v>205.73717397588365</v>
      </c>
      <c r="T83" s="59">
        <f t="shared" si="88"/>
        <v>190.64998698136026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69.378386338640013</v>
      </c>
      <c r="AA83" s="21">
        <f>EXP(-LN(2)/25)*AA82+(1-EXP(-LN(2)/25))/(LN(2)/25)*Calculateur!V83*Calculateur!X83*VLOOKUP('Données projet'!$B$9,Paramètres!$A$1:$I$89,3,0)*0.475*44/12</f>
        <v>26.781074151304736</v>
      </c>
      <c r="AB83" s="21">
        <f>EXP(-LN(2)/2)*AB82+(1-EXP(-LN(2)/2))/(LN(2)/2)*V83*Y83*VLOOKUP('Données projet'!$B$9,Paramètres!$A$1:$I$89,3,0)*0.475*44/12</f>
        <v>4.0887734673528824</v>
      </c>
      <c r="AC83" s="22">
        <f t="shared" si="57"/>
        <v>100.24823395729763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283.73369613548124</v>
      </c>
      <c r="AO83" s="59">
        <f t="shared" si="90"/>
        <v>249.77804091581208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-6.3550942286383367E-14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278.5296012747549</v>
      </c>
      <c r="BJ83" s="59">
        <f t="shared" si="92"/>
        <v>370.55343097937077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138.14903886725494</v>
      </c>
      <c r="BQ83" s="21">
        <f>EXP(-LN(2)/25)*BQ82+(1-EXP(-LN(2)/25))/(LN(2)/25)*Calculateur!BL83*Calculateur!BN83*VLOOKUP('Données projet'!$B$11,Paramètres!$A$1:$I$89,3,0)*0.475*44/12</f>
        <v>28.803840194119942</v>
      </c>
      <c r="BR83" s="21">
        <f>EXP(-LN(2)/2)*BR82+(1-EXP(-LN(2)/2))/(LN(2)/2)*BL83*BO83*VLOOKUP('Données projet'!$B$11,Paramètres!$A$1:$I$89,3,0)*0.475*44/12</f>
        <v>5.8973851844441134E-3</v>
      </c>
      <c r="BS83" s="22">
        <f t="shared" si="63"/>
        <v>166.95877644655934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-5.6843418860808015E-14</v>
      </c>
      <c r="BZ83" s="13">
        <f>BY83*VLOOKUP('Données projet'!$B$12,Paramètres!$A$1:$I$89,3,0)*VLOOKUP('Données projet'!$B$12,Paramètres!$A$1:$I$89,5,0)</f>
        <v>-3.1036506698001178E-14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159.92263609041913</v>
      </c>
      <c r="CE83" s="59">
        <f t="shared" si="94"/>
        <v>271.78119133009307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30.540896570416233</v>
      </c>
      <c r="CL83" s="21">
        <f>EXP(-LN(2)/25)*CL82+(1-EXP(-LN(2)/25))/(LN(2)/25)*Calculateur!CG83*Calculateur!CI83*VLOOKUP('Données projet'!$B$12,Paramètres!$A$1:$I$89,3,0)*0.475*44/12</f>
        <v>49.45650825750392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79.99740482792015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274.01282051282055</v>
      </c>
      <c r="CR83" s="12">
        <f>VLOOKUP(A83,'Données projet'!$A$139:$I$159,9,0)</f>
        <v>7.8425925925925934</v>
      </c>
      <c r="CS83" s="12">
        <f t="array" ref="CS83">INDEX(CR:CR,MIN(IF(ISNUMBER(CR83:CR279),ROW(CR83:CR279),"")))</f>
        <v>7.8425925925925934</v>
      </c>
      <c r="CT83" s="12">
        <f>IF('Données projet'!$A$140&gt;35,CT82+CS83-DB82,IF(A83&lt;'Données projet'!$A$140,$CQ$205^A83,IF(A83='Données projet'!$A$140,'Données projet'!$B$140,CT82+CS83-DB82)))</f>
        <v>274.01282051282072</v>
      </c>
      <c r="CU83" s="17">
        <f>CT83*VLOOKUP('Données projet'!$B$13,Paramètres!$A$1:$I$89,3,0)*VLOOKUP('Données projet'!$B$13,Paramètres!$A$1:$I$89,5,0)</f>
        <v>247.92680000000016</v>
      </c>
      <c r="CV83" s="13">
        <f t="shared" si="95"/>
        <v>60.141781345371967</v>
      </c>
      <c r="CW83" s="20">
        <f t="shared" si="67"/>
        <v>536.55277917652313</v>
      </c>
      <c r="CX83" s="59">
        <f t="shared" si="68"/>
        <v>829.8861125098565</v>
      </c>
      <c r="CY83" s="59">
        <f ca="1">AVERAGE(OFFSET($CX$3,0,0,'Données projet'!$E$13+1,1))-AVERAGE(OFFSET($H$3,0,0,'Données projet'!$E$13+1,1))</f>
        <v>280.25710840677186</v>
      </c>
      <c r="CZ83" s="59">
        <f t="shared" si="96"/>
        <v>209.65224013288037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45.608974358974358</v>
      </c>
      <c r="DC83" s="16">
        <f>IF(ISNA(VLOOKUP(A83,'Données projet'!$A$139:$I$159,5,0)),0%,VLOOKUP(A83,'Données projet'!$A$139:$I$159,5,0)*VLOOKUP('Données projet'!$B$13,Paramètres!$A$1:$I$89,7,0))</f>
        <v>0.30099999999999999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32.763017332710646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32.763017332710646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245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245.00000000000003</v>
      </c>
      <c r="DP83" s="17">
        <f>DO83*VLOOKUP('Données projet'!$B$14,Paramètres!$A$1:$I$89,3,0)*VLOOKUP('Données projet'!$B$14,Paramètres!$A$1:$I$89,5,0)</f>
        <v>256.07400000000007</v>
      </c>
      <c r="DQ83" s="13">
        <f t="shared" si="97"/>
        <v>61.884773790113961</v>
      </c>
      <c r="DR83" s="20">
        <f t="shared" si="70"/>
        <v>553.77819768444851</v>
      </c>
      <c r="DS83" s="59">
        <f t="shared" si="71"/>
        <v>847.11153101778177</v>
      </c>
      <c r="DT83" s="59">
        <f ca="1">AVERAGE(OFFSET($DS$3,0,0,'Données projet'!$E$14+1,1))-AVERAGE(OFFSET($H$3,0,0,'Données projet'!$E$14+1,1))</f>
        <v>330.14201227773452</v>
      </c>
      <c r="DU83" s="59">
        <f t="shared" si="98"/>
        <v>307.07297894926467</v>
      </c>
      <c r="DV83" s="15">
        <f>IF(ISNA(VLOOKUP(A83,'Données projet'!$A$165:$I$185,3,0)),0,VLOOKUP(A83,'Données projet'!$A$165:$I$185,3,0))</f>
        <v>13</v>
      </c>
      <c r="DW83" s="15" t="str">
        <f>IF(ISNA(VLOOKUP(A83,'Données projet'!$A$165:$I$185,4,0)),0,VLOOKUP(A83,'Données projet'!$A$165:$I$185,4,0))</f>
        <v>15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0.129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27.664449646282215</v>
      </c>
      <c r="EB83" s="21">
        <f>EXP(-LN(2)/25)*EB82+(1-EXP(-LN(2)/25))/(LN(2)/25)*Calculateur!DW83*Calculateur!DY83*VLOOKUP('Données projet'!$B$14,Paramètres!$A$1:$I$89,3,0)*0.475*44/12</f>
        <v>22.411960607012588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50.076410253294803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244</v>
      </c>
      <c r="EH83" s="12">
        <f>VLOOKUP(A83,'Données projet'!$A$191:$I$211,9,0)</f>
        <v>4.2</v>
      </c>
      <c r="EI83" s="12">
        <f t="array" ref="EI83">INDEX(EH:EH,MIN(IF(ISNUMBER(EH83:EH279),ROW(EH83:EH279),"")))</f>
        <v>4.2</v>
      </c>
      <c r="EJ83" s="12">
        <f>IF('Données projet'!$A$192&gt;35,EJ82+EI83-ER82,IF(A83&lt;'Données projet'!$A$192,$EG$205^A83,IF(A83='Données projet'!$A$192,'Données projet'!$B$192,EJ82+EI83-ER82)))</f>
        <v>244.00000000000006</v>
      </c>
      <c r="EK83" s="17">
        <f>EJ83*VLOOKUP('Données projet'!$B$15,Paramètres!$A$1:$I$89,3,0)*VLOOKUP('Données projet'!$B$15,Paramètres!$A$1:$I$89,5,0)</f>
        <v>159.86880000000002</v>
      </c>
      <c r="EL83" s="13">
        <f t="shared" si="99"/>
        <v>40.812921467768035</v>
      </c>
      <c r="EM83" s="20">
        <f t="shared" si="73"/>
        <v>349.52066488969604</v>
      </c>
      <c r="EN83" s="59">
        <f t="shared" si="74"/>
        <v>642.85399822302929</v>
      </c>
      <c r="EO83" s="59">
        <f ca="1">AVERAGE(OFFSET($EN$3,0,0,'Données projet'!$E$15+1,1))-AVERAGE(OFFSET($H$3,0,0,'Données projet'!$E$15+1,1))</f>
        <v>183.30081488041924</v>
      </c>
      <c r="EP83" s="59">
        <f t="shared" si="100"/>
        <v>199.33099759570928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16</v>
      </c>
      <c r="ES83" s="16">
        <f>IF(ISNA(VLOOKUP(A83,'Données projet'!$A$191:$I$211,5,0)),0%,VLOOKUP(A83,'Données projet'!$A$191:$I$211,5,0)*VLOOKUP('Données projet'!$B$15,Paramètres!$A$1:$I$89,7,0))</f>
        <v>8.6000000000000007E-2</v>
      </c>
      <c r="ET83" s="16">
        <f>IF(ISNA(VLOOKUP(A83,'Données projet'!$A$191:$I$211,6,0)),0%,VLOOKUP(A83,'Données projet'!$A$191:$I$211,6,0)*VLOOKUP('Données projet'!$B$15,Paramètres!$A$1:$I$89,7,0))</f>
        <v>0.215</v>
      </c>
      <c r="EU83" s="16">
        <f>IF(ISNA(VLOOKUP(A83,'Données projet'!$A$191:$I$211,7,0)),0%,VLOOKUP(A83,'Données projet'!$A$191:$I$211,7,0))</f>
        <v>0.2</v>
      </c>
      <c r="EV83" s="21">
        <f>EXP(-LN(2)/35)*EV82+(1-EXP(-LN(2)/35))/(LN(2)/35)*ER83*ES83*VLOOKUP('Données projet'!$B$15,Paramètres!$A$1:$I$89,3,0)*0.475*44/12</f>
        <v>2.4526545357448017</v>
      </c>
      <c r="EW83" s="21">
        <f>EXP(-LN(2)/25)*EW82+(1-EXP(-LN(2)/25))/(LN(2)/25)*Calculateur!ER83*Calculateur!ET83*VLOOKUP('Données projet'!$B$15,Paramètres!$A$1:$I$89,3,0)*0.475*44/12</f>
        <v>12.833007499460914</v>
      </c>
      <c r="EX83" s="21">
        <f>EXP(-LN(2)/2)*EX82+(1-EXP(-LN(2)/2))/(LN(2)/2)*ER83*EU83*VLOOKUP('Données projet'!$B$15,Paramètres!$A$1:$I$89,3,0)*0.475*44/12</f>
        <v>2.7038595871736879</v>
      </c>
      <c r="EY83" s="22">
        <f t="shared" si="75"/>
        <v>17.989521622379403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12.124038461538468</v>
      </c>
      <c r="N84" s="13">
        <f>IF('Données projet'!$A$36&gt;35,N83+M84-V83,IF(A84&lt;'Données projet'!$A$36,$K$205^A84,IF(A84='Données projet'!$A$36,'Données projet'!$B$36,N83+M84-V83)))</f>
        <v>383.77115384615399</v>
      </c>
      <c r="O84" s="13">
        <f>N84*VLOOKUP('Données projet'!$B$9,Paramètres!$A$1:$I$89,3,0)*VLOOKUP('Données projet'!$B$9,Paramètres!$A$1:$I$89,5,0)</f>
        <v>179.60490000000007</v>
      </c>
      <c r="P84" s="13">
        <f t="shared" si="87"/>
        <v>45.234272457213635</v>
      </c>
      <c r="Q84" s="20">
        <f t="shared" si="54"/>
        <v>391.59489202964716</v>
      </c>
      <c r="R84" s="59">
        <f t="shared" si="55"/>
        <v>684.92822536298047</v>
      </c>
      <c r="S84" s="59">
        <f ca="1">AVERAGE(OFFSET($R$3,0,0,'Données projet'!$E$9+1,1))-AVERAGE(OFFSET($H$3,0,0,'Données projet'!$E$9+1,1))</f>
        <v>205.73717397588365</v>
      </c>
      <c r="T84" s="59">
        <f t="shared" si="88"/>
        <v>190.64998698136026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68.017918499176531</v>
      </c>
      <c r="AA84" s="21">
        <f>EXP(-LN(2)/25)*AA83+(1-EXP(-LN(2)/25))/(LN(2)/25)*Calculateur!V84*Calculateur!X84*VLOOKUP('Données projet'!$B$9,Paramètres!$A$1:$I$89,3,0)*0.475*44/12</f>
        <v>26.048744270281826</v>
      </c>
      <c r="AB84" s="21">
        <f>EXP(-LN(2)/2)*AB83+(1-EXP(-LN(2)/2))/(LN(2)/2)*V84*Y84*VLOOKUP('Données projet'!$B$9,Paramètres!$A$1:$I$89,3,0)*0.475*44/12</f>
        <v>2.8911994455008561</v>
      </c>
      <c r="AC84" s="22">
        <f t="shared" si="57"/>
        <v>96.957862214959221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283.73369613548124</v>
      </c>
      <c r="AO84" s="59">
        <f t="shared" si="90"/>
        <v>249.77804091581208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-6.3550942286383367E-14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278.5296012747549</v>
      </c>
      <c r="BJ84" s="59">
        <f t="shared" si="92"/>
        <v>370.55343097937077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135.44002047766153</v>
      </c>
      <c r="BQ84" s="21">
        <f>EXP(-LN(2)/25)*BQ83+(1-EXP(-LN(2)/25))/(LN(2)/25)*Calculateur!BL84*Calculateur!BN84*VLOOKUP('Données projet'!$B$11,Paramètres!$A$1:$I$89,3,0)*0.475*44/12</f>
        <v>28.01619766928361</v>
      </c>
      <c r="BR84" s="21">
        <f>EXP(-LN(2)/2)*BR83+(1-EXP(-LN(2)/2))/(LN(2)/2)*BL84*BO84*VLOOKUP('Données projet'!$B$11,Paramètres!$A$1:$I$89,3,0)*0.475*44/12</f>
        <v>4.1700810551895109E-3</v>
      </c>
      <c r="BS84" s="22">
        <f t="shared" si="63"/>
        <v>163.46038822800031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-5.6843418860808015E-14</v>
      </c>
      <c r="BZ84" s="13">
        <f>BY84*VLOOKUP('Données projet'!$B$12,Paramètres!$A$1:$I$89,3,0)*VLOOKUP('Données projet'!$B$12,Paramètres!$A$1:$I$89,5,0)</f>
        <v>-3.1036506698001178E-14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159.92263609041913</v>
      </c>
      <c r="CE84" s="59">
        <f t="shared" si="94"/>
        <v>271.78119133009307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29.942008216777907</v>
      </c>
      <c r="CL84" s="21">
        <f>EXP(-LN(2)/25)*CL83+(1-EXP(-LN(2)/25))/(LN(2)/25)*Calculateur!CG84*Calculateur!CI84*VLOOKUP('Données projet'!$B$12,Paramètres!$A$1:$I$89,3,0)*0.475*44/12</f>
        <v>48.104117438397743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78.046125655175643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7.4950142450142421</v>
      </c>
      <c r="CT84" s="12">
        <f>IF('Données projet'!$A$140&gt;35,CT83+CS84-DB83,IF(A84&lt;'Données projet'!$A$140,$CQ$205^A84,IF(A84='Données projet'!$A$140,'Données projet'!$B$140,CT83+CS84-DB83)))</f>
        <v>235.89886039886062</v>
      </c>
      <c r="CU84" s="17">
        <f>CT84*VLOOKUP('Données projet'!$B$13,Paramètres!$A$1:$I$89,3,0)*VLOOKUP('Données projet'!$B$13,Paramètres!$A$1:$I$89,5,0)</f>
        <v>213.44128888888909</v>
      </c>
      <c r="CV84" s="13">
        <f t="shared" si="95"/>
        <v>52.686881026481977</v>
      </c>
      <c r="CW84" s="20">
        <f t="shared" si="67"/>
        <v>463.50656260260456</v>
      </c>
      <c r="CX84" s="59">
        <f t="shared" si="68"/>
        <v>756.83989593593788</v>
      </c>
      <c r="CY84" s="59">
        <f ca="1">AVERAGE(OFFSET($CX$3,0,0,'Données projet'!$E$13+1,1))-AVERAGE(OFFSET($H$3,0,0,'Données projet'!$E$13+1,1))</f>
        <v>280.25710840677186</v>
      </c>
      <c r="CZ84" s="59">
        <f t="shared" si="96"/>
        <v>209.65224013288037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32.120554546283557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32.120554546283557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3.6</v>
      </c>
      <c r="DO84" s="12">
        <f>IF('Données projet'!$A$166&gt;35,DO83+DN84-DW83,IF(A84&lt;'Données projet'!$A$166,$DL$205^A84,IF(A84='Données projet'!$A$166,'Données projet'!$B$166,DO83+DN84-DW83)))</f>
        <v>233.60000000000002</v>
      </c>
      <c r="DP84" s="17">
        <f>DO84*VLOOKUP('Données projet'!$B$14,Paramètres!$A$1:$I$89,3,0)*VLOOKUP('Données projet'!$B$14,Paramètres!$A$1:$I$89,5,0)</f>
        <v>244.15872000000005</v>
      </c>
      <c r="DQ84" s="13">
        <f t="shared" si="97"/>
        <v>59.333402749839792</v>
      </c>
      <c r="DR84" s="20">
        <f t="shared" si="70"/>
        <v>528.58211378930434</v>
      </c>
      <c r="DS84" s="59">
        <f t="shared" si="71"/>
        <v>821.91544712263772</v>
      </c>
      <c r="DT84" s="59">
        <f ca="1">AVERAGE(OFFSET($DS$3,0,0,'Données projet'!$E$14+1,1))-AVERAGE(OFFSET($H$3,0,0,'Données projet'!$E$14+1,1))</f>
        <v>330.14201227773452</v>
      </c>
      <c r="DU84" s="59">
        <f t="shared" si="98"/>
        <v>307.07297894926467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27.12196666236677</v>
      </c>
      <c r="EB84" s="21">
        <f>EXP(-LN(2)/25)*EB83+(1-EXP(-LN(2)/25))/(LN(2)/25)*Calculateur!DW84*Calculateur!DY84*VLOOKUP('Données projet'!$B$14,Paramètres!$A$1:$I$89,3,0)*0.475*44/12</f>
        <v>21.799104365620043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48.921071027986812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3.8</v>
      </c>
      <c r="EJ84" s="12">
        <f>IF('Données projet'!$A$192&gt;35,EJ83+EI84-ER83,IF(A84&lt;'Données projet'!$A$192,$EG$205^A84,IF(A84='Données projet'!$A$192,'Données projet'!$B$192,EJ83+EI84-ER83)))</f>
        <v>231.80000000000007</v>
      </c>
      <c r="EK84" s="17">
        <f>EJ84*VLOOKUP('Données projet'!$B$15,Paramètres!$A$1:$I$89,3,0)*VLOOKUP('Données projet'!$B$15,Paramètres!$A$1:$I$89,5,0)</f>
        <v>151.87536000000003</v>
      </c>
      <c r="EL84" s="13">
        <f t="shared" si="99"/>
        <v>39.004459236504758</v>
      </c>
      <c r="EM84" s="20">
        <f t="shared" si="73"/>
        <v>332.44901850357911</v>
      </c>
      <c r="EN84" s="59">
        <f t="shared" si="74"/>
        <v>625.78235183691243</v>
      </c>
      <c r="EO84" s="59">
        <f ca="1">AVERAGE(OFFSET($EN$3,0,0,'Données projet'!$E$15+1,1))-AVERAGE(OFFSET($H$3,0,0,'Données projet'!$E$15+1,1))</f>
        <v>183.30081488041924</v>
      </c>
      <c r="EP84" s="59">
        <f t="shared" si="100"/>
        <v>199.33099759570928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2.4045594762703981</v>
      </c>
      <c r="EW84" s="21">
        <f>EXP(-LN(2)/25)*EW83+(1-EXP(-LN(2)/25))/(LN(2)/25)*Calculateur!ER84*Calculateur!ET84*VLOOKUP('Données projet'!$B$15,Paramètres!$A$1:$I$89,3,0)*0.475*44/12</f>
        <v>12.482088234529622</v>
      </c>
      <c r="EX84" s="21">
        <f>EXP(-LN(2)/2)*EX83+(1-EXP(-LN(2)/2))/(LN(2)/2)*ER84*EU84*VLOOKUP('Données projet'!$B$15,Paramètres!$A$1:$I$89,3,0)*0.475*44/12</f>
        <v>1.9119174494667739</v>
      </c>
      <c r="EY84" s="22">
        <f t="shared" si="75"/>
        <v>16.798565160266794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12.124038461538468</v>
      </c>
      <c r="N85" s="13">
        <f>IF('Données projet'!$A$36&gt;35,N84+M85-V84,IF(A85&lt;'Données projet'!$A$36,$K$205^A85,IF(A85='Données projet'!$A$36,'Données projet'!$B$36,N84+M85-V84)))</f>
        <v>395.89519230769247</v>
      </c>
      <c r="O85" s="13">
        <f>N85*VLOOKUP('Données projet'!$B$9,Paramètres!$A$1:$I$89,3,0)*VLOOKUP('Données projet'!$B$9,Paramètres!$A$1:$I$89,5,0)</f>
        <v>185.27895000000009</v>
      </c>
      <c r="P85" s="13">
        <f t="shared" si="87"/>
        <v>46.494672172616063</v>
      </c>
      <c r="Q85" s="20">
        <f t="shared" si="54"/>
        <v>403.67239195063979</v>
      </c>
      <c r="R85" s="59">
        <f t="shared" si="55"/>
        <v>697.00572528397311</v>
      </c>
      <c r="S85" s="59">
        <f ca="1">AVERAGE(OFFSET($R$3,0,0,'Données projet'!$E$9+1,1))-AVERAGE(OFFSET($H$3,0,0,'Données projet'!$E$9+1,1))</f>
        <v>205.73717397588365</v>
      </c>
      <c r="T85" s="59">
        <f t="shared" si="88"/>
        <v>190.64998698136026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66.684128604241479</v>
      </c>
      <c r="AA85" s="21">
        <f>EXP(-LN(2)/25)*AA84+(1-EXP(-LN(2)/25))/(LN(2)/25)*Calculateur!V85*Calculateur!X85*VLOOKUP('Données projet'!$B$9,Paramètres!$A$1:$I$89,3,0)*0.475*44/12</f>
        <v>25.336439988367044</v>
      </c>
      <c r="AB85" s="21">
        <f>EXP(-LN(2)/2)*AB84+(1-EXP(-LN(2)/2))/(LN(2)/2)*V85*Y85*VLOOKUP('Données projet'!$B$9,Paramètres!$A$1:$I$89,3,0)*0.475*44/12</f>
        <v>2.0443867336764416</v>
      </c>
      <c r="AC85" s="22">
        <f t="shared" si="57"/>
        <v>94.064955326284974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283.73369613548124</v>
      </c>
      <c r="AO85" s="59">
        <f t="shared" si="90"/>
        <v>249.77804091581208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-6.3550942286383367E-14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278.5296012747549</v>
      </c>
      <c r="BJ85" s="59">
        <f t="shared" si="92"/>
        <v>370.55343097937077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132.78412428634999</v>
      </c>
      <c r="BQ85" s="21">
        <f>EXP(-LN(2)/25)*BQ84+(1-EXP(-LN(2)/25))/(LN(2)/25)*Calculateur!BL85*Calculateur!BN85*VLOOKUP('Données projet'!$B$11,Paramètres!$A$1:$I$89,3,0)*0.475*44/12</f>
        <v>27.250093270709247</v>
      </c>
      <c r="BR85" s="21">
        <f>EXP(-LN(2)/2)*BR84+(1-EXP(-LN(2)/2))/(LN(2)/2)*BL85*BO85*VLOOKUP('Données projet'!$B$11,Paramètres!$A$1:$I$89,3,0)*0.475*44/12</f>
        <v>2.9486925922220567E-3</v>
      </c>
      <c r="BS85" s="22">
        <f t="shared" si="63"/>
        <v>160.03716624965145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-5.6843418860808015E-14</v>
      </c>
      <c r="BZ85" s="13">
        <f>BY85*VLOOKUP('Données projet'!$B$12,Paramètres!$A$1:$I$89,3,0)*VLOOKUP('Données projet'!$B$12,Paramètres!$A$1:$I$89,5,0)</f>
        <v>-3.1036506698001178E-14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159.92263609041913</v>
      </c>
      <c r="CE85" s="59">
        <f t="shared" si="94"/>
        <v>271.78119133009307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29.354863698468602</v>
      </c>
      <c r="CL85" s="21">
        <f>EXP(-LN(2)/25)*CL84+(1-EXP(-LN(2)/25))/(LN(2)/25)*Calculateur!CG85*Calculateur!CI85*VLOOKUP('Données projet'!$B$12,Paramètres!$A$1:$I$89,3,0)*0.475*44/12</f>
        <v>46.788707817359168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76.143571515827773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7.4950142450142421</v>
      </c>
      <c r="CT85" s="12">
        <f>IF('Données projet'!$A$140&gt;35,CT84+CS85-DB84,IF(A85&lt;'Données projet'!$A$140,$CQ$205^A85,IF(A85='Données projet'!$A$140,'Données projet'!$B$140,CT84+CS85-DB84)))</f>
        <v>243.39387464387485</v>
      </c>
      <c r="CU85" s="17">
        <f>CT85*VLOOKUP('Données projet'!$B$13,Paramètres!$A$1:$I$89,3,0)*VLOOKUP('Données projet'!$B$13,Paramètres!$A$1:$I$89,5,0)</f>
        <v>220.22277777777796</v>
      </c>
      <c r="CV85" s="13">
        <f t="shared" si="95"/>
        <v>54.163302517364365</v>
      </c>
      <c r="CW85" s="20">
        <f t="shared" si="67"/>
        <v>477.88908984737282</v>
      </c>
      <c r="CX85" s="59">
        <f t="shared" si="68"/>
        <v>771.22242318070607</v>
      </c>
      <c r="CY85" s="59">
        <f ca="1">AVERAGE(OFFSET($CX$3,0,0,'Données projet'!$E$13+1,1))-AVERAGE(OFFSET($H$3,0,0,'Données projet'!$E$13+1,1))</f>
        <v>280.25710840677186</v>
      </c>
      <c r="CZ85" s="59">
        <f t="shared" si="96"/>
        <v>209.65224013288037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31.490690063234698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31.490690063234698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3.6</v>
      </c>
      <c r="DO85" s="12">
        <f>IF('Données projet'!$A$166&gt;35,DO84+DN85-DW84,IF(A85&lt;'Données projet'!$A$166,$DL$205^A85,IF(A85='Données projet'!$A$166,'Données projet'!$B$166,DO84+DN85-DW84)))</f>
        <v>237.20000000000002</v>
      </c>
      <c r="DP85" s="17">
        <f>DO85*VLOOKUP('Données projet'!$B$14,Paramètres!$A$1:$I$89,3,0)*VLOOKUP('Données projet'!$B$14,Paramètres!$A$1:$I$89,5,0)</f>
        <v>247.92144000000008</v>
      </c>
      <c r="DQ85" s="13">
        <f t="shared" si="97"/>
        <v>60.140632467523915</v>
      </c>
      <c r="DR85" s="20">
        <f t="shared" si="70"/>
        <v>536.54144288093755</v>
      </c>
      <c r="DS85" s="59">
        <f t="shared" si="71"/>
        <v>829.87477621427092</v>
      </c>
      <c r="DT85" s="59">
        <f ca="1">AVERAGE(OFFSET($DS$3,0,0,'Données projet'!$E$14+1,1))-AVERAGE(OFFSET($H$3,0,0,'Données projet'!$E$14+1,1))</f>
        <v>330.14201227773452</v>
      </c>
      <c r="DU85" s="59">
        <f t="shared" si="98"/>
        <v>307.07297894926467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26.590121438883958</v>
      </c>
      <c r="EB85" s="21">
        <f>EXP(-LN(2)/25)*EB84+(1-EXP(-LN(2)/25))/(LN(2)/25)*Calculateur!DW85*Calculateur!DY85*VLOOKUP('Données projet'!$B$14,Paramètres!$A$1:$I$89,3,0)*0.475*44/12</f>
        <v>21.203006710377085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47.793128149261044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3.8</v>
      </c>
      <c r="EJ85" s="12">
        <f>IF('Données projet'!$A$192&gt;35,EJ84+EI85-ER84,IF(A85&lt;'Données projet'!$A$192,$EG$205^A85,IF(A85='Données projet'!$A$192,'Données projet'!$B$192,EJ84+EI85-ER84)))</f>
        <v>235.60000000000008</v>
      </c>
      <c r="EK85" s="17">
        <f>EJ85*VLOOKUP('Données projet'!$B$15,Paramètres!$A$1:$I$89,3,0)*VLOOKUP('Données projet'!$B$15,Paramètres!$A$1:$I$89,5,0)</f>
        <v>154.36512000000005</v>
      </c>
      <c r="EL85" s="13">
        <f t="shared" si="99"/>
        <v>39.568912624848309</v>
      </c>
      <c r="EM85" s="20">
        <f t="shared" si="73"/>
        <v>337.76844015494419</v>
      </c>
      <c r="EN85" s="59">
        <f t="shared" si="74"/>
        <v>631.10177348827756</v>
      </c>
      <c r="EO85" s="59">
        <f ca="1">AVERAGE(OFFSET($EN$3,0,0,'Données projet'!$E$15+1,1))-AVERAGE(OFFSET($H$3,0,0,'Données projet'!$E$15+1,1))</f>
        <v>183.30081488041924</v>
      </c>
      <c r="EP85" s="59">
        <f t="shared" si="100"/>
        <v>199.33099759570928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2.3574075315771976</v>
      </c>
      <c r="EW85" s="21">
        <f>EXP(-LN(2)/25)*EW84+(1-EXP(-LN(2)/25))/(LN(2)/25)*Calculateur!ER85*Calculateur!ET85*VLOOKUP('Données projet'!$B$15,Paramètres!$A$1:$I$89,3,0)*0.475*44/12</f>
        <v>12.140764875351916</v>
      </c>
      <c r="EX85" s="21">
        <f>EXP(-LN(2)/2)*EX84+(1-EXP(-LN(2)/2))/(LN(2)/2)*ER85*EU85*VLOOKUP('Données projet'!$B$15,Paramètres!$A$1:$I$89,3,0)*0.475*44/12</f>
        <v>1.3519297935868442</v>
      </c>
      <c r="EY85" s="22">
        <f t="shared" si="75"/>
        <v>15.850102200515959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12.124038461538468</v>
      </c>
      <c r="N86" s="13">
        <f>IF('Données projet'!$A$36&gt;35,N85+M86-V85,IF(A86&lt;'Données projet'!$A$36,$K$205^A86,IF(A86='Données projet'!$A$36,'Données projet'!$B$36,N85+M86-V85)))</f>
        <v>408.01923076923094</v>
      </c>
      <c r="O86" s="13">
        <f>N86*VLOOKUP('Données projet'!$B$9,Paramètres!$A$1:$I$89,3,0)*VLOOKUP('Données projet'!$B$9,Paramètres!$A$1:$I$89,5,0)</f>
        <v>190.95300000000006</v>
      </c>
      <c r="P86" s="13">
        <f t="shared" si="87"/>
        <v>47.750586229034354</v>
      </c>
      <c r="Q86" s="20">
        <f t="shared" si="54"/>
        <v>415.7420793489016</v>
      </c>
      <c r="R86" s="59">
        <f t="shared" si="55"/>
        <v>709.07541268223486</v>
      </c>
      <c r="S86" s="59">
        <f ca="1">AVERAGE(OFFSET($R$3,0,0,'Données projet'!$E$9+1,1))-AVERAGE(OFFSET($H$3,0,0,'Données projet'!$E$9+1,1))</f>
        <v>205.73717397588365</v>
      </c>
      <c r="T86" s="59">
        <f t="shared" si="88"/>
        <v>190.64998698136026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65.376493515614598</v>
      </c>
      <c r="AA86" s="21">
        <f>EXP(-LN(2)/25)*AA85+(1-EXP(-LN(2)/25))/(LN(2)/25)*Calculateur!V86*Calculateur!X86*VLOOKUP('Données projet'!$B$9,Paramètres!$A$1:$I$89,3,0)*0.475*44/12</f>
        <v>24.643613704499675</v>
      </c>
      <c r="AB86" s="21">
        <f>EXP(-LN(2)/2)*AB85+(1-EXP(-LN(2)/2))/(LN(2)/2)*V86*Y86*VLOOKUP('Données projet'!$B$9,Paramètres!$A$1:$I$89,3,0)*0.475*44/12</f>
        <v>1.4455997227504283</v>
      </c>
      <c r="AC86" s="22">
        <f t="shared" si="57"/>
        <v>91.465706942864699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283.73369613548124</v>
      </c>
      <c r="AO86" s="59">
        <f t="shared" si="90"/>
        <v>249.77804091581208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-6.3550942286383367E-14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278.5296012747549</v>
      </c>
      <c r="BJ86" s="59">
        <f t="shared" si="92"/>
        <v>370.55343097937077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130.18030859941337</v>
      </c>
      <c r="BQ86" s="21">
        <f>EXP(-LN(2)/25)*BQ85+(1-EXP(-LN(2)/25))/(LN(2)/25)*Calculateur!BL86*Calculateur!BN86*VLOOKUP('Données projet'!$B$11,Paramètres!$A$1:$I$89,3,0)*0.475*44/12</f>
        <v>26.50493803720158</v>
      </c>
      <c r="BR86" s="21">
        <f>EXP(-LN(2)/2)*BR85+(1-EXP(-LN(2)/2))/(LN(2)/2)*BL86*BO86*VLOOKUP('Données projet'!$B$11,Paramètres!$A$1:$I$89,3,0)*0.475*44/12</f>
        <v>2.0850405275947555E-3</v>
      </c>
      <c r="BS86" s="22">
        <f t="shared" si="63"/>
        <v>156.68733167714254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-5.6843418860808015E-14</v>
      </c>
      <c r="BZ86" s="13">
        <f>BY86*VLOOKUP('Données projet'!$B$12,Paramètres!$A$1:$I$89,3,0)*VLOOKUP('Données projet'!$B$12,Paramètres!$A$1:$I$89,5,0)</f>
        <v>-3.1036506698001178E-14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159.92263609041913</v>
      </c>
      <c r="CE86" s="59">
        <f t="shared" si="94"/>
        <v>271.78119133009307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28.779232726040547</v>
      </c>
      <c r="CL86" s="21">
        <f>EXP(-LN(2)/25)*CL85+(1-EXP(-LN(2)/25))/(LN(2)/25)*Calculateur!CG86*Calculateur!CI86*VLOOKUP('Données projet'!$B$12,Paramètres!$A$1:$I$89,3,0)*0.475*44/12</f>
        <v>45.509268141582275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74.288500867622815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7.4950142450142421</v>
      </c>
      <c r="CT86" s="12">
        <f>IF('Données projet'!$A$140&gt;35,CT85+CS86-DB85,IF(A86&lt;'Données projet'!$A$140,$CQ$205^A86,IF(A86='Données projet'!$A$140,'Données projet'!$B$140,CT85+CS86-DB85)))</f>
        <v>250.88888888888908</v>
      </c>
      <c r="CU86" s="17">
        <f>CT86*VLOOKUP('Données projet'!$B$13,Paramètres!$A$1:$I$89,3,0)*VLOOKUP('Données projet'!$B$13,Paramètres!$A$1:$I$89,5,0)</f>
        <v>227.00426666666684</v>
      </c>
      <c r="CV86" s="13">
        <f t="shared" si="95"/>
        <v>55.634440522110118</v>
      </c>
      <c r="CW86" s="20">
        <f t="shared" si="67"/>
        <v>492.26241502045315</v>
      </c>
      <c r="CX86" s="59">
        <f t="shared" si="68"/>
        <v>785.59574835378646</v>
      </c>
      <c r="CY86" s="59">
        <f ca="1">AVERAGE(OFFSET($CX$3,0,0,'Données projet'!$E$13+1,1))-AVERAGE(OFFSET($H$3,0,0,'Données projet'!$E$13+1,1))</f>
        <v>280.25710840677186</v>
      </c>
      <c r="CZ86" s="59">
        <f t="shared" si="96"/>
        <v>209.65224013288037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30.873176838519029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30.873176838519029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3.6</v>
      </c>
      <c r="DO86" s="12">
        <f>IF('Données projet'!$A$166&gt;35,DO85+DN86-DW85,IF(A86&lt;'Données projet'!$A$166,$DL$205^A86,IF(A86='Données projet'!$A$166,'Données projet'!$B$166,DO85+DN86-DW85)))</f>
        <v>240.8</v>
      </c>
      <c r="DP86" s="17">
        <f>DO86*VLOOKUP('Données projet'!$B$14,Paramètres!$A$1:$I$89,3,0)*VLOOKUP('Données projet'!$B$14,Paramètres!$A$1:$I$89,5,0)</f>
        <v>251.68416000000002</v>
      </c>
      <c r="DQ86" s="13">
        <f t="shared" si="97"/>
        <v>60.946437325817293</v>
      </c>
      <c r="DR86" s="20">
        <f t="shared" si="70"/>
        <v>544.49829034246511</v>
      </c>
      <c r="DS86" s="59">
        <f t="shared" si="71"/>
        <v>837.83162367579848</v>
      </c>
      <c r="DT86" s="59">
        <f ca="1">AVERAGE(OFFSET($DS$3,0,0,'Données projet'!$E$14+1,1))-AVERAGE(OFFSET($H$3,0,0,'Données projet'!$E$14+1,1))</f>
        <v>330.14201227773452</v>
      </c>
      <c r="DU86" s="59">
        <f t="shared" si="98"/>
        <v>307.07297894926467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26.068705375840089</v>
      </c>
      <c r="EB86" s="21">
        <f>EXP(-LN(2)/25)*EB85+(1-EXP(-LN(2)/25))/(LN(2)/25)*Calculateur!DW86*Calculateur!DY86*VLOOKUP('Données projet'!$B$14,Paramètres!$A$1:$I$89,3,0)*0.475*44/12</f>
        <v>20.62320937686416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46.69191475270425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3.8</v>
      </c>
      <c r="EJ86" s="12">
        <f>IF('Données projet'!$A$192&gt;35,EJ85+EI86-ER85,IF(A86&lt;'Données projet'!$A$192,$EG$205^A86,IF(A86='Données projet'!$A$192,'Données projet'!$B$192,EJ85+EI86-ER85)))</f>
        <v>239.40000000000009</v>
      </c>
      <c r="EK86" s="17">
        <f>EJ86*VLOOKUP('Données projet'!$B$15,Paramètres!$A$1:$I$89,3,0)*VLOOKUP('Données projet'!$B$15,Paramètres!$A$1:$I$89,5,0)</f>
        <v>156.85488000000007</v>
      </c>
      <c r="EL86" s="13">
        <f t="shared" si="99"/>
        <v>40.132307243083858</v>
      </c>
      <c r="EM86" s="20">
        <f t="shared" si="73"/>
        <v>343.08601778170447</v>
      </c>
      <c r="EN86" s="59">
        <f t="shared" si="74"/>
        <v>636.41935111503778</v>
      </c>
      <c r="EO86" s="59">
        <f ca="1">AVERAGE(OFFSET($EN$3,0,0,'Données projet'!$E$15+1,1))-AVERAGE(OFFSET($H$3,0,0,'Données projet'!$E$15+1,1))</f>
        <v>183.30081488041924</v>
      </c>
      <c r="EP86" s="59">
        <f t="shared" si="100"/>
        <v>199.33099759570928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2.3111802077595844</v>
      </c>
      <c r="EW86" s="21">
        <f>EXP(-LN(2)/25)*EW85+(1-EXP(-LN(2)/25))/(LN(2)/25)*Calculateur!ER86*Calculateur!ET86*VLOOKUP('Données projet'!$B$15,Paramètres!$A$1:$I$89,3,0)*0.475*44/12</f>
        <v>11.808775021380342</v>
      </c>
      <c r="EX86" s="21">
        <f>EXP(-LN(2)/2)*EX85+(1-EXP(-LN(2)/2))/(LN(2)/2)*ER86*EU86*VLOOKUP('Données projet'!$B$15,Paramètres!$A$1:$I$89,3,0)*0.475*44/12</f>
        <v>0.95595872473338706</v>
      </c>
      <c r="EY86" s="22">
        <f t="shared" si="75"/>
        <v>15.075913953873313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12.124038461538468</v>
      </c>
      <c r="N87" s="13">
        <f>IF('Données projet'!$A$36&gt;35,N86+M87-V86,IF(A87&lt;'Données projet'!$A$36,$K$205^A87,IF(A87='Données projet'!$A$36,'Données projet'!$B$36,N86+M87-V86)))</f>
        <v>420.14326923076942</v>
      </c>
      <c r="O87" s="13">
        <f>N87*VLOOKUP('Données projet'!$B$9,Paramètres!$A$1:$I$89,3,0)*VLOOKUP('Données projet'!$B$9,Paramètres!$A$1:$I$89,5,0)</f>
        <v>196.62705000000008</v>
      </c>
      <c r="P87" s="13">
        <f t="shared" si="87"/>
        <v>49.002163217129386</v>
      </c>
      <c r="Q87" s="20">
        <f t="shared" si="54"/>
        <v>427.80421301983375</v>
      </c>
      <c r="R87" s="59">
        <f t="shared" si="55"/>
        <v>721.13754635316707</v>
      </c>
      <c r="S87" s="59">
        <f ca="1">AVERAGE(OFFSET($R$3,0,0,'Données projet'!$E$9+1,1))-AVERAGE(OFFSET($H$3,0,0,'Données projet'!$E$9+1,1))</f>
        <v>205.73717397588365</v>
      </c>
      <c r="T87" s="59">
        <f t="shared" si="88"/>
        <v>190.64998698136026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64.09450035349704</v>
      </c>
      <c r="AA87" s="21">
        <f>EXP(-LN(2)/25)*AA86+(1-EXP(-LN(2)/25))/(LN(2)/25)*Calculateur!V87*Calculateur!X87*VLOOKUP('Données projet'!$B$9,Paramètres!$A$1:$I$89,3,0)*0.475*44/12</f>
        <v>23.969732791798812</v>
      </c>
      <c r="AB87" s="21">
        <f>EXP(-LN(2)/2)*AB86+(1-EXP(-LN(2)/2))/(LN(2)/2)*V87*Y87*VLOOKUP('Données projet'!$B$9,Paramètres!$A$1:$I$89,3,0)*0.475*44/12</f>
        <v>1.0221933668382208</v>
      </c>
      <c r="AC87" s="22">
        <f t="shared" si="57"/>
        <v>89.086426512134068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283.73369613548124</v>
      </c>
      <c r="AO87" s="59">
        <f t="shared" si="90"/>
        <v>249.77804091581208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-6.3550942286383367E-14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278.5296012747549</v>
      </c>
      <c r="BJ87" s="59">
        <f t="shared" si="92"/>
        <v>370.55343097937077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127.6275521499268</v>
      </c>
      <c r="BQ87" s="21">
        <f>EXP(-LN(2)/25)*BQ86+(1-EXP(-LN(2)/25))/(LN(2)/25)*Calculateur!BL87*Calculateur!BN87*VLOOKUP('Données projet'!$B$11,Paramètres!$A$1:$I$89,3,0)*0.475*44/12</f>
        <v>25.78015911274019</v>
      </c>
      <c r="BR87" s="21">
        <f>EXP(-LN(2)/2)*BR86+(1-EXP(-LN(2)/2))/(LN(2)/2)*BL87*BO87*VLOOKUP('Données projet'!$B$11,Paramètres!$A$1:$I$89,3,0)*0.475*44/12</f>
        <v>1.4743462961110284E-3</v>
      </c>
      <c r="BS87" s="22">
        <f t="shared" si="63"/>
        <v>153.4091856089631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-5.6843418860808015E-14</v>
      </c>
      <c r="BZ87" s="13">
        <f>BY87*VLOOKUP('Données projet'!$B$12,Paramètres!$A$1:$I$89,3,0)*VLOOKUP('Données projet'!$B$12,Paramètres!$A$1:$I$89,5,0)</f>
        <v>-3.1036506698001178E-14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159.92263609041913</v>
      </c>
      <c r="CE87" s="59">
        <f t="shared" si="94"/>
        <v>271.78119133009307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28.214889525881581</v>
      </c>
      <c r="CL87" s="21">
        <f>EXP(-LN(2)/25)*CL86+(1-EXP(-LN(2)/25))/(LN(2)/25)*Calculateur!CG87*Calculateur!CI87*VLOOKUP('Données projet'!$B$12,Paramètres!$A$1:$I$89,3,0)*0.475*44/12</f>
        <v>44.264814811022312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72.479704336903893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7.4950142450142421</v>
      </c>
      <c r="CT87" s="12">
        <f>IF('Données projet'!$A$140&gt;35,CT86+CS87-DB86,IF(A87&lt;'Données projet'!$A$140,$CQ$205^A87,IF(A87='Données projet'!$A$140,'Données projet'!$B$140,CT86+CS87-DB86)))</f>
        <v>258.38390313390335</v>
      </c>
      <c r="CU87" s="17">
        <f>CT87*VLOOKUP('Données projet'!$B$13,Paramètres!$A$1:$I$89,3,0)*VLOOKUP('Données projet'!$B$13,Paramètres!$A$1:$I$89,5,0)</f>
        <v>233.78575555555574</v>
      </c>
      <c r="CV87" s="13">
        <f t="shared" si="95"/>
        <v>57.10047099813341</v>
      </c>
      <c r="CW87" s="20">
        <f t="shared" si="67"/>
        <v>506.62684458100858</v>
      </c>
      <c r="CX87" s="59">
        <f t="shared" si="68"/>
        <v>799.9601779143419</v>
      </c>
      <c r="CY87" s="59">
        <f ca="1">AVERAGE(OFFSET($CX$3,0,0,'Données projet'!$E$13+1,1))-AVERAGE(OFFSET($H$3,0,0,'Données projet'!$E$13+1,1))</f>
        <v>280.25710840677186</v>
      </c>
      <c r="CZ87" s="59">
        <f t="shared" si="96"/>
        <v>209.65224013288037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30.267772671494157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30.267772671494157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3.6</v>
      </c>
      <c r="DO87" s="12">
        <f>IF('Données projet'!$A$166&gt;35,DO86+DN87-DW86,IF(A87&lt;'Données projet'!$A$166,$DL$205^A87,IF(A87='Données projet'!$A$166,'Données projet'!$B$166,DO86+DN87-DW86)))</f>
        <v>244.4</v>
      </c>
      <c r="DP87" s="17">
        <f>DO87*VLOOKUP('Données projet'!$B$14,Paramètres!$A$1:$I$89,3,0)*VLOOKUP('Données projet'!$B$14,Paramètres!$A$1:$I$89,5,0)</f>
        <v>255.44688000000005</v>
      </c>
      <c r="DQ87" s="13">
        <f t="shared" si="97"/>
        <v>61.750841087245945</v>
      </c>
      <c r="DR87" s="20">
        <f t="shared" si="70"/>
        <v>552.45269756028677</v>
      </c>
      <c r="DS87" s="59">
        <f t="shared" si="71"/>
        <v>845.78603089362014</v>
      </c>
      <c r="DT87" s="59">
        <f ca="1">AVERAGE(OFFSET($DS$3,0,0,'Données projet'!$E$14+1,1))-AVERAGE(OFFSET($H$3,0,0,'Données projet'!$E$14+1,1))</f>
        <v>330.14201227773452</v>
      </c>
      <c r="DU87" s="59">
        <f t="shared" si="98"/>
        <v>307.07297894926467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25.557513963760115</v>
      </c>
      <c r="EB87" s="21">
        <f>EXP(-LN(2)/25)*EB86+(1-EXP(-LN(2)/25))/(LN(2)/25)*Calculateur!DW87*Calculateur!DY87*VLOOKUP('Données projet'!$B$14,Paramètres!$A$1:$I$89,3,0)*0.475*44/12</f>
        <v>20.059266631926363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45.616780595686478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3.8</v>
      </c>
      <c r="EJ87" s="12">
        <f>IF('Données projet'!$A$192&gt;35,EJ86+EI87-ER86,IF(A87&lt;'Données projet'!$A$192,$EG$205^A87,IF(A87='Données projet'!$A$192,'Données projet'!$B$192,EJ86+EI87-ER86)))</f>
        <v>243.2000000000001</v>
      </c>
      <c r="EK87" s="17">
        <f>EJ87*VLOOKUP('Données projet'!$B$15,Paramètres!$A$1:$I$89,3,0)*VLOOKUP('Données projet'!$B$15,Paramètres!$A$1:$I$89,5,0)</f>
        <v>159.34464000000006</v>
      </c>
      <c r="EL87" s="13">
        <f t="shared" si="99"/>
        <v>40.694661837553809</v>
      </c>
      <c r="EM87" s="20">
        <f t="shared" si="73"/>
        <v>348.40178403373966</v>
      </c>
      <c r="EN87" s="59">
        <f t="shared" si="74"/>
        <v>641.73511736707292</v>
      </c>
      <c r="EO87" s="59">
        <f ca="1">AVERAGE(OFFSET($EN$3,0,0,'Données projet'!$E$15+1,1))-AVERAGE(OFFSET($H$3,0,0,'Données projet'!$E$15+1,1))</f>
        <v>183.30081488041924</v>
      </c>
      <c r="EP87" s="59">
        <f t="shared" si="100"/>
        <v>199.33099759570928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2.2658593735661512</v>
      </c>
      <c r="EW87" s="21">
        <f>EXP(-LN(2)/25)*EW86+(1-EXP(-LN(2)/25))/(LN(2)/25)*Calculateur!ER87*Calculateur!ET87*VLOOKUP('Données projet'!$B$15,Paramètres!$A$1:$I$89,3,0)*0.475*44/12</f>
        <v>11.485863447424208</v>
      </c>
      <c r="EX87" s="21">
        <f>EXP(-LN(2)/2)*EX86+(1-EXP(-LN(2)/2))/(LN(2)/2)*ER87*EU87*VLOOKUP('Données projet'!$B$15,Paramètres!$A$1:$I$89,3,0)*0.475*44/12</f>
        <v>0.6759648967934222</v>
      </c>
      <c r="EY87" s="22">
        <f t="shared" si="75"/>
        <v>14.427687717783781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12.124038461538468</v>
      </c>
      <c r="N88" s="13">
        <f>IF('Données projet'!$A$36&gt;35,N87+M88-V87,IF(A88&lt;'Données projet'!$A$36,$K$205^A88,IF(A88='Données projet'!$A$36,'Données projet'!$B$36,N87+M88-V87)))</f>
        <v>432.2673076923079</v>
      </c>
      <c r="O88" s="13">
        <f>N88*VLOOKUP('Données projet'!$B$9,Paramètres!$A$1:$I$89,3,0)*VLOOKUP('Données projet'!$B$9,Paramètres!$A$1:$I$89,5,0)</f>
        <v>202.3011000000001</v>
      </c>
      <c r="P88" s="13">
        <f t="shared" si="87"/>
        <v>50.249542664134772</v>
      </c>
      <c r="Q88" s="20">
        <f t="shared" si="54"/>
        <v>439.85903597336824</v>
      </c>
      <c r="R88" s="59">
        <f t="shared" si="55"/>
        <v>733.19236930670149</v>
      </c>
      <c r="S88" s="59">
        <f ca="1">AVERAGE(OFFSET($R$3,0,0,'Données projet'!$E$9+1,1))-AVERAGE(OFFSET($H$3,0,0,'Données projet'!$E$9+1,1))</f>
        <v>205.73717397588365</v>
      </c>
      <c r="T88" s="59">
        <f t="shared" si="88"/>
        <v>190.64998698136026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62.837646295349991</v>
      </c>
      <c r="AA88" s="21">
        <f>EXP(-LN(2)/25)*AA87+(1-EXP(-LN(2)/25))/(LN(2)/25)*Calculateur!V88*Calculateur!X88*VLOOKUP('Données projet'!$B$9,Paramètres!$A$1:$I$89,3,0)*0.475*44/12</f>
        <v>23.314279188093611</v>
      </c>
      <c r="AB88" s="21">
        <f>EXP(-LN(2)/2)*AB87+(1-EXP(-LN(2)/2))/(LN(2)/2)*V88*Y88*VLOOKUP('Données projet'!$B$9,Paramètres!$A$1:$I$89,3,0)*0.475*44/12</f>
        <v>0.72279986137521413</v>
      </c>
      <c r="AC88" s="22">
        <f t="shared" si="57"/>
        <v>86.874725344818813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283.73369613548124</v>
      </c>
      <c r="AO88" s="59">
        <f t="shared" si="90"/>
        <v>249.77804091581208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-6.3550942286383367E-14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278.5296012747549</v>
      </c>
      <c r="BJ88" s="59">
        <f t="shared" si="92"/>
        <v>370.55343097937077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125.12485369738698</v>
      </c>
      <c r="BQ88" s="21">
        <f>EXP(-LN(2)/25)*BQ87+(1-EXP(-LN(2)/25))/(LN(2)/25)*Calculateur!BL88*Calculateur!BN88*VLOOKUP('Données projet'!$B$11,Paramètres!$A$1:$I$89,3,0)*0.475*44/12</f>
        <v>25.075199306082663</v>
      </c>
      <c r="BR88" s="21">
        <f>EXP(-LN(2)/2)*BR87+(1-EXP(-LN(2)/2))/(LN(2)/2)*BL88*BO88*VLOOKUP('Données projet'!$B$11,Paramètres!$A$1:$I$89,3,0)*0.475*44/12</f>
        <v>1.0425202637973777E-3</v>
      </c>
      <c r="BS88" s="22">
        <f t="shared" si="63"/>
        <v>150.20109552373344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-5.6843418860808015E-14</v>
      </c>
      <c r="BZ88" s="13">
        <f>BY88*VLOOKUP('Données projet'!$B$12,Paramètres!$A$1:$I$89,3,0)*VLOOKUP('Données projet'!$B$12,Paramètres!$A$1:$I$89,5,0)</f>
        <v>-3.1036506698001178E-14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159.92263609041913</v>
      </c>
      <c r="CE88" s="59">
        <f t="shared" si="94"/>
        <v>271.78119133009307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27.661612751662368</v>
      </c>
      <c r="CL88" s="21">
        <f>EXP(-LN(2)/25)*CL87+(1-EXP(-LN(2)/25))/(LN(2)/25)*Calculateur!CG88*Calculateur!CI88*VLOOKUP('Données projet'!$B$12,Paramètres!$A$1:$I$89,3,0)*0.475*44/12</f>
        <v>43.054391122229461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70.716003873891822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7.4950142450142421</v>
      </c>
      <c r="CT88" s="12">
        <f>IF('Données projet'!$A$140&gt;35,CT87+CS88-DB87,IF(A88&lt;'Données projet'!$A$140,$CQ$205^A88,IF(A88='Données projet'!$A$140,'Données projet'!$B$140,CT87+CS88-DB87)))</f>
        <v>265.87891737891761</v>
      </c>
      <c r="CU88" s="17">
        <f>CT88*VLOOKUP('Données projet'!$B$13,Paramètres!$A$1:$I$89,3,0)*VLOOKUP('Données projet'!$B$13,Paramètres!$A$1:$I$89,5,0)</f>
        <v>240.56724444444464</v>
      </c>
      <c r="CV88" s="13">
        <f t="shared" si="95"/>
        <v>58.5615591142816</v>
      </c>
      <c r="CW88" s="20">
        <f t="shared" si="67"/>
        <v>520.98266619811488</v>
      </c>
      <c r="CX88" s="59">
        <f t="shared" si="68"/>
        <v>814.31599953144814</v>
      </c>
      <c r="CY88" s="59">
        <f ca="1">AVERAGE(OFFSET($CX$3,0,0,'Données projet'!$E$13+1,1))-AVERAGE(OFFSET($H$3,0,0,'Données projet'!$E$13+1,1))</f>
        <v>280.25710840677186</v>
      </c>
      <c r="CZ88" s="59">
        <f t="shared" si="96"/>
        <v>209.65224013288037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29.674240110924561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29.674240110924561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248</v>
      </c>
      <c r="DM88" s="12">
        <f>VLOOKUP(A88,'Données projet'!$A$165:$I$185,9,0)</f>
        <v>3.6</v>
      </c>
      <c r="DN88" s="12">
        <f t="array" ref="DN88">INDEX(DM:DM,MIN(IF(ISNUMBER(DM88:DM284),ROW(DM88:DM284),"")))</f>
        <v>3.6</v>
      </c>
      <c r="DO88" s="12">
        <f>IF('Données projet'!$A$166&gt;35,DO87+DN88-DW87,IF(A88&lt;'Données projet'!$A$166,$DL$205^A88,IF(A88='Données projet'!$A$166,'Données projet'!$B$166,DO87+DN88-DW87)))</f>
        <v>248</v>
      </c>
      <c r="DP88" s="17">
        <f>DO88*VLOOKUP('Données projet'!$B$14,Paramètres!$A$1:$I$89,3,0)*VLOOKUP('Données projet'!$B$14,Paramètres!$A$1:$I$89,5,0)</f>
        <v>259.20960000000002</v>
      </c>
      <c r="DQ88" s="13">
        <f t="shared" si="97"/>
        <v>62.553866774106702</v>
      </c>
      <c r="DR88" s="20">
        <f t="shared" si="70"/>
        <v>560.40470463156919</v>
      </c>
      <c r="DS88" s="59">
        <f t="shared" si="71"/>
        <v>853.73803796490256</v>
      </c>
      <c r="DT88" s="59">
        <f ca="1">AVERAGE(OFFSET($DS$3,0,0,'Données projet'!$E$14+1,1))-AVERAGE(OFFSET($H$3,0,0,'Données projet'!$E$14+1,1))</f>
        <v>330.14201227773452</v>
      </c>
      <c r="DU88" s="59">
        <f t="shared" si="98"/>
        <v>307.07297894926467</v>
      </c>
      <c r="DV88" s="15">
        <f>IF(ISNA(VLOOKUP(A88,'Données projet'!$A$165:$I$185,3,0)),0,VLOOKUP(A88,'Données projet'!$A$165:$I$185,3,0))</f>
        <v>14</v>
      </c>
      <c r="DW88" s="15" t="str">
        <f>IF(ISNA(VLOOKUP(A88,'Données projet'!$A$165:$I$185,4,0)),0,VLOOKUP(A88,'Données projet'!$A$165:$I$185,4,0))</f>
        <v>14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0.129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29.229787461639532</v>
      </c>
      <c r="EB88" s="21">
        <f>EXP(-LN(2)/25)*EB87+(1-EXP(-LN(2)/25))/(LN(2)/25)*Calculateur!DW88*Calculateur!DY88*VLOOKUP('Données projet'!$B$14,Paramètres!$A$1:$I$89,3,0)*0.475*44/12</f>
        <v>21.589249096852345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50.819036558491874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247</v>
      </c>
      <c r="EH88" s="12">
        <f>VLOOKUP(A88,'Données projet'!$A$191:$I$211,9,0)</f>
        <v>3.8</v>
      </c>
      <c r="EI88" s="12">
        <f t="array" ref="EI88">INDEX(EH:EH,MIN(IF(ISNUMBER(EH88:EH284),ROW(EH88:EH284),"")))</f>
        <v>3.8</v>
      </c>
      <c r="EJ88" s="12">
        <f>IF('Données projet'!$A$192&gt;35,EJ87+EI88-ER87,IF(A88&lt;'Données projet'!$A$192,$EG$205^A88,IF(A88='Données projet'!$A$192,'Données projet'!$B$192,EJ87+EI88-ER87)))</f>
        <v>247.00000000000011</v>
      </c>
      <c r="EK88" s="17">
        <f>EJ88*VLOOKUP('Données projet'!$B$15,Paramètres!$A$1:$I$89,3,0)*VLOOKUP('Données projet'!$B$15,Paramètres!$A$1:$I$89,5,0)</f>
        <v>161.83440000000007</v>
      </c>
      <c r="EL88" s="13">
        <f t="shared" si="99"/>
        <v>41.255994535170515</v>
      </c>
      <c r="EM88" s="20">
        <f t="shared" si="73"/>
        <v>353.71577048208877</v>
      </c>
      <c r="EN88" s="59">
        <f t="shared" si="74"/>
        <v>647.04910381542209</v>
      </c>
      <c r="EO88" s="59">
        <f ca="1">AVERAGE(OFFSET($EN$3,0,0,'Données projet'!$E$15+1,1))-AVERAGE(OFFSET($H$3,0,0,'Données projet'!$E$15+1,1))</f>
        <v>183.30081488041924</v>
      </c>
      <c r="EP88" s="59">
        <f t="shared" si="100"/>
        <v>199.33099759570928</v>
      </c>
      <c r="EQ88" s="15">
        <f>IF(ISNA(VLOOKUP(A88,'Données projet'!$A$191:$I$211,3,0)),0,VLOOKUP(A88,'Données projet'!$A$191:$I$211,3,0))</f>
        <v>16</v>
      </c>
      <c r="ER88" s="15">
        <f>IF(ISNA(VLOOKUP(A88,'Données projet'!$A$191:$I$211,4,0)),0,VLOOKUP(A88,'Données projet'!$A$191:$I$211,4,0))</f>
        <v>15</v>
      </c>
      <c r="ES88" s="16">
        <f>IF(ISNA(VLOOKUP(A88,'Données projet'!$A$191:$I$211,5,0)),0%,VLOOKUP(A88,'Données projet'!$A$191:$I$211,5,0)*VLOOKUP('Données projet'!$B$15,Paramètres!$A$1:$I$89,7,0))</f>
        <v>8.6000000000000007E-2</v>
      </c>
      <c r="ET88" s="16">
        <f>IF(ISNA(VLOOKUP(A88,'Données projet'!$A$191:$I$211,6,0)),0%,VLOOKUP(A88,'Données projet'!$A$191:$I$211,6,0)*VLOOKUP('Données projet'!$B$15,Paramètres!$A$1:$I$89,7,0))</f>
        <v>0.215</v>
      </c>
      <c r="EU88" s="16">
        <f>IF(ISNA(VLOOKUP(A88,'Données projet'!$A$191:$I$211,7,0)),0%,VLOOKUP(A88,'Données projet'!$A$191:$I$211,7,0))</f>
        <v>0.2</v>
      </c>
      <c r="EV88" s="21">
        <f>EXP(-LN(2)/35)*EV87+(1-EXP(-LN(2)/35))/(LN(2)/35)*ER88*ES88*VLOOKUP('Données projet'!$B$15,Paramètres!$A$1:$I$89,3,0)*0.475*44/12</f>
        <v>3.1557796618325575</v>
      </c>
      <c r="EW88" s="21">
        <f>EXP(-LN(2)/25)*EW87+(1-EXP(-LN(2)/25))/(LN(2)/25)*Calculateur!ER88*Calculateur!ET88*VLOOKUP('Données projet'!$B$15,Paramètres!$A$1:$I$89,3,0)*0.475*44/12</f>
        <v>13.498465675178256</v>
      </c>
      <c r="EX88" s="21">
        <f>EXP(-LN(2)/2)*EX87+(1-EXP(-LN(2)/2))/(LN(2)/2)*ER88*EU88*VLOOKUP('Données projet'!$B$15,Paramètres!$A$1:$I$89,3,0)*0.475*44/12</f>
        <v>2.3325758657150448</v>
      </c>
      <c r="EY88" s="22">
        <f t="shared" si="75"/>
        <v>18.986821202725856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12.124038461538468</v>
      </c>
      <c r="N89" s="13">
        <f>IF('Données projet'!$A$36&gt;35,N88+M89-V88,IF(A89&lt;'Données projet'!$A$36,$K$205^A89,IF(A89='Données projet'!$A$36,'Données projet'!$B$36,N88+M89-V88)))</f>
        <v>444.39134615384637</v>
      </c>
      <c r="O89" s="13">
        <f>N89*VLOOKUP('Données projet'!$B$9,Paramètres!$A$1:$I$89,3,0)*VLOOKUP('Données projet'!$B$9,Paramètres!$A$1:$I$89,5,0)</f>
        <v>207.9751500000001</v>
      </c>
      <c r="P89" s="13">
        <f t="shared" si="87"/>
        <v>51.492855825196166</v>
      </c>
      <c r="Q89" s="20">
        <f t="shared" si="54"/>
        <v>451.90677681221678</v>
      </c>
      <c r="R89" s="59">
        <f t="shared" si="55"/>
        <v>745.24011014555003</v>
      </c>
      <c r="S89" s="59">
        <f ca="1">AVERAGE(OFFSET($R$3,0,0,'Données projet'!$E$9+1,1))-AVERAGE(OFFSET($H$3,0,0,'Données projet'!$E$9+1,1))</f>
        <v>205.73717397588365</v>
      </c>
      <c r="T89" s="59">
        <f t="shared" si="88"/>
        <v>190.64998698136026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61.605438378677924</v>
      </c>
      <c r="AA89" s="21">
        <f>EXP(-LN(2)/25)*AA88+(1-EXP(-LN(2)/25))/(LN(2)/25)*Calculateur!V89*Calculateur!X89*VLOOKUP('Données projet'!$B$9,Paramètres!$A$1:$I$89,3,0)*0.475*44/12</f>
        <v>22.676748997650535</v>
      </c>
      <c r="AB89" s="21">
        <f>EXP(-LN(2)/2)*AB88+(1-EXP(-LN(2)/2))/(LN(2)/2)*V89*Y89*VLOOKUP('Données projet'!$B$9,Paramètres!$A$1:$I$89,3,0)*0.475*44/12</f>
        <v>0.51109668341911041</v>
      </c>
      <c r="AC89" s="22">
        <f t="shared" si="57"/>
        <v>84.793284059747577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283.73369613548124</v>
      </c>
      <c r="AO89" s="59">
        <f t="shared" si="90"/>
        <v>249.77804091581208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-6.3550942286383367E-14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278.5296012747549</v>
      </c>
      <c r="BJ89" s="59">
        <f t="shared" si="92"/>
        <v>370.55343097937077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122.67123163500614</v>
      </c>
      <c r="BQ89" s="21">
        <f>EXP(-LN(2)/25)*BQ88+(1-EXP(-LN(2)/25))/(LN(2)/25)*Calculateur!BL89*Calculateur!BN89*VLOOKUP('Données projet'!$B$11,Paramètres!$A$1:$I$89,3,0)*0.475*44/12</f>
        <v>24.389516662410411</v>
      </c>
      <c r="BR89" s="21">
        <f>EXP(-LN(2)/2)*BR88+(1-EXP(-LN(2)/2))/(LN(2)/2)*BL89*BO89*VLOOKUP('Données projet'!$B$11,Paramètres!$A$1:$I$89,3,0)*0.475*44/12</f>
        <v>7.3717314805551418E-4</v>
      </c>
      <c r="BS89" s="22">
        <f t="shared" si="63"/>
        <v>147.06148547056461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-5.6843418860808015E-14</v>
      </c>
      <c r="BZ89" s="13">
        <f>BY89*VLOOKUP('Données projet'!$B$12,Paramètres!$A$1:$I$89,3,0)*VLOOKUP('Données projet'!$B$12,Paramètres!$A$1:$I$89,5,0)</f>
        <v>-3.1036506698001178E-14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159.92263609041913</v>
      </c>
      <c r="CE89" s="59">
        <f t="shared" si="94"/>
        <v>271.78119133009307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27.119185397520084</v>
      </c>
      <c r="CL89" s="21">
        <f>EXP(-LN(2)/25)*CL88+(1-EXP(-LN(2)/25))/(LN(2)/25)*Calculateur!CG89*Calculateur!CI89*VLOOKUP('Données projet'!$B$12,Paramètres!$A$1:$I$89,3,0)*0.475*44/12</f>
        <v>41.87706653286007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68.996251930380154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7.4950142450142421</v>
      </c>
      <c r="CT89" s="12">
        <f>IF('Données projet'!$A$140&gt;35,CT88+CS89-DB88,IF(A89&lt;'Données projet'!$A$140,$CQ$205^A89,IF(A89='Données projet'!$A$140,'Données projet'!$B$140,CT88+CS89-DB88)))</f>
        <v>273.37393162393187</v>
      </c>
      <c r="CU89" s="17">
        <f>CT89*VLOOKUP('Données projet'!$B$13,Paramètres!$A$1:$I$89,3,0)*VLOOKUP('Données projet'!$B$13,Paramètres!$A$1:$I$89,5,0)</f>
        <v>247.34873333333351</v>
      </c>
      <c r="CV89" s="13">
        <f t="shared" si="95"/>
        <v>60.017860197565874</v>
      </c>
      <c r="CW89" s="20">
        <f t="shared" si="67"/>
        <v>535.33015039964971</v>
      </c>
      <c r="CX89" s="59">
        <f t="shared" si="68"/>
        <v>828.66348373298297</v>
      </c>
      <c r="CY89" s="59">
        <f ca="1">AVERAGE(OFFSET($CX$3,0,0,'Données projet'!$E$13+1,1))-AVERAGE(OFFSET($H$3,0,0,'Données projet'!$E$13+1,1))</f>
        <v>280.25710840677186</v>
      </c>
      <c r="CZ89" s="59">
        <f t="shared" si="96"/>
        <v>209.65224013288037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29.09234636184862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29.09234636184862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</v>
      </c>
      <c r="DO89" s="12">
        <f>IF('Données projet'!$A$166&gt;35,DO88+DN89-DW88,IF(A89&lt;'Données projet'!$A$166,$DL$205^A89,IF(A89='Données projet'!$A$166,'Données projet'!$B$166,DO88+DN89-DW88)))</f>
        <v>237</v>
      </c>
      <c r="DP89" s="17">
        <f>DO89*VLOOKUP('Données projet'!$B$14,Paramètres!$A$1:$I$89,3,0)*VLOOKUP('Données projet'!$B$14,Paramètres!$A$1:$I$89,5,0)</f>
        <v>247.71240000000003</v>
      </c>
      <c r="DQ89" s="13">
        <f t="shared" si="97"/>
        <v>60.095823975624157</v>
      </c>
      <c r="DR89" s="20">
        <f t="shared" si="70"/>
        <v>536.099323424212</v>
      </c>
      <c r="DS89" s="59">
        <f t="shared" si="71"/>
        <v>829.43265675754537</v>
      </c>
      <c r="DT89" s="59">
        <f ca="1">AVERAGE(OFFSET($DS$3,0,0,'Données projet'!$E$14+1,1))-AVERAGE(OFFSET($H$3,0,0,'Données projet'!$E$14+1,1))</f>
        <v>330.14201227773452</v>
      </c>
      <c r="DU89" s="59">
        <f t="shared" si="98"/>
        <v>307.07297894926467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28.656609157926724</v>
      </c>
      <c r="EB89" s="21">
        <f>EXP(-LN(2)/25)*EB88+(1-EXP(-LN(2)/25))/(LN(2)/25)*Calculateur!DW89*Calculateur!DY89*VLOOKUP('Données projet'!$B$14,Paramètres!$A$1:$I$89,3,0)*0.475*44/12</f>
        <v>20.998889944969651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49.655499102896371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3.6</v>
      </c>
      <c r="EJ89" s="12">
        <f>IF('Données projet'!$A$192&gt;35,EJ88+EI89-ER88,IF(A89&lt;'Données projet'!$A$192,$EG$205^A89,IF(A89='Données projet'!$A$192,'Données projet'!$B$192,EJ88+EI89-ER88)))</f>
        <v>235.60000000000011</v>
      </c>
      <c r="EK89" s="17">
        <f>EJ89*VLOOKUP('Données projet'!$B$15,Paramètres!$A$1:$I$89,3,0)*VLOOKUP('Données projet'!$B$15,Paramètres!$A$1:$I$89,5,0)</f>
        <v>154.36512000000008</v>
      </c>
      <c r="EL89" s="13">
        <f t="shared" si="99"/>
        <v>39.568912624848309</v>
      </c>
      <c r="EM89" s="20">
        <f t="shared" si="73"/>
        <v>337.76844015494424</v>
      </c>
      <c r="EN89" s="59">
        <f t="shared" si="74"/>
        <v>631.10177348827756</v>
      </c>
      <c r="EO89" s="59">
        <f ca="1">AVERAGE(OFFSET($EN$3,0,0,'Données projet'!$E$15+1,1))-AVERAGE(OFFSET($H$3,0,0,'Données projet'!$E$15+1,1))</f>
        <v>183.30081488041924</v>
      </c>
      <c r="EP89" s="59">
        <f t="shared" si="100"/>
        <v>199.33099759570928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3.0938967474995529</v>
      </c>
      <c r="EW89" s="21">
        <f>EXP(-LN(2)/25)*EW88+(1-EXP(-LN(2)/25))/(LN(2)/25)*Calculateur!ER89*Calculateur!ET89*VLOOKUP('Données projet'!$B$15,Paramètres!$A$1:$I$89,3,0)*0.475*44/12</f>
        <v>13.129349421437048</v>
      </c>
      <c r="EX89" s="21">
        <f>EXP(-LN(2)/2)*EX88+(1-EXP(-LN(2)/2))/(LN(2)/2)*ER89*EU89*VLOOKUP('Données projet'!$B$15,Paramètres!$A$1:$I$89,3,0)*0.475*44/12</f>
        <v>1.6493802122791901</v>
      </c>
      <c r="EY89" s="22">
        <f t="shared" si="75"/>
        <v>17.872626381215792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456.51538461538462</v>
      </c>
      <c r="L90" s="12">
        <f>VLOOKUP(A90,'Données projet'!$A$35:$I$55,9,0)</f>
        <v>12.124038461538468</v>
      </c>
      <c r="M90" s="12">
        <f t="array" ref="M90">INDEX(L:L,MIN(IF(ISNUMBER(L90:L286),ROW(L90:L286),"")))</f>
        <v>12.124038461538468</v>
      </c>
      <c r="N90" s="13">
        <f>IF('Données projet'!$A$36&gt;35,N89+M90-V89,IF(A90&lt;'Données projet'!$A$36,$K$205^A90,IF(A90='Données projet'!$A$36,'Données projet'!$B$36,N89+M90-V89)))</f>
        <v>456.51538461538485</v>
      </c>
      <c r="O90" s="13">
        <f>N90*VLOOKUP('Données projet'!$B$9,Paramètres!$A$1:$I$89,3,0)*VLOOKUP('Données projet'!$B$9,Paramètres!$A$1:$I$89,5,0)</f>
        <v>213.64920000000012</v>
      </c>
      <c r="P90" s="13">
        <f t="shared" si="87"/>
        <v>52.732226385923781</v>
      </c>
      <c r="Q90" s="20">
        <f t="shared" si="54"/>
        <v>463.94765095548405</v>
      </c>
      <c r="R90" s="59">
        <f t="shared" si="55"/>
        <v>757.28098428881731</v>
      </c>
      <c r="S90" s="59">
        <f ca="1">AVERAGE(OFFSET($R$3,0,0,'Données projet'!$E$9+1,1))-AVERAGE(OFFSET($H$3,0,0,'Données projet'!$E$9+1,1))</f>
        <v>205.73717397588365</v>
      </c>
      <c r="T90" s="59">
        <f t="shared" si="88"/>
        <v>190.64998698136026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77.330769230769235</v>
      </c>
      <c r="W90" s="16">
        <f>IF(ISNA(VLOOKUP(A90,'Données projet'!$A$35:$I$55,5,0)),0%,VLOOKUP(A90,'Données projet'!$A$35:$I$55,5,0)*VLOOKUP('Données projet'!$B$9,Paramètres!$A$1:$I$89,7,0))</f>
        <v>0.38500000000000001</v>
      </c>
      <c r="X90" s="16">
        <f>IF(ISNA(VLOOKUP(A90,'Données projet'!$A$35:$I$55,6,0)),0%,VLOOKUP(A90,'Données projet'!$A$35:$I$55,6,0)*VLOOKUP('Données projet'!$B$9,Paramètres!$A$1:$I$89,7,0))</f>
        <v>9.240000000000001E-2</v>
      </c>
      <c r="Y90" s="16">
        <f>IF(ISNA(VLOOKUP(A90,'Données projet'!$A$35:$I$55,7,0)),0%,VLOOKUP(A90,'Données projet'!$A$35:$I$55,7,0))</f>
        <v>0.13200000000000001</v>
      </c>
      <c r="Z90" s="21">
        <f>EXP(-LN(2)/35)*Z89+(1-EXP(-LN(2)/35))/(LN(2)/35)*V90*W90*VLOOKUP('Données projet'!$B$9,Paramètres!$A$1:$I$89,3,0)*0.475*44/12</f>
        <v>78.881023431838884</v>
      </c>
      <c r="AA90" s="21">
        <f>EXP(-LN(2)/25)*AA89+(1-EXP(-LN(2)/25))/(LN(2)/25)*Calculateur!V90*Calculateur!X90*VLOOKUP('Données projet'!$B$9,Paramètres!$A$1:$I$89,3,0)*0.475*44/12</f>
        <v>26.475256830882337</v>
      </c>
      <c r="AB90" s="21">
        <f>EXP(-LN(2)/2)*AB89+(1-EXP(-LN(2)/2))/(LN(2)/2)*V90*Y90*VLOOKUP('Données projet'!$B$9,Paramètres!$A$1:$I$89,3,0)*0.475*44/12</f>
        <v>5.770283758285955</v>
      </c>
      <c r="AC90" s="22">
        <f t="shared" si="57"/>
        <v>111.12656402100717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283.73369613548124</v>
      </c>
      <c r="AO90" s="59">
        <f t="shared" si="90"/>
        <v>249.77804091581208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-6.3550942286383367E-14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278.5296012747549</v>
      </c>
      <c r="BJ90" s="59">
        <f t="shared" si="92"/>
        <v>370.55343097937077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120.26572360470689</v>
      </c>
      <c r="BQ90" s="21">
        <f>EXP(-LN(2)/25)*BQ89+(1-EXP(-LN(2)/25))/(LN(2)/25)*Calculateur!BL90*Calculateur!BN90*VLOOKUP('Données projet'!$B$11,Paramètres!$A$1:$I$89,3,0)*0.475*44/12</f>
        <v>23.72258404668786</v>
      </c>
      <c r="BR90" s="21">
        <f>EXP(-LN(2)/2)*BR89+(1-EXP(-LN(2)/2))/(LN(2)/2)*BL90*BO90*VLOOKUP('Données projet'!$B$11,Paramètres!$A$1:$I$89,3,0)*0.475*44/12</f>
        <v>5.2126013189868886E-4</v>
      </c>
      <c r="BS90" s="22">
        <f t="shared" si="63"/>
        <v>143.98882891152667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-5.6843418860808015E-14</v>
      </c>
      <c r="BZ90" s="13">
        <f>BY90*VLOOKUP('Données projet'!$B$12,Paramètres!$A$1:$I$89,3,0)*VLOOKUP('Données projet'!$B$12,Paramètres!$A$1:$I$89,5,0)</f>
        <v>-3.1036506698001178E-14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159.92263609041913</v>
      </c>
      <c r="CE90" s="59">
        <f t="shared" si="94"/>
        <v>271.78119133009307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26.587394712944512</v>
      </c>
      <c r="CL90" s="21">
        <f>EXP(-LN(2)/25)*CL89+(1-EXP(-LN(2)/25))/(LN(2)/25)*Calculateur!CG90*Calculateur!CI90*VLOOKUP('Données projet'!$B$12,Paramètres!$A$1:$I$89,3,0)*0.475*44/12</f>
        <v>40.731935946299792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67.319330659244301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7.4950142450142421</v>
      </c>
      <c r="CT90" s="12">
        <f>IF('Données projet'!$A$140&gt;35,CT89+CS90-DB89,IF(A90&lt;'Données projet'!$A$140,$CQ$205^A90,IF(A90='Données projet'!$A$140,'Données projet'!$B$140,CT89+CS90-DB89)))</f>
        <v>280.86894586894613</v>
      </c>
      <c r="CU90" s="17">
        <f>CT90*VLOOKUP('Données projet'!$B$13,Paramètres!$A$1:$I$89,3,0)*VLOOKUP('Données projet'!$B$13,Paramètres!$A$1:$I$89,5,0)</f>
        <v>254.13022222222247</v>
      </c>
      <c r="CV90" s="13">
        <f t="shared" si="95"/>
        <v>61.469520573147591</v>
      </c>
      <c r="CW90" s="20">
        <f t="shared" si="67"/>
        <v>549.66955203526948</v>
      </c>
      <c r="CX90" s="59">
        <f t="shared" si="68"/>
        <v>843.00288536860285</v>
      </c>
      <c r="CY90" s="59">
        <f ca="1">AVERAGE(OFFSET($CX$3,0,0,'Données projet'!$E$13+1,1))-AVERAGE(OFFSET($H$3,0,0,'Données projet'!$E$13+1,1))</f>
        <v>280.25710840677186</v>
      </c>
      <c r="CZ90" s="59">
        <f t="shared" si="96"/>
        <v>209.65224013288037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28.521863194271916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28.521863194271916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</v>
      </c>
      <c r="DO90" s="12">
        <f>IF('Données projet'!$A$166&gt;35,DO89+DN90-DW89,IF(A90&lt;'Données projet'!$A$166,$DL$205^A90,IF(A90='Données projet'!$A$166,'Données projet'!$B$166,DO89+DN90-DW89)))</f>
        <v>240</v>
      </c>
      <c r="DP90" s="17">
        <f>DO90*VLOOKUP('Données projet'!$B$14,Paramètres!$A$1:$I$89,3,0)*VLOOKUP('Données projet'!$B$14,Paramètres!$A$1:$I$89,5,0)</f>
        <v>250.84800000000001</v>
      </c>
      <c r="DQ90" s="13">
        <f t="shared" si="97"/>
        <v>60.767491486783541</v>
      </c>
      <c r="DR90" s="20">
        <f t="shared" si="70"/>
        <v>542.7303143394812</v>
      </c>
      <c r="DS90" s="59">
        <f t="shared" si="71"/>
        <v>836.06364767281457</v>
      </c>
      <c r="DT90" s="59">
        <f ca="1">AVERAGE(OFFSET($DS$3,0,0,'Données projet'!$E$14+1,1))-AVERAGE(OFFSET($H$3,0,0,'Données projet'!$E$14+1,1))</f>
        <v>330.14201227773452</v>
      </c>
      <c r="DU90" s="59">
        <f t="shared" si="98"/>
        <v>307.07297894926467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28.094670531145479</v>
      </c>
      <c r="EB90" s="21">
        <f>EXP(-LN(2)/25)*EB89+(1-EXP(-LN(2)/25))/(LN(2)/25)*Calculateur!DW90*Calculateur!DY90*VLOOKUP('Données projet'!$B$14,Paramètres!$A$1:$I$89,3,0)*0.475*44/12</f>
        <v>20.424674195140827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48.519344726286306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3.6</v>
      </c>
      <c r="EJ90" s="12">
        <f>IF('Données projet'!$A$192&gt;35,EJ89+EI90-ER89,IF(A90&lt;'Données projet'!$A$192,$EG$205^A90,IF(A90='Données projet'!$A$192,'Données projet'!$B$192,EJ89+EI90-ER89)))</f>
        <v>239.2000000000001</v>
      </c>
      <c r="EK90" s="17">
        <f>EJ90*VLOOKUP('Données projet'!$B$15,Paramètres!$A$1:$I$89,3,0)*VLOOKUP('Données projet'!$B$15,Paramètres!$A$1:$I$89,5,0)</f>
        <v>156.72384000000008</v>
      </c>
      <c r="EL90" s="13">
        <f t="shared" si="99"/>
        <v>40.102680984620484</v>
      </c>
      <c r="EM90" s="20">
        <f t="shared" si="73"/>
        <v>342.80619071488081</v>
      </c>
      <c r="EN90" s="59">
        <f t="shared" si="74"/>
        <v>636.13952404821407</v>
      </c>
      <c r="EO90" s="59">
        <f ca="1">AVERAGE(OFFSET($EN$3,0,0,'Données projet'!$E$15+1,1))-AVERAGE(OFFSET($H$3,0,0,'Données projet'!$E$15+1,1))</f>
        <v>183.30081488041924</v>
      </c>
      <c r="EP90" s="59">
        <f t="shared" si="100"/>
        <v>199.33099759570928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3.0332273193717678</v>
      </c>
      <c r="EW90" s="21">
        <f>EXP(-LN(2)/25)*EW89+(1-EXP(-LN(2)/25))/(LN(2)/25)*Calculateur!ER90*Calculateur!ET90*VLOOKUP('Données projet'!$B$15,Paramètres!$A$1:$I$89,3,0)*0.475*44/12</f>
        <v>12.770326671065373</v>
      </c>
      <c r="EX90" s="21">
        <f>EXP(-LN(2)/2)*EX89+(1-EXP(-LN(2)/2))/(LN(2)/2)*ER90*EU90*VLOOKUP('Données projet'!$B$15,Paramètres!$A$1:$I$89,3,0)*0.475*44/12</f>
        <v>1.1662879328575226</v>
      </c>
      <c r="EY90" s="22">
        <f t="shared" si="75"/>
        <v>16.969841923294663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11.242307692307691</v>
      </c>
      <c r="N91" s="13">
        <f>IF('Données projet'!$A$36&gt;35,N90+M91-V90,IF(A91&lt;'Données projet'!$A$36,$K$205^A91,IF(A91='Données projet'!$A$36,'Données projet'!$B$36,N90+M91-V90)))</f>
        <v>390.42692307692329</v>
      </c>
      <c r="O91" s="13">
        <f>N91*VLOOKUP('Données projet'!$B$9,Paramètres!$A$1:$I$89,3,0)*VLOOKUP('Données projet'!$B$9,Paramètres!$A$1:$I$89,5,0)</f>
        <v>182.71980000000011</v>
      </c>
      <c r="P91" s="13">
        <f t="shared" si="87"/>
        <v>45.926762394770535</v>
      </c>
      <c r="Q91" s="20">
        <f t="shared" si="54"/>
        <v>398.22609617089216</v>
      </c>
      <c r="R91" s="59">
        <f t="shared" si="55"/>
        <v>691.55942950422548</v>
      </c>
      <c r="S91" s="59">
        <f ca="1">AVERAGE(OFFSET($R$3,0,0,'Données projet'!$E$9+1,1))-AVERAGE(OFFSET($H$3,0,0,'Données projet'!$E$9+1,1))</f>
        <v>205.73717397588365</v>
      </c>
      <c r="T91" s="59">
        <f t="shared" si="88"/>
        <v>190.64998698136026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77.334214675014081</v>
      </c>
      <c r="AA91" s="21">
        <f>EXP(-LN(2)/25)*AA90+(1-EXP(-LN(2)/25))/(LN(2)/25)*Calculateur!V91*Calculateur!X91*VLOOKUP('Données projet'!$B$9,Paramètres!$A$1:$I$89,3,0)*0.475*44/12</f>
        <v>25.751289540568614</v>
      </c>
      <c r="AB91" s="21">
        <f>EXP(-LN(2)/2)*AB90+(1-EXP(-LN(2)/2))/(LN(2)/2)*V91*Y91*VLOOKUP('Données projet'!$B$9,Paramètres!$A$1:$I$89,3,0)*0.475*44/12</f>
        <v>4.080206774854596</v>
      </c>
      <c r="AC91" s="22">
        <f t="shared" si="57"/>
        <v>107.16571099043729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283.73369613548124</v>
      </c>
      <c r="AO91" s="59">
        <f t="shared" si="90"/>
        <v>249.77804091581208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-6.3550942286383367E-14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278.5296012747549</v>
      </c>
      <c r="BJ91" s="59">
        <f t="shared" si="92"/>
        <v>370.55343097937077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117.9073861196668</v>
      </c>
      <c r="BQ91" s="21">
        <f>EXP(-LN(2)/25)*BQ90+(1-EXP(-LN(2)/25))/(LN(2)/25)*Calculateur!BL91*Calculateur!BN91*VLOOKUP('Données projet'!$B$11,Paramètres!$A$1:$I$89,3,0)*0.475*44/12</f>
        <v>23.073888738414706</v>
      </c>
      <c r="BR91" s="21">
        <f>EXP(-LN(2)/2)*BR90+(1-EXP(-LN(2)/2))/(LN(2)/2)*BL91*BO91*VLOOKUP('Données projet'!$B$11,Paramètres!$A$1:$I$89,3,0)*0.475*44/12</f>
        <v>3.6858657402775709E-4</v>
      </c>
      <c r="BS91" s="22">
        <f t="shared" si="63"/>
        <v>140.98164344465553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-5.6843418860808015E-14</v>
      </c>
      <c r="BZ91" s="13">
        <f>BY91*VLOOKUP('Données projet'!$B$12,Paramètres!$A$1:$I$89,3,0)*VLOOKUP('Données projet'!$B$12,Paramètres!$A$1:$I$89,5,0)</f>
        <v>-3.1036506698001178E-14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159.92263609041913</v>
      </c>
      <c r="CE91" s="59">
        <f t="shared" si="94"/>
        <v>271.78119133009307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26.06603211933318</v>
      </c>
      <c r="CL91" s="21">
        <f>EXP(-LN(2)/25)*CL90+(1-EXP(-LN(2)/25))/(LN(2)/25)*Calculateur!CG91*Calculateur!CI91*VLOOKUP('Données projet'!$B$12,Paramètres!$A$1:$I$89,3,0)*0.475*44/12</f>
        <v>39.618119015848805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65.684151135181992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7.4950142450142421</v>
      </c>
      <c r="CT91" s="12">
        <f>IF('Données projet'!$A$140&gt;35,CT90+CS91-DB90,IF(A91&lt;'Données projet'!$A$140,$CQ$205^A91,IF(A91='Données projet'!$A$140,'Données projet'!$B$140,CT90+CS91-DB90)))</f>
        <v>288.36396011396039</v>
      </c>
      <c r="CU91" s="17">
        <f>CT91*VLOOKUP('Données projet'!$B$13,Paramètres!$A$1:$I$89,3,0)*VLOOKUP('Données projet'!$B$13,Paramètres!$A$1:$I$89,5,0)</f>
        <v>260.91171111111134</v>
      </c>
      <c r="CV91" s="13">
        <f t="shared" si="95"/>
        <v>62.916678312142118</v>
      </c>
      <c r="CW91" s="20">
        <f t="shared" si="67"/>
        <v>564.00111157883305</v>
      </c>
      <c r="CX91" s="59">
        <f t="shared" si="68"/>
        <v>857.33444491216642</v>
      </c>
      <c r="CY91" s="59">
        <f ca="1">AVERAGE(OFFSET($CX$3,0,0,'Données projet'!$E$13+1,1))-AVERAGE(OFFSET($H$3,0,0,'Données projet'!$E$13+1,1))</f>
        <v>280.25710840677186</v>
      </c>
      <c r="CZ91" s="59">
        <f t="shared" si="96"/>
        <v>209.65224013288037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27.962566853651019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27.962566853651019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</v>
      </c>
      <c r="DO91" s="12">
        <f>IF('Données projet'!$A$166&gt;35,DO90+DN91-DW90,IF(A91&lt;'Données projet'!$A$166,$DL$205^A91,IF(A91='Données projet'!$A$166,'Données projet'!$B$166,DO90+DN91-DW90)))</f>
        <v>243</v>
      </c>
      <c r="DP91" s="17">
        <f>DO91*VLOOKUP('Données projet'!$B$14,Paramètres!$A$1:$I$89,3,0)*VLOOKUP('Données projet'!$B$14,Paramètres!$A$1:$I$89,5,0)</f>
        <v>253.98360000000002</v>
      </c>
      <c r="DQ91" s="13">
        <f t="shared" si="97"/>
        <v>61.438182405444294</v>
      </c>
      <c r="DR91" s="20">
        <f t="shared" si="70"/>
        <v>549.35960435614891</v>
      </c>
      <c r="DS91" s="59">
        <f t="shared" si="71"/>
        <v>842.69293768948228</v>
      </c>
      <c r="DT91" s="59">
        <f ca="1">AVERAGE(OFFSET($DS$3,0,0,'Données projet'!$E$14+1,1))-AVERAGE(OFFSET($H$3,0,0,'Données projet'!$E$14+1,1))</f>
        <v>330.14201227773452</v>
      </c>
      <c r="DU91" s="59">
        <f t="shared" si="98"/>
        <v>307.07297894926467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27.543751178086694</v>
      </c>
      <c r="EB91" s="21">
        <f>EXP(-LN(2)/25)*EB90+(1-EXP(-LN(2)/25))/(LN(2)/25)*Calculateur!DW91*Calculateur!DY91*VLOOKUP('Données projet'!$B$14,Paramètres!$A$1:$I$89,3,0)*0.475*44/12</f>
        <v>19.866160405187767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47.409911583274464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3.6</v>
      </c>
      <c r="EJ91" s="12">
        <f>IF('Données projet'!$A$192&gt;35,EJ90+EI91-ER90,IF(A91&lt;'Données projet'!$A$192,$EG$205^A91,IF(A91='Données projet'!$A$192,'Données projet'!$B$192,EJ90+EI91-ER90)))</f>
        <v>242.8000000000001</v>
      </c>
      <c r="EK91" s="17">
        <f>EJ91*VLOOKUP('Données projet'!$B$15,Paramètres!$A$1:$I$89,3,0)*VLOOKUP('Données projet'!$B$15,Paramètres!$A$1:$I$89,5,0)</f>
        <v>159.08256000000006</v>
      </c>
      <c r="EL91" s="13">
        <f t="shared" si="99"/>
        <v>40.635515049195902</v>
      </c>
      <c r="EM91" s="20">
        <f t="shared" si="73"/>
        <v>347.84231404401629</v>
      </c>
      <c r="EN91" s="59">
        <f t="shared" si="74"/>
        <v>641.17564737734961</v>
      </c>
      <c r="EO91" s="59">
        <f ca="1">AVERAGE(OFFSET($EN$3,0,0,'Données projet'!$E$15+1,1))-AVERAGE(OFFSET($H$3,0,0,'Données projet'!$E$15+1,1))</f>
        <v>183.30081488041924</v>
      </c>
      <c r="EP91" s="59">
        <f t="shared" si="100"/>
        <v>199.33099759570928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2.9737475817248713</v>
      </c>
      <c r="EW91" s="21">
        <f>EXP(-LN(2)/25)*EW90+(1-EXP(-LN(2)/25))/(LN(2)/25)*Calculateur!ER91*Calculateur!ET91*VLOOKUP('Données projet'!$B$15,Paramètres!$A$1:$I$89,3,0)*0.475*44/12</f>
        <v>12.421121416682798</v>
      </c>
      <c r="EX91" s="21">
        <f>EXP(-LN(2)/2)*EX90+(1-EXP(-LN(2)/2))/(LN(2)/2)*ER91*EU91*VLOOKUP('Données projet'!$B$15,Paramètres!$A$1:$I$89,3,0)*0.475*44/12</f>
        <v>0.82469010613959515</v>
      </c>
      <c r="EY91" s="22">
        <f t="shared" si="75"/>
        <v>16.219559104547265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11.242307692307691</v>
      </c>
      <c r="N92" s="13">
        <f>IF('Données projet'!$A$36&gt;35,N91+M92-V91,IF(A92&lt;'Données projet'!$A$36,$K$205^A92,IF(A92='Données projet'!$A$36,'Données projet'!$B$36,N91+M92-V91)))</f>
        <v>401.66923076923098</v>
      </c>
      <c r="O92" s="13">
        <f>N92*VLOOKUP('Données projet'!$B$9,Paramètres!$A$1:$I$89,3,0)*VLOOKUP('Données projet'!$B$9,Paramètres!$A$1:$I$89,5,0)</f>
        <v>187.98120000000011</v>
      </c>
      <c r="P92" s="13">
        <f t="shared" si="87"/>
        <v>47.093347732155607</v>
      </c>
      <c r="Q92" s="20">
        <f t="shared" si="54"/>
        <v>409.42150396683786</v>
      </c>
      <c r="R92" s="59">
        <f t="shared" si="55"/>
        <v>702.75483730017118</v>
      </c>
      <c r="S92" s="59">
        <f ca="1">AVERAGE(OFFSET($R$3,0,0,'Données projet'!$E$9+1,1))-AVERAGE(OFFSET($H$3,0,0,'Données projet'!$E$9+1,1))</f>
        <v>205.73717397588365</v>
      </c>
      <c r="T92" s="59">
        <f t="shared" si="88"/>
        <v>190.64998698136026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75.817737894450431</v>
      </c>
      <c r="AA92" s="21">
        <f>EXP(-LN(2)/25)*AA91+(1-EXP(-LN(2)/25))/(LN(2)/25)*Calculateur!V92*Calculateur!X92*VLOOKUP('Données projet'!$B$9,Paramètres!$A$1:$I$89,3,0)*0.475*44/12</f>
        <v>25.047119173880304</v>
      </c>
      <c r="AB92" s="21">
        <f>EXP(-LN(2)/2)*AB91+(1-EXP(-LN(2)/2))/(LN(2)/2)*V92*Y92*VLOOKUP('Données projet'!$B$9,Paramètres!$A$1:$I$89,3,0)*0.475*44/12</f>
        <v>2.8851418791429779</v>
      </c>
      <c r="AC92" s="22">
        <f t="shared" si="57"/>
        <v>103.74999894747371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283.73369613548124</v>
      </c>
      <c r="AO92" s="59">
        <f t="shared" si="90"/>
        <v>249.77804091581208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-6.3550942286383367E-14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278.5296012747549</v>
      </c>
      <c r="BJ92" s="59">
        <f t="shared" si="92"/>
        <v>370.55343097937077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115.59529419426451</v>
      </c>
      <c r="BQ92" s="21">
        <f>EXP(-LN(2)/25)*BQ91+(1-EXP(-LN(2)/25))/(LN(2)/25)*Calculateur!BL92*Calculateur!BN92*VLOOKUP('Données projet'!$B$11,Paramètres!$A$1:$I$89,3,0)*0.475*44/12</f>
        <v>22.442932037459684</v>
      </c>
      <c r="BR92" s="21">
        <f>EXP(-LN(2)/2)*BR91+(1-EXP(-LN(2)/2))/(LN(2)/2)*BL92*BO92*VLOOKUP('Données projet'!$B$11,Paramètres!$A$1:$I$89,3,0)*0.475*44/12</f>
        <v>2.6063006594934443E-4</v>
      </c>
      <c r="BS92" s="22">
        <f t="shared" si="63"/>
        <v>138.03848686179015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-5.6843418860808015E-14</v>
      </c>
      <c r="BZ92" s="13">
        <f>BY92*VLOOKUP('Données projet'!$B$12,Paramètres!$A$1:$I$89,3,0)*VLOOKUP('Données projet'!$B$12,Paramètres!$A$1:$I$89,5,0)</f>
        <v>-3.1036506698001178E-14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159.92263609041913</v>
      </c>
      <c r="CE92" s="59">
        <f t="shared" si="94"/>
        <v>271.78119133009307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25.554893128182783</v>
      </c>
      <c r="CL92" s="21">
        <f>EXP(-LN(2)/25)*CL91+(1-EXP(-LN(2)/25))/(LN(2)/25)*Calculateur!CG92*Calculateur!CI92*VLOOKUP('Données projet'!$B$12,Paramètres!$A$1:$I$89,3,0)*0.475*44/12</f>
        <v>38.534759467934087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64.089652596116878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295.85897435897436</v>
      </c>
      <c r="CR92" s="12">
        <f>VLOOKUP(A92,'Données projet'!$A$139:$I$159,9,0)</f>
        <v>7.4950142450142421</v>
      </c>
      <c r="CS92" s="12">
        <f t="array" ref="CS92">INDEX(CR:CR,MIN(IF(ISNUMBER(CR92:CR288),ROW(CR92:CR288),"")))</f>
        <v>7.4950142450142421</v>
      </c>
      <c r="CT92" s="12">
        <f>IF('Données projet'!$A$140&gt;35,CT91+CS92-DB91,IF(A92&lt;'Données projet'!$A$140,$CQ$205^A92,IF(A92='Données projet'!$A$140,'Données projet'!$B$140,CT91+CS92-DB91)))</f>
        <v>295.85897435897465</v>
      </c>
      <c r="CU92" s="17">
        <f>CT92*VLOOKUP('Données projet'!$B$13,Paramètres!$A$1:$I$89,3,0)*VLOOKUP('Données projet'!$B$13,Paramètres!$A$1:$I$89,5,0)</f>
        <v>267.69320000000022</v>
      </c>
      <c r="CV92" s="13">
        <f t="shared" si="95"/>
        <v>64.359463899490166</v>
      </c>
      <c r="CW92" s="20">
        <f t="shared" si="67"/>
        <v>578.32505629161233</v>
      </c>
      <c r="CX92" s="59">
        <f t="shared" si="68"/>
        <v>871.65838962494558</v>
      </c>
      <c r="CY92" s="59">
        <f ca="1">AVERAGE(OFFSET($CX$3,0,0,'Données projet'!$E$13+1,1))-AVERAGE(OFFSET($H$3,0,0,'Données projet'!$E$13+1,1))</f>
        <v>280.25710840677186</v>
      </c>
      <c r="CZ92" s="59">
        <f t="shared" si="96"/>
        <v>209.65224013288037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49.391025641025635</v>
      </c>
      <c r="DC92" s="16">
        <f>IF(ISNA(VLOOKUP(A92,'Données projet'!$A$139:$I$159,5,0)),0%,VLOOKUP(A92,'Données projet'!$A$139:$I$159,5,0)*VLOOKUP('Données projet'!$B$13,Paramètres!$A$1:$I$89,7,0))</f>
        <v>0.30099999999999999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42.284350076207964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42.284350076207964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</v>
      </c>
      <c r="DO92" s="12">
        <f>IF('Données projet'!$A$166&gt;35,DO91+DN92-DW91,IF(A92&lt;'Données projet'!$A$166,$DL$205^A92,IF(A92='Données projet'!$A$166,'Données projet'!$B$166,DO91+DN92-DW91)))</f>
        <v>246</v>
      </c>
      <c r="DP92" s="17">
        <f>DO92*VLOOKUP('Données projet'!$B$14,Paramètres!$A$1:$I$89,3,0)*VLOOKUP('Données projet'!$B$14,Paramètres!$A$1:$I$89,5,0)</f>
        <v>257.11920000000003</v>
      </c>
      <c r="DQ92" s="13">
        <f t="shared" si="97"/>
        <v>62.107910182723955</v>
      </c>
      <c r="DR92" s="20">
        <f t="shared" si="70"/>
        <v>555.98721690157754</v>
      </c>
      <c r="DS92" s="59">
        <f t="shared" si="71"/>
        <v>849.3205502349108</v>
      </c>
      <c r="DT92" s="59">
        <f ca="1">AVERAGE(OFFSET($DS$3,0,0,'Données projet'!$E$14+1,1))-AVERAGE(OFFSET($H$3,0,0,'Données projet'!$E$14+1,1))</f>
        <v>330.14201227773452</v>
      </c>
      <c r="DU92" s="59">
        <f t="shared" si="98"/>
        <v>307.07297894926467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27.003635017513769</v>
      </c>
      <c r="EB92" s="21">
        <f>EXP(-LN(2)/25)*EB91+(1-EXP(-LN(2)/25))/(LN(2)/25)*Calculateur!DW92*Calculateur!DY92*VLOOKUP('Données projet'!$B$14,Paramètres!$A$1:$I$89,3,0)*0.475*44/12</f>
        <v>19.322919204191937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46.326554221705706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3.6</v>
      </c>
      <c r="EJ92" s="12">
        <f>IF('Données projet'!$A$192&gt;35,EJ91+EI92-ER91,IF(A92&lt;'Données projet'!$A$192,$EG$205^A92,IF(A92='Données projet'!$A$192,'Données projet'!$B$192,EJ91+EI92-ER91)))</f>
        <v>246.40000000000009</v>
      </c>
      <c r="EK92" s="17">
        <f>EJ92*VLOOKUP('Données projet'!$B$15,Paramètres!$A$1:$I$89,3,0)*VLOOKUP('Données projet'!$B$15,Paramètres!$A$1:$I$89,5,0)</f>
        <v>161.44128000000006</v>
      </c>
      <c r="EL92" s="13">
        <f t="shared" si="99"/>
        <v>41.167430271655704</v>
      </c>
      <c r="EM92" s="20">
        <f t="shared" si="73"/>
        <v>352.87683705646708</v>
      </c>
      <c r="EN92" s="59">
        <f t="shared" si="74"/>
        <v>646.2101703898004</v>
      </c>
      <c r="EO92" s="59">
        <f ca="1">AVERAGE(OFFSET($EN$3,0,0,'Données projet'!$E$15+1,1))-AVERAGE(OFFSET($H$3,0,0,'Données projet'!$E$15+1,1))</f>
        <v>183.30081488041924</v>
      </c>
      <c r="EP92" s="59">
        <f t="shared" si="100"/>
        <v>199.33099759570928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2.9154342054541731</v>
      </c>
      <c r="EW92" s="21">
        <f>EXP(-LN(2)/25)*EW91+(1-EXP(-LN(2)/25))/(LN(2)/25)*Calculateur!ER92*Calculateur!ET92*VLOOKUP('Données projet'!$B$15,Paramètres!$A$1:$I$89,3,0)*0.475*44/12</f>
        <v>12.081465198345221</v>
      </c>
      <c r="EX92" s="21">
        <f>EXP(-LN(2)/2)*EX91+(1-EXP(-LN(2)/2))/(LN(2)/2)*ER92*EU92*VLOOKUP('Données projet'!$B$15,Paramètres!$A$1:$I$89,3,0)*0.475*44/12</f>
        <v>0.58314396642876143</v>
      </c>
      <c r="EY92" s="22">
        <f t="shared" si="75"/>
        <v>15.580043370228154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11.242307692307691</v>
      </c>
      <c r="N93" s="13">
        <f>IF('Données projet'!$A$36&gt;35,N92+M93-V92,IF(A93&lt;'Données projet'!$A$36,$K$205^A93,IF(A93='Données projet'!$A$36,'Données projet'!$B$36,N92+M93-V92)))</f>
        <v>412.91153846153867</v>
      </c>
      <c r="O93" s="13">
        <f>N93*VLOOKUP('Données projet'!$B$9,Paramètres!$A$1:$I$89,3,0)*VLOOKUP('Données projet'!$B$9,Paramètres!$A$1:$I$89,5,0)</f>
        <v>193.2426000000001</v>
      </c>
      <c r="P93" s="13">
        <f t="shared" si="87"/>
        <v>48.256138093290417</v>
      </c>
      <c r="Q93" s="20">
        <f t="shared" si="54"/>
        <v>420.6103021791476</v>
      </c>
      <c r="R93" s="59">
        <f t="shared" si="55"/>
        <v>713.94363551248091</v>
      </c>
      <c r="S93" s="59">
        <f ca="1">AVERAGE(OFFSET($R$3,0,0,'Données projet'!$E$9+1,1))-AVERAGE(OFFSET($H$3,0,0,'Données projet'!$E$9+1,1))</f>
        <v>205.73717397588365</v>
      </c>
      <c r="T93" s="59">
        <f t="shared" si="88"/>
        <v>190.64998698136026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74.330998298594139</v>
      </c>
      <c r="AA93" s="21">
        <f>EXP(-LN(2)/25)*AA92+(1-EXP(-LN(2)/25))/(LN(2)/25)*Calculateur!V93*Calculateur!X93*VLOOKUP('Données projet'!$B$9,Paramètres!$A$1:$I$89,3,0)*0.475*44/12</f>
        <v>24.362204382899797</v>
      </c>
      <c r="AB93" s="21">
        <f>EXP(-LN(2)/2)*AB92+(1-EXP(-LN(2)/2))/(LN(2)/2)*V93*Y93*VLOOKUP('Données projet'!$B$9,Paramètres!$A$1:$I$89,3,0)*0.475*44/12</f>
        <v>2.0401033874272985</v>
      </c>
      <c r="AC93" s="22">
        <f t="shared" si="57"/>
        <v>100.73330606892124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283.73369613548124</v>
      </c>
      <c r="AO93" s="59">
        <f t="shared" si="90"/>
        <v>249.77804091581208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-6.3550942286383367E-14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278.5296012747549</v>
      </c>
      <c r="BJ93" s="59">
        <f t="shared" si="92"/>
        <v>370.55343097937077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113.32854098128254</v>
      </c>
      <c r="BQ93" s="21">
        <f>EXP(-LN(2)/25)*BQ92+(1-EXP(-LN(2)/25))/(LN(2)/25)*Calculateur!BL93*Calculateur!BN93*VLOOKUP('Données projet'!$B$11,Paramètres!$A$1:$I$89,3,0)*0.475*44/12</f>
        <v>21.829228880672847</v>
      </c>
      <c r="BR93" s="21">
        <f>EXP(-LN(2)/2)*BR92+(1-EXP(-LN(2)/2))/(LN(2)/2)*BL93*BO93*VLOOKUP('Données projet'!$B$11,Paramètres!$A$1:$I$89,3,0)*0.475*44/12</f>
        <v>1.8429328701387854E-4</v>
      </c>
      <c r="BS93" s="22">
        <f t="shared" si="63"/>
        <v>135.15795415524241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-5.6843418860808015E-14</v>
      </c>
      <c r="BZ93" s="13">
        <f>BY93*VLOOKUP('Données projet'!$B$12,Paramètres!$A$1:$I$89,3,0)*VLOOKUP('Données projet'!$B$12,Paramètres!$A$1:$I$89,5,0)</f>
        <v>-3.1036506698001178E-14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159.92263609041913</v>
      </c>
      <c r="CE93" s="59">
        <f t="shared" si="94"/>
        <v>271.78119133009307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25.053777260884843</v>
      </c>
      <c r="CL93" s="21">
        <f>EXP(-LN(2)/25)*CL92+(1-EXP(-LN(2)/25))/(LN(2)/25)*Calculateur!CG93*Calculateur!CI93*VLOOKUP('Données projet'!$B$12,Paramètres!$A$1:$I$89,3,0)*0.475*44/12</f>
        <v>37.481024443828503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62.534801704713345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7.1782051282051267</v>
      </c>
      <c r="CT93" s="12">
        <f>IF('Données projet'!$A$140&gt;35,CT92+CS93-DB92,IF(A93&lt;'Données projet'!$A$140,$CQ$205^A93,IF(A93='Données projet'!$A$140,'Données projet'!$B$140,CT92+CS93-DB92)))</f>
        <v>253.64615384615416</v>
      </c>
      <c r="CU93" s="17">
        <f>CT93*VLOOKUP('Données projet'!$B$13,Paramètres!$A$1:$I$89,3,0)*VLOOKUP('Données projet'!$B$13,Paramètres!$A$1:$I$89,5,0)</f>
        <v>229.49904000000029</v>
      </c>
      <c r="CV93" s="13">
        <f t="shared" si="95"/>
        <v>56.174348524497042</v>
      </c>
      <c r="CW93" s="20">
        <f t="shared" si="67"/>
        <v>497.54781834683286</v>
      </c>
      <c r="CX93" s="59">
        <f t="shared" si="68"/>
        <v>790.88115168016611</v>
      </c>
      <c r="CY93" s="59">
        <f ca="1">AVERAGE(OFFSET($CX$3,0,0,'Données projet'!$E$13+1,1))-AVERAGE(OFFSET($H$3,0,0,'Données projet'!$E$13+1,1))</f>
        <v>280.25710840677186</v>
      </c>
      <c r="CZ93" s="59">
        <f t="shared" si="96"/>
        <v>209.65224013288037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41.45517976212043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41.45517976212043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249</v>
      </c>
      <c r="DM93" s="12">
        <f>VLOOKUP(A93,'Données projet'!$A$165:$I$185,9,0)</f>
        <v>3</v>
      </c>
      <c r="DN93" s="12">
        <f t="array" ref="DN93">INDEX(DM:DM,MIN(IF(ISNUMBER(DM93:DM289),ROW(DM93:DM289),"")))</f>
        <v>3</v>
      </c>
      <c r="DO93" s="12">
        <f>IF('Données projet'!$A$166&gt;35,DO92+DN93-DW92,IF(A93&lt;'Données projet'!$A$166,$DL$205^A93,IF(A93='Données projet'!$A$166,'Données projet'!$B$166,DO92+DN93-DW92)))</f>
        <v>249</v>
      </c>
      <c r="DP93" s="17">
        <f>DO93*VLOOKUP('Données projet'!$B$14,Paramètres!$A$1:$I$89,3,0)*VLOOKUP('Données projet'!$B$14,Paramètres!$A$1:$I$89,5,0)</f>
        <v>260.25480000000005</v>
      </c>
      <c r="DQ93" s="13">
        <f t="shared" si="97"/>
        <v>62.776687922790821</v>
      </c>
      <c r="DR93" s="20">
        <f t="shared" si="70"/>
        <v>562.61317479886077</v>
      </c>
      <c r="DS93" s="59">
        <f t="shared" si="71"/>
        <v>855.94650813219414</v>
      </c>
      <c r="DT93" s="59">
        <f ca="1">AVERAGE(OFFSET($DS$3,0,0,'Données projet'!$E$14+1,1))-AVERAGE(OFFSET($H$3,0,0,'Données projet'!$E$14+1,1))</f>
        <v>330.14201227773452</v>
      </c>
      <c r="DU93" s="59">
        <f t="shared" si="98"/>
        <v>307.07297894926467</v>
      </c>
      <c r="DV93" s="15">
        <f>IF(ISNA(VLOOKUP(A93,'Données projet'!$A$165:$I$185,3,0)),0,VLOOKUP(A93,'Données projet'!$A$165:$I$185,3,0))</f>
        <v>15</v>
      </c>
      <c r="DW93" s="15" t="str">
        <f>IF(ISNA(VLOOKUP(A93,'Données projet'!$A$165:$I$185,4,0)),0,VLOOKUP(A93,'Données projet'!$A$165:$I$185,4,0))</f>
        <v>12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0.129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30.051345140980899</v>
      </c>
      <c r="EB93" s="21">
        <f>EXP(-LN(2)/25)*EB92+(1-EXP(-LN(2)/25))/(LN(2)/25)*Calculateur!DW93*Calculateur!DY93*VLOOKUP('Données projet'!$B$14,Paramètres!$A$1:$I$89,3,0)*0.475*44/12</f>
        <v>20.576107961702572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50.627453102683475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250</v>
      </c>
      <c r="EH93" s="12">
        <f>VLOOKUP(A93,'Données projet'!$A$191:$I$211,9,0)</f>
        <v>3.6</v>
      </c>
      <c r="EI93" s="12">
        <f t="array" ref="EI93">INDEX(EH:EH,MIN(IF(ISNUMBER(EH93:EH289),ROW(EH93:EH289),"")))</f>
        <v>3.6</v>
      </c>
      <c r="EJ93" s="12">
        <f>IF('Données projet'!$A$192&gt;35,EJ92+EI93-ER92,IF(A93&lt;'Données projet'!$A$192,$EG$205^A93,IF(A93='Données projet'!$A$192,'Données projet'!$B$192,EJ92+EI93-ER92)))</f>
        <v>250.00000000000009</v>
      </c>
      <c r="EK93" s="17">
        <f>EJ93*VLOOKUP('Données projet'!$B$15,Paramètres!$A$1:$I$89,3,0)*VLOOKUP('Données projet'!$B$15,Paramètres!$A$1:$I$89,5,0)</f>
        <v>163.80000000000004</v>
      </c>
      <c r="EL93" s="13">
        <f t="shared" si="99"/>
        <v>41.698441627605334</v>
      </c>
      <c r="EM93" s="20">
        <f t="shared" si="73"/>
        <v>357.90978583474595</v>
      </c>
      <c r="EN93" s="59">
        <f t="shared" si="74"/>
        <v>651.24311916807926</v>
      </c>
      <c r="EO93" s="59">
        <f ca="1">AVERAGE(OFFSET($EN$3,0,0,'Données projet'!$E$15+1,1))-AVERAGE(OFFSET($H$3,0,0,'Données projet'!$E$15+1,1))</f>
        <v>183.30081488041924</v>
      </c>
      <c r="EP93" s="59">
        <f t="shared" si="100"/>
        <v>199.33099759570928</v>
      </c>
      <c r="EQ93" s="15">
        <f>IF(ISNA(VLOOKUP(A93,'Données projet'!$A$191:$I$211,3,0)),0,VLOOKUP(A93,'Données projet'!$A$191:$I$211,3,0))</f>
        <v>17</v>
      </c>
      <c r="ER93" s="15">
        <f>IF(ISNA(VLOOKUP(A93,'Données projet'!$A$191:$I$211,4,0)),0,VLOOKUP(A93,'Données projet'!$A$191:$I$211,4,0))</f>
        <v>14</v>
      </c>
      <c r="ES93" s="16">
        <f>IF(ISNA(VLOOKUP(A93,'Données projet'!$A$191:$I$211,5,0)),0%,VLOOKUP(A93,'Données projet'!$A$191:$I$211,5,0)*VLOOKUP('Données projet'!$B$15,Paramètres!$A$1:$I$89,7,0))</f>
        <v>8.6000000000000007E-2</v>
      </c>
      <c r="ET93" s="16">
        <f>IF(ISNA(VLOOKUP(A93,'Données projet'!$A$191:$I$211,6,0)),0%,VLOOKUP(A93,'Données projet'!$A$191:$I$211,6,0)*VLOOKUP('Données projet'!$B$15,Paramètres!$A$1:$I$89,7,0))</f>
        <v>0.215</v>
      </c>
      <c r="EU93" s="16">
        <f>IF(ISNA(VLOOKUP(A93,'Données projet'!$A$191:$I$211,7,0)),0%,VLOOKUP(A93,'Données projet'!$A$191:$I$211,7,0))</f>
        <v>0.2</v>
      </c>
      <c r="EV93" s="21">
        <f>EXP(-LN(2)/35)*EV92+(1-EXP(-LN(2)/35))/(LN(2)/35)*ER93*ES93*VLOOKUP('Données projet'!$B$15,Paramètres!$A$1:$I$89,3,0)*0.475*44/12</f>
        <v>3.7303265668991621</v>
      </c>
      <c r="EW93" s="21">
        <f>EXP(-LN(2)/25)*EW92+(1-EXP(-LN(2)/25))/(LN(2)/25)*Calculateur!ER93*Calculateur!ET93*VLOOKUP('Données projet'!$B$15,Paramètres!$A$1:$I$89,3,0)*0.475*44/12</f>
        <v>13.922668413716387</v>
      </c>
      <c r="EX93" s="21">
        <f>EXP(-LN(2)/2)*EX92+(1-EXP(-LN(2)/2))/(LN(2)/2)*ER93*EU93*VLOOKUP('Données projet'!$B$15,Paramètres!$A$1:$I$89,3,0)*0.475*44/12</f>
        <v>2.1433017895282589</v>
      </c>
      <c r="EY93" s="22">
        <f t="shared" si="75"/>
        <v>19.796296770143808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11.242307692307691</v>
      </c>
      <c r="N94" s="13">
        <f>IF('Données projet'!$A$36&gt;35,N93+M94-V93,IF(A94&lt;'Données projet'!$A$36,$K$205^A94,IF(A94='Données projet'!$A$36,'Données projet'!$B$36,N93+M94-V93)))</f>
        <v>424.15384615384636</v>
      </c>
      <c r="O94" s="13">
        <f>N94*VLOOKUP('Données projet'!$B$9,Paramètres!$A$1:$I$89,3,0)*VLOOKUP('Données projet'!$B$9,Paramètres!$A$1:$I$89,5,0)</f>
        <v>198.5040000000001</v>
      </c>
      <c r="P94" s="13">
        <f t="shared" si="87"/>
        <v>49.415248676990458</v>
      </c>
      <c r="Q94" s="20">
        <f t="shared" si="54"/>
        <v>431.79269144575846</v>
      </c>
      <c r="R94" s="59">
        <f t="shared" si="55"/>
        <v>725.12602477909172</v>
      </c>
      <c r="S94" s="59">
        <f ca="1">AVERAGE(OFFSET($R$3,0,0,'Données projet'!$E$9+1,1))-AVERAGE(OFFSET($H$3,0,0,'Données projet'!$E$9+1,1))</f>
        <v>205.73717397588365</v>
      </c>
      <c r="T94" s="59">
        <f t="shared" si="88"/>
        <v>190.64998698136026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72.873412759390973</v>
      </c>
      <c r="AA94" s="21">
        <f>EXP(-LN(2)/25)*AA93+(1-EXP(-LN(2)/25))/(LN(2)/25)*Calculateur!V94*Calculateur!X94*VLOOKUP('Données projet'!$B$9,Paramètres!$A$1:$I$89,3,0)*0.475*44/12</f>
        <v>23.696018622896755</v>
      </c>
      <c r="AB94" s="21">
        <f>EXP(-LN(2)/2)*AB93+(1-EXP(-LN(2)/2))/(LN(2)/2)*V94*Y94*VLOOKUP('Données projet'!$B$9,Paramètres!$A$1:$I$89,3,0)*0.475*44/12</f>
        <v>1.4425709395714892</v>
      </c>
      <c r="AC94" s="22">
        <f t="shared" si="57"/>
        <v>98.012002321859228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283.73369613548124</v>
      </c>
      <c r="AO94" s="59">
        <f t="shared" si="90"/>
        <v>249.77804091581208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-6.3550942286383367E-14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278.5296012747549</v>
      </c>
      <c r="BJ94" s="59">
        <f t="shared" si="92"/>
        <v>370.55343097937077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111.1062374162242</v>
      </c>
      <c r="BQ94" s="21">
        <f>EXP(-LN(2)/25)*BQ93+(1-EXP(-LN(2)/25))/(LN(2)/25)*Calculateur!BL94*Calculateur!BN94*VLOOKUP('Données projet'!$B$11,Paramètres!$A$1:$I$89,3,0)*0.475*44/12</f>
        <v>21.232307468981592</v>
      </c>
      <c r="BR94" s="21">
        <f>EXP(-LN(2)/2)*BR93+(1-EXP(-LN(2)/2))/(LN(2)/2)*BL94*BO94*VLOOKUP('Données projet'!$B$11,Paramètres!$A$1:$I$89,3,0)*0.475*44/12</f>
        <v>1.3031503297467222E-4</v>
      </c>
      <c r="BS94" s="22">
        <f t="shared" si="63"/>
        <v>132.33867520023878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-3.1036506698001178E-14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159.92263609041913</v>
      </c>
      <c r="CE94" s="59">
        <f t="shared" si="94"/>
        <v>271.78119133009307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24.562487970094118</v>
      </c>
      <c r="CL94" s="21">
        <f>EXP(-LN(2)/25)*CL93+(1-EXP(-LN(2)/25))/(LN(2)/25)*Calculateur!CG94*Calculateur!CI94*VLOOKUP('Données projet'!$B$12,Paramètres!$A$1:$I$89,3,0)*0.475*44/12</f>
        <v>36.4561038593706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61.018591829464718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7.1782051282051267</v>
      </c>
      <c r="CT94" s="12">
        <f>IF('Données projet'!$A$140&gt;35,CT93+CS94-DB93,IF(A94&lt;'Données projet'!$A$140,$CQ$205^A94,IF(A94='Données projet'!$A$140,'Données projet'!$B$140,CT93+CS94-DB93)))</f>
        <v>260.82435897435931</v>
      </c>
      <c r="CU94" s="17">
        <f>CT94*VLOOKUP('Données projet'!$B$13,Paramètres!$A$1:$I$89,3,0)*VLOOKUP('Données projet'!$B$13,Paramètres!$A$1:$I$89,5,0)</f>
        <v>235.99388000000027</v>
      </c>
      <c r="CV94" s="13">
        <f t="shared" si="95"/>
        <v>57.57675164364376</v>
      </c>
      <c r="CW94" s="20">
        <f t="shared" si="67"/>
        <v>511.30218344601343</v>
      </c>
      <c r="CX94" s="59">
        <f t="shared" si="68"/>
        <v>804.63551677934674</v>
      </c>
      <c r="CY94" s="59">
        <f ca="1">AVERAGE(OFFSET($CX$3,0,0,'Données projet'!$E$13+1,1))-AVERAGE(OFFSET($H$3,0,0,'Données projet'!$E$13+1,1))</f>
        <v>280.25710840677186</v>
      </c>
      <c r="CZ94" s="59">
        <f t="shared" si="96"/>
        <v>209.65224013288037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40.642268972148202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40.642268972148202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</v>
      </c>
      <c r="DO94" s="12">
        <f>IF('Données projet'!$A$166&gt;35,DO93+DN94-DW93,IF(A94&lt;'Données projet'!$A$166,$DL$205^A94,IF(A94='Données projet'!$A$166,'Données projet'!$B$166,DO93+DN94-DW93)))</f>
        <v>240</v>
      </c>
      <c r="DP94" s="17">
        <f>DO94*VLOOKUP('Données projet'!$B$14,Paramètres!$A$1:$I$89,3,0)*VLOOKUP('Données projet'!$B$14,Paramètres!$A$1:$I$89,5,0)</f>
        <v>250.84800000000001</v>
      </c>
      <c r="DQ94" s="13">
        <f t="shared" si="97"/>
        <v>60.767491486783541</v>
      </c>
      <c r="DR94" s="20">
        <f t="shared" si="70"/>
        <v>542.7303143394812</v>
      </c>
      <c r="DS94" s="59">
        <f t="shared" si="71"/>
        <v>836.06364767281457</v>
      </c>
      <c r="DT94" s="59">
        <f ca="1">AVERAGE(OFFSET($DS$3,0,0,'Données projet'!$E$14+1,1))-AVERAGE(OFFSET($H$3,0,0,'Données projet'!$E$14+1,1))</f>
        <v>330.14201227773452</v>
      </c>
      <c r="DU94" s="59">
        <f t="shared" si="98"/>
        <v>307.07297894926467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29.462056592276912</v>
      </c>
      <c r="EB94" s="21">
        <f>EXP(-LN(2)/25)*EB93+(1-EXP(-LN(2)/25))/(LN(2)/25)*Calculateur!DW94*Calculateur!DY94*VLOOKUP('Données projet'!$B$14,Paramètres!$A$1:$I$89,3,0)*0.475*44/12</f>
        <v>20.013453207439326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49.475509799716235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236.00000000000009</v>
      </c>
      <c r="EK94" s="17">
        <f>EJ94*VLOOKUP('Données projet'!$B$15,Paramètres!$A$1:$I$89,3,0)*VLOOKUP('Données projet'!$B$15,Paramètres!$A$1:$I$89,5,0)</f>
        <v>154.62720000000004</v>
      </c>
      <c r="EL94" s="13">
        <f t="shared" si="99"/>
        <v>39.62826685000794</v>
      </c>
      <c r="EM94" s="20">
        <f t="shared" si="73"/>
        <v>338.32827143043056</v>
      </c>
      <c r="EN94" s="59">
        <f t="shared" si="74"/>
        <v>631.66160476376388</v>
      </c>
      <c r="EO94" s="59">
        <f ca="1">AVERAGE(OFFSET($EN$3,0,0,'Données projet'!$E$15+1,1))-AVERAGE(OFFSET($H$3,0,0,'Données projet'!$E$15+1,1))</f>
        <v>183.30081488041924</v>
      </c>
      <c r="EP94" s="59">
        <f t="shared" si="100"/>
        <v>199.33099759570928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3.6571771381968108</v>
      </c>
      <c r="EW94" s="21">
        <f>EXP(-LN(2)/25)*EW93+(1-EXP(-LN(2)/25))/(LN(2)/25)*Calculateur!ER94*Calculateur!ET94*VLOOKUP('Données projet'!$B$15,Paramètres!$A$1:$I$89,3,0)*0.475*44/12</f>
        <v>13.541952313782001</v>
      </c>
      <c r="EX94" s="21">
        <f>EXP(-LN(2)/2)*EX93+(1-EXP(-LN(2)/2))/(LN(2)/2)*ER94*EU94*VLOOKUP('Données projet'!$B$15,Paramètres!$A$1:$I$89,3,0)*0.475*44/12</f>
        <v>1.5155432295046944</v>
      </c>
      <c r="EY94" s="22">
        <f t="shared" si="75"/>
        <v>18.714672681483506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11.242307692307691</v>
      </c>
      <c r="N95" s="13">
        <f>IF('Données projet'!$A$36&gt;35,N94+M95-V94,IF(A95&lt;'Données projet'!$A$36,$K$205^A95,IF(A95='Données projet'!$A$36,'Données projet'!$B$36,N94+M95-V94)))</f>
        <v>435.39615384615405</v>
      </c>
      <c r="O95" s="13">
        <f>N95*VLOOKUP('Données projet'!$B$9,Paramètres!$A$1:$I$89,3,0)*VLOOKUP('Données projet'!$B$9,Paramètres!$A$1:$I$89,5,0)</f>
        <v>203.76540000000008</v>
      </c>
      <c r="P95" s="13">
        <f t="shared" si="87"/>
        <v>50.570788227585879</v>
      </c>
      <c r="Q95" s="20">
        <f t="shared" si="54"/>
        <v>442.96886116304557</v>
      </c>
      <c r="R95" s="59">
        <f t="shared" si="55"/>
        <v>736.30219449637889</v>
      </c>
      <c r="S95" s="59">
        <f ca="1">AVERAGE(OFFSET($R$3,0,0,'Données projet'!$E$9+1,1))-AVERAGE(OFFSET($H$3,0,0,'Données projet'!$E$9+1,1))</f>
        <v>205.73717397588365</v>
      </c>
      <c r="T95" s="59">
        <f t="shared" si="88"/>
        <v>190.64998698136026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71.444409583572181</v>
      </c>
      <c r="AA95" s="21">
        <f>EXP(-LN(2)/25)*AA94+(1-EXP(-LN(2)/25))/(LN(2)/25)*Calculateur!V95*Calculateur!X95*VLOOKUP('Données projet'!$B$9,Paramètres!$A$1:$I$89,3,0)*0.475*44/12</f>
        <v>23.048049747534183</v>
      </c>
      <c r="AB95" s="21">
        <f>EXP(-LN(2)/2)*AB94+(1-EXP(-LN(2)/2))/(LN(2)/2)*V95*Y95*VLOOKUP('Données projet'!$B$9,Paramètres!$A$1:$I$89,3,0)*0.475*44/12</f>
        <v>1.0200516937136495</v>
      </c>
      <c r="AC95" s="22">
        <f t="shared" si="57"/>
        <v>95.512511024820014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283.73369613548124</v>
      </c>
      <c r="AO95" s="59">
        <f t="shared" si="90"/>
        <v>249.77804091581208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-6.3550942286383367E-14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278.5296012747549</v>
      </c>
      <c r="BJ95" s="59">
        <f t="shared" si="92"/>
        <v>370.55343097937077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108.92751186860532</v>
      </c>
      <c r="BQ95" s="21">
        <f>EXP(-LN(2)/25)*BQ94+(1-EXP(-LN(2)/25))/(LN(2)/25)*Calculateur!BL95*Calculateur!BN95*VLOOKUP('Données projet'!$B$11,Paramètres!$A$1:$I$89,3,0)*0.475*44/12</f>
        <v>20.651708904683769</v>
      </c>
      <c r="BR95" s="21">
        <f>EXP(-LN(2)/2)*BR94+(1-EXP(-LN(2)/2))/(LN(2)/2)*BL95*BO95*VLOOKUP('Données projet'!$B$11,Paramètres!$A$1:$I$89,3,0)*0.475*44/12</f>
        <v>9.2146643506939272E-5</v>
      </c>
      <c r="BS95" s="22">
        <f t="shared" si="63"/>
        <v>129.57931291993259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-3.1036506698001178E-14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159.92263609041913</v>
      </c>
      <c r="CE95" s="59">
        <f t="shared" si="94"/>
        <v>271.78119133009307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24.080832562638921</v>
      </c>
      <c r="CL95" s="21">
        <f>EXP(-LN(2)/25)*CL94+(1-EXP(-LN(2)/25))/(LN(2)/25)*Calculateur!CG95*Calculateur!CI95*VLOOKUP('Données projet'!$B$12,Paramètres!$A$1:$I$89,3,0)*0.475*44/12</f>
        <v>35.459209782192929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59.540042344831846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7.1782051282051267</v>
      </c>
      <c r="CT95" s="12">
        <f>IF('Données projet'!$A$140&gt;35,CT94+CS95-DB94,IF(A95&lt;'Données projet'!$A$140,$CQ$205^A95,IF(A95='Données projet'!$A$140,'Données projet'!$B$140,CT94+CS95-DB94)))</f>
        <v>268.00256410256446</v>
      </c>
      <c r="CU95" s="17">
        <f>CT95*VLOOKUP('Données projet'!$B$13,Paramètres!$A$1:$I$89,3,0)*VLOOKUP('Données projet'!$B$13,Paramètres!$A$1:$I$89,5,0)</f>
        <v>242.48872000000031</v>
      </c>
      <c r="CV95" s="13">
        <f t="shared" si="95"/>
        <v>58.974668795914049</v>
      </c>
      <c r="CW95" s="20">
        <f t="shared" si="67"/>
        <v>525.04873548621742</v>
      </c>
      <c r="CX95" s="59">
        <f t="shared" si="68"/>
        <v>818.3820688195508</v>
      </c>
      <c r="CY95" s="59">
        <f ca="1">AVERAGE(OFFSET($CX$3,0,0,'Données projet'!$E$13+1,1))-AVERAGE(OFFSET($H$3,0,0,'Données projet'!$E$13+1,1))</f>
        <v>280.25710840677186</v>
      </c>
      <c r="CZ95" s="59">
        <f t="shared" si="96"/>
        <v>209.65224013288037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39.845298866940702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39.845298866940702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</v>
      </c>
      <c r="DO95" s="12">
        <f>IF('Données projet'!$A$166&gt;35,DO94+DN95-DW94,IF(A95&lt;'Données projet'!$A$166,$DL$205^A95,IF(A95='Données projet'!$A$166,'Données projet'!$B$166,DO94+DN95-DW94)))</f>
        <v>243</v>
      </c>
      <c r="DP95" s="17">
        <f>DO95*VLOOKUP('Données projet'!$B$14,Paramètres!$A$1:$I$89,3,0)*VLOOKUP('Données projet'!$B$14,Paramètres!$A$1:$I$89,5,0)</f>
        <v>253.98360000000002</v>
      </c>
      <c r="DQ95" s="13">
        <f t="shared" si="97"/>
        <v>61.438182405444294</v>
      </c>
      <c r="DR95" s="20">
        <f t="shared" si="70"/>
        <v>549.35960435614891</v>
      </c>
      <c r="DS95" s="59">
        <f t="shared" si="71"/>
        <v>842.69293768948228</v>
      </c>
      <c r="DT95" s="59">
        <f ca="1">AVERAGE(OFFSET($DS$3,0,0,'Données projet'!$E$14+1,1))-AVERAGE(OFFSET($H$3,0,0,'Données projet'!$E$14+1,1))</f>
        <v>330.14201227773452</v>
      </c>
      <c r="DU95" s="59">
        <f t="shared" si="98"/>
        <v>307.07297894926467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28.884323632582486</v>
      </c>
      <c r="EB95" s="21">
        <f>EXP(-LN(2)/25)*EB94+(1-EXP(-LN(2)/25))/(LN(2)/25)*Calculateur!DW95*Calculateur!DY95*VLOOKUP('Données projet'!$B$14,Paramètres!$A$1:$I$89,3,0)*0.475*44/12</f>
        <v>19.466184277020137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48.350507909602626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236.00000000000009</v>
      </c>
      <c r="EK95" s="17">
        <f>EJ95*VLOOKUP('Données projet'!$B$15,Paramètres!$A$1:$I$89,3,0)*VLOOKUP('Données projet'!$B$15,Paramètres!$A$1:$I$89,5,0)</f>
        <v>154.62720000000004</v>
      </c>
      <c r="EL95" s="13">
        <f t="shared" si="99"/>
        <v>39.62826685000794</v>
      </c>
      <c r="EM95" s="20">
        <f t="shared" si="73"/>
        <v>338.32827143043056</v>
      </c>
      <c r="EN95" s="59">
        <f t="shared" si="74"/>
        <v>631.66160476376388</v>
      </c>
      <c r="EO95" s="59">
        <f ca="1">AVERAGE(OFFSET($EN$3,0,0,'Données projet'!$E$15+1,1))-AVERAGE(OFFSET($H$3,0,0,'Données projet'!$E$15+1,1))</f>
        <v>183.30081488041924</v>
      </c>
      <c r="EP95" s="59">
        <f t="shared" si="100"/>
        <v>199.33099759570928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3.5854621251745664</v>
      </c>
      <c r="EW95" s="21">
        <f>EXP(-LN(2)/25)*EW94+(1-EXP(-LN(2)/25))/(LN(2)/25)*Calculateur!ER95*Calculateur!ET95*VLOOKUP('Données projet'!$B$15,Paramètres!$A$1:$I$89,3,0)*0.475*44/12</f>
        <v>13.171646915621311</v>
      </c>
      <c r="EX95" s="21">
        <f>EXP(-LN(2)/2)*EX94+(1-EXP(-LN(2)/2))/(LN(2)/2)*ER95*EU95*VLOOKUP('Données projet'!$B$15,Paramètres!$A$1:$I$89,3,0)*0.475*44/12</f>
        <v>1.0716508947641297</v>
      </c>
      <c r="EY95" s="22">
        <f t="shared" si="75"/>
        <v>17.828759935560008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11.242307692307691</v>
      </c>
      <c r="N96" s="13">
        <f>IF('Données projet'!$A$36&gt;35,N95+M96-V95,IF(A96&lt;'Données projet'!$A$36,$K$205^A96,IF(A96='Données projet'!$A$36,'Données projet'!$B$36,N95+M96-V95)))</f>
        <v>446.63846153846174</v>
      </c>
      <c r="O96" s="13">
        <f>N96*VLOOKUP('Données projet'!$B$9,Paramètres!$A$1:$I$89,3,0)*VLOOKUP('Données projet'!$B$9,Paramètres!$A$1:$I$89,5,0)</f>
        <v>209.02680000000009</v>
      </c>
      <c r="P96" s="13">
        <f t="shared" si="87"/>
        <v>51.722859553755349</v>
      </c>
      <c r="Q96" s="20">
        <f t="shared" si="54"/>
        <v>454.13899038945743</v>
      </c>
      <c r="R96" s="59">
        <f t="shared" si="55"/>
        <v>747.47232372279075</v>
      </c>
      <c r="S96" s="59">
        <f ca="1">AVERAGE(OFFSET($R$3,0,0,'Données projet'!$E$9+1,1))-AVERAGE(OFFSET($H$3,0,0,'Données projet'!$E$9+1,1))</f>
        <v>205.73717397588365</v>
      </c>
      <c r="T96" s="59">
        <f t="shared" si="88"/>
        <v>190.64998698136026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70.043428288425332</v>
      </c>
      <c r="AA96" s="21">
        <f>EXP(-LN(2)/25)*AA95+(1-EXP(-LN(2)/25))/(LN(2)/25)*Calculateur!V96*Calculateur!X96*VLOOKUP('Données projet'!$B$9,Paramètres!$A$1:$I$89,3,0)*0.475*44/12</f>
        <v>22.417799615143601</v>
      </c>
      <c r="AB96" s="21">
        <f>EXP(-LN(2)/2)*AB95+(1-EXP(-LN(2)/2))/(LN(2)/2)*V96*Y96*VLOOKUP('Données projet'!$B$9,Paramètres!$A$1:$I$89,3,0)*0.475*44/12</f>
        <v>0.72128546978574481</v>
      </c>
      <c r="AC96" s="22">
        <f t="shared" si="57"/>
        <v>93.182513373354666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283.73369613548124</v>
      </c>
      <c r="AO96" s="59">
        <f t="shared" si="90"/>
        <v>249.77804091581208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-6.3550942286383367E-14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278.5296012747549</v>
      </c>
      <c r="BJ96" s="59">
        <f t="shared" si="92"/>
        <v>370.55343097937077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106.79150980008389</v>
      </c>
      <c r="BQ96" s="21">
        <f>EXP(-LN(2)/25)*BQ95+(1-EXP(-LN(2)/25))/(LN(2)/25)*Calculateur!BL96*Calculateur!BN96*VLOOKUP('Données projet'!$B$11,Paramètres!$A$1:$I$89,3,0)*0.475*44/12</f>
        <v>20.086986838659019</v>
      </c>
      <c r="BR96" s="21">
        <f>EXP(-LN(2)/2)*BR95+(1-EXP(-LN(2)/2))/(LN(2)/2)*BL96*BO96*VLOOKUP('Données projet'!$B$11,Paramètres!$A$1:$I$89,3,0)*0.475*44/12</f>
        <v>6.5157516487336108E-5</v>
      </c>
      <c r="BS96" s="22">
        <f t="shared" si="63"/>
        <v>126.87856179625939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-3.1036506698001178E-14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159.92263609041913</v>
      </c>
      <c r="CE96" s="59">
        <f t="shared" si="94"/>
        <v>271.78119133009307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23.608622123943128</v>
      </c>
      <c r="CL96" s="21">
        <f>EXP(-LN(2)/25)*CL95+(1-EXP(-LN(2)/25))/(LN(2)/25)*Calculateur!CG96*Calculateur!CI96*VLOOKUP('Données projet'!$B$12,Paramètres!$A$1:$I$89,3,0)*0.475*44/12</f>
        <v>34.489575825980062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58.09819794992319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7.1782051282051267</v>
      </c>
      <c r="CT96" s="12">
        <f>IF('Données projet'!$A$140&gt;35,CT95+CS96-DB95,IF(A96&lt;'Données projet'!$A$140,$CQ$205^A96,IF(A96='Données projet'!$A$140,'Données projet'!$B$140,CT95+CS96-DB95)))</f>
        <v>275.18076923076961</v>
      </c>
      <c r="CU96" s="17">
        <f>CT96*VLOOKUP('Données projet'!$B$13,Paramètres!$A$1:$I$89,3,0)*VLOOKUP('Données projet'!$B$13,Paramètres!$A$1:$I$89,5,0)</f>
        <v>248.98356000000032</v>
      </c>
      <c r="CV96" s="13">
        <f t="shared" si="95"/>
        <v>60.368233943158614</v>
      </c>
      <c r="CW96" s="20">
        <f t="shared" si="67"/>
        <v>538.78770778433511</v>
      </c>
      <c r="CX96" s="59">
        <f t="shared" si="68"/>
        <v>832.12104111766848</v>
      </c>
      <c r="CY96" s="59">
        <f ca="1">AVERAGE(OFFSET($CX$3,0,0,'Données projet'!$E$13+1,1))-AVERAGE(OFFSET($H$3,0,0,'Données projet'!$E$13+1,1))</f>
        <v>280.25710840677186</v>
      </c>
      <c r="CZ96" s="59">
        <f t="shared" si="96"/>
        <v>209.65224013288037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39.063956859392562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39.063956859392562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</v>
      </c>
      <c r="DO96" s="12">
        <f>IF('Données projet'!$A$166&gt;35,DO95+DN96-DW95,IF(A96&lt;'Données projet'!$A$166,$DL$205^A96,IF(A96='Données projet'!$A$166,'Données projet'!$B$166,DO95+DN96-DW95)))</f>
        <v>246</v>
      </c>
      <c r="DP96" s="17">
        <f>DO96*VLOOKUP('Données projet'!$B$14,Paramètres!$A$1:$I$89,3,0)*VLOOKUP('Données projet'!$B$14,Paramètres!$A$1:$I$89,5,0)</f>
        <v>257.11920000000003</v>
      </c>
      <c r="DQ96" s="13">
        <f t="shared" si="97"/>
        <v>62.107910182723955</v>
      </c>
      <c r="DR96" s="20">
        <f t="shared" si="70"/>
        <v>555.98721690157754</v>
      </c>
      <c r="DS96" s="59">
        <f t="shared" si="71"/>
        <v>849.3205502349108</v>
      </c>
      <c r="DT96" s="59">
        <f ca="1">AVERAGE(OFFSET($DS$3,0,0,'Données projet'!$E$14+1,1))-AVERAGE(OFFSET($H$3,0,0,'Données projet'!$E$14+1,1))</f>
        <v>330.14201227773452</v>
      </c>
      <c r="DU96" s="59">
        <f t="shared" si="98"/>
        <v>307.07297894926467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28.317919663845355</v>
      </c>
      <c r="EB96" s="21">
        <f>EXP(-LN(2)/25)*EB95+(1-EXP(-LN(2)/25))/(LN(2)/25)*Calculateur!DW96*Calculateur!DY96*VLOOKUP('Données projet'!$B$14,Paramètres!$A$1:$I$89,3,0)*0.475*44/12</f>
        <v>18.933880444282881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47.251800108128236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236.00000000000009</v>
      </c>
      <c r="EK96" s="17">
        <f>EJ96*VLOOKUP('Données projet'!$B$15,Paramètres!$A$1:$I$89,3,0)*VLOOKUP('Données projet'!$B$15,Paramètres!$A$1:$I$89,5,0)</f>
        <v>154.62720000000004</v>
      </c>
      <c r="EL96" s="13">
        <f t="shared" si="99"/>
        <v>39.62826685000794</v>
      </c>
      <c r="EM96" s="20">
        <f t="shared" si="73"/>
        <v>338.32827143043056</v>
      </c>
      <c r="EN96" s="59">
        <f t="shared" si="74"/>
        <v>631.66160476376388</v>
      </c>
      <c r="EO96" s="59">
        <f ca="1">AVERAGE(OFFSET($EN$3,0,0,'Données projet'!$E$15+1,1))-AVERAGE(OFFSET($H$3,0,0,'Données projet'!$E$15+1,1))</f>
        <v>183.30081488041924</v>
      </c>
      <c r="EP96" s="59">
        <f t="shared" si="100"/>
        <v>199.33099759570928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3.5151533998158495</v>
      </c>
      <c r="EW96" s="21">
        <f>EXP(-LN(2)/25)*EW95+(1-EXP(-LN(2)/25))/(LN(2)/25)*Calculateur!ER96*Calculateur!ET96*VLOOKUP('Données projet'!$B$15,Paramètres!$A$1:$I$89,3,0)*0.475*44/12</f>
        <v>12.811467538046839</v>
      </c>
      <c r="EX96" s="21">
        <f>EXP(-LN(2)/2)*EX95+(1-EXP(-LN(2)/2))/(LN(2)/2)*ER96*EU96*VLOOKUP('Données projet'!$B$15,Paramètres!$A$1:$I$89,3,0)*0.475*44/12</f>
        <v>0.75777161475234733</v>
      </c>
      <c r="EY96" s="22">
        <f t="shared" si="75"/>
        <v>17.084392552615036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11.242307692307691</v>
      </c>
      <c r="N97" s="13">
        <f>IF('Données projet'!$A$36&gt;35,N96+M97-V96,IF(A97&lt;'Données projet'!$A$36,$K$205^A97,IF(A97='Données projet'!$A$36,'Données projet'!$B$36,N96+M97-V96)))</f>
        <v>457.88076923076943</v>
      </c>
      <c r="O97" s="13">
        <f>N97*VLOOKUP('Données projet'!$B$9,Paramètres!$A$1:$I$89,3,0)*VLOOKUP('Données projet'!$B$9,Paramètres!$A$1:$I$89,5,0)</f>
        <v>214.28820000000007</v>
      </c>
      <c r="P97" s="13">
        <f t="shared" si="87"/>
        <v>52.871559993650941</v>
      </c>
      <c r="Q97" s="20">
        <f t="shared" si="54"/>
        <v>465.3032486556088</v>
      </c>
      <c r="R97" s="59">
        <f t="shared" si="55"/>
        <v>758.63658198894211</v>
      </c>
      <c r="S97" s="59">
        <f ca="1">AVERAGE(OFFSET($R$3,0,0,'Données projet'!$E$9+1,1))-AVERAGE(OFFSET($H$3,0,0,'Données projet'!$E$9+1,1))</f>
        <v>205.73717397588365</v>
      </c>
      <c r="T97" s="59">
        <f t="shared" si="88"/>
        <v>190.64998698136026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68.669919381962089</v>
      </c>
      <c r="AA97" s="21">
        <f>EXP(-LN(2)/25)*AA96+(1-EXP(-LN(2)/25))/(LN(2)/25)*Calculateur!V97*Calculateur!X97*VLOOKUP('Données projet'!$B$9,Paramètres!$A$1:$I$89,3,0)*0.475*44/12</f>
        <v>21.804783705766653</v>
      </c>
      <c r="AB97" s="21">
        <f>EXP(-LN(2)/2)*AB96+(1-EXP(-LN(2)/2))/(LN(2)/2)*V97*Y97*VLOOKUP('Données projet'!$B$9,Paramètres!$A$1:$I$89,3,0)*0.475*44/12</f>
        <v>0.51002584685682484</v>
      </c>
      <c r="AC97" s="22">
        <f t="shared" si="57"/>
        <v>90.984728934585561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283.73369613548124</v>
      </c>
      <c r="AO97" s="59">
        <f t="shared" si="90"/>
        <v>249.77804091581208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-6.3550942286383367E-14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278.5296012747549</v>
      </c>
      <c r="BJ97" s="59">
        <f t="shared" si="92"/>
        <v>370.55343097937077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104.69739342929354</v>
      </c>
      <c r="BQ97" s="21">
        <f>EXP(-LN(2)/25)*BQ96+(1-EXP(-LN(2)/25))/(LN(2)/25)*Calculateur!BL97*Calculateur!BN97*VLOOKUP('Données projet'!$B$11,Paramètres!$A$1:$I$89,3,0)*0.475*44/12</f>
        <v>19.537707127227161</v>
      </c>
      <c r="BR97" s="21">
        <f>EXP(-LN(2)/2)*BR96+(1-EXP(-LN(2)/2))/(LN(2)/2)*BL97*BO97*VLOOKUP('Données projet'!$B$11,Paramètres!$A$1:$I$89,3,0)*0.475*44/12</f>
        <v>4.6073321753469636E-5</v>
      </c>
      <c r="BS97" s="22">
        <f t="shared" si="63"/>
        <v>124.23514662984246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-3.1036506698001178E-14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159.92263609041913</v>
      </c>
      <c r="CE97" s="59">
        <f t="shared" si="94"/>
        <v>271.78119133009307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23.145671443930233</v>
      </c>
      <c r="CL97" s="21">
        <f>EXP(-LN(2)/25)*CL96+(1-EXP(-LN(2)/25))/(LN(2)/25)*Calculateur!CG97*Calculateur!CI97*VLOOKUP('Données projet'!$B$12,Paramètres!$A$1:$I$89,3,0)*0.475*44/12</f>
        <v>33.546456561290668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56.692128005220901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7.1782051282051267</v>
      </c>
      <c r="CT97" s="12">
        <f>IF('Données projet'!$A$140&gt;35,CT96+CS97-DB96,IF(A97&lt;'Données projet'!$A$140,$CQ$205^A97,IF(A97='Données projet'!$A$140,'Données projet'!$B$140,CT96+CS97-DB96)))</f>
        <v>282.35897435897476</v>
      </c>
      <c r="CU97" s="17">
        <f>CT97*VLOOKUP('Données projet'!$B$13,Paramètres!$A$1:$I$89,3,0)*VLOOKUP('Données projet'!$B$13,Paramètres!$A$1:$I$89,5,0)</f>
        <v>255.47840000000036</v>
      </c>
      <c r="CV97" s="13">
        <f t="shared" si="95"/>
        <v>61.757573660260803</v>
      </c>
      <c r="CW97" s="20">
        <f t="shared" si="67"/>
        <v>552.51932079162145</v>
      </c>
      <c r="CX97" s="59">
        <f t="shared" si="68"/>
        <v>845.85265412495482</v>
      </c>
      <c r="CY97" s="59">
        <f ca="1">AVERAGE(OFFSET($CX$3,0,0,'Données projet'!$E$13+1,1))-AVERAGE(OFFSET($H$3,0,0,'Données projet'!$E$13+1,1))</f>
        <v>280.25710840677186</v>
      </c>
      <c r="CZ97" s="59">
        <f t="shared" si="96"/>
        <v>209.65224013288037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38.297936492040868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38.297936492040868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</v>
      </c>
      <c r="DO97" s="12">
        <f>IF('Données projet'!$A$166&gt;35,DO96+DN97-DW96,IF(A97&lt;'Données projet'!$A$166,$DL$205^A97,IF(A97='Données projet'!$A$166,'Données projet'!$B$166,DO96+DN97-DW96)))</f>
        <v>249</v>
      </c>
      <c r="DP97" s="17">
        <f>DO97*VLOOKUP('Données projet'!$B$14,Paramètres!$A$1:$I$89,3,0)*VLOOKUP('Données projet'!$B$14,Paramètres!$A$1:$I$89,5,0)</f>
        <v>260.25480000000005</v>
      </c>
      <c r="DQ97" s="13">
        <f t="shared" si="97"/>
        <v>62.776687922790821</v>
      </c>
      <c r="DR97" s="20">
        <f t="shared" si="70"/>
        <v>562.61317479886077</v>
      </c>
      <c r="DS97" s="59">
        <f t="shared" si="71"/>
        <v>855.94650813219414</v>
      </c>
      <c r="DT97" s="59">
        <f ca="1">AVERAGE(OFFSET($DS$3,0,0,'Données projet'!$E$14+1,1))-AVERAGE(OFFSET($H$3,0,0,'Données projet'!$E$14+1,1))</f>
        <v>330.14201227773452</v>
      </c>
      <c r="DU97" s="59">
        <f t="shared" si="98"/>
        <v>307.07297894926467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27.762622531462853</v>
      </c>
      <c r="EB97" s="21">
        <f>EXP(-LN(2)/25)*EB96+(1-EXP(-LN(2)/25))/(LN(2)/25)*Calculateur!DW97*Calculateur!DY97*VLOOKUP('Données projet'!$B$14,Paramètres!$A$1:$I$89,3,0)*0.475*44/12</f>
        <v>18.416132487844468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46.178755019307317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236.00000000000009</v>
      </c>
      <c r="EK97" s="17">
        <f>EJ97*VLOOKUP('Données projet'!$B$15,Paramètres!$A$1:$I$89,3,0)*VLOOKUP('Données projet'!$B$15,Paramètres!$A$1:$I$89,5,0)</f>
        <v>154.62720000000004</v>
      </c>
      <c r="EL97" s="13">
        <f t="shared" si="99"/>
        <v>39.62826685000794</v>
      </c>
      <c r="EM97" s="20">
        <f t="shared" si="73"/>
        <v>338.32827143043056</v>
      </c>
      <c r="EN97" s="59">
        <f t="shared" si="74"/>
        <v>631.66160476376388</v>
      </c>
      <c r="EO97" s="59">
        <f ca="1">AVERAGE(OFFSET($EN$3,0,0,'Données projet'!$E$15+1,1))-AVERAGE(OFFSET($H$3,0,0,'Données projet'!$E$15+1,1))</f>
        <v>183.30081488041924</v>
      </c>
      <c r="EP97" s="59">
        <f t="shared" si="100"/>
        <v>199.33099759570928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3.446223385677329</v>
      </c>
      <c r="EW97" s="21">
        <f>EXP(-LN(2)/25)*EW96+(1-EXP(-LN(2)/25))/(LN(2)/25)*Calculateur!ER97*Calculateur!ET97*VLOOKUP('Données projet'!$B$15,Paramètres!$A$1:$I$89,3,0)*0.475*44/12</f>
        <v>12.461137284493152</v>
      </c>
      <c r="EX97" s="21">
        <f>EXP(-LN(2)/2)*EX96+(1-EXP(-LN(2)/2))/(LN(2)/2)*ER97*EU97*VLOOKUP('Données projet'!$B$15,Paramètres!$A$1:$I$89,3,0)*0.475*44/12</f>
        <v>0.53582544738206495</v>
      </c>
      <c r="EY97" s="22">
        <f t="shared" si="75"/>
        <v>16.443186117552546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469.12307692307689</v>
      </c>
      <c r="L98" s="12">
        <f>VLOOKUP(A98,'Données projet'!$A$35:$I$55,9,0)</f>
        <v>11.242307692307691</v>
      </c>
      <c r="M98" s="12">
        <f t="array" ref="M98">INDEX(L:L,MIN(IF(ISNUMBER(L98:L294),ROW(L98:L294),"")))</f>
        <v>11.242307692307691</v>
      </c>
      <c r="N98" s="13">
        <f>IF('Données projet'!$A$36&gt;35,N97+M98-V97,IF(A98&lt;'Données projet'!$A$36,$K$205^A98,IF(A98='Données projet'!$A$36,'Données projet'!$B$36,N97+M98-V97)))</f>
        <v>469.12307692307712</v>
      </c>
      <c r="O98" s="13">
        <f>N98*VLOOKUP('Données projet'!$B$9,Paramètres!$A$1:$I$89,3,0)*VLOOKUP('Données projet'!$B$9,Paramètres!$A$1:$I$89,5,0)</f>
        <v>219.54960000000008</v>
      </c>
      <c r="P98" s="13">
        <f t="shared" si="87"/>
        <v>54.016981833057052</v>
      </c>
      <c r="Q98" s="20">
        <f t="shared" si="54"/>
        <v>476.46179669257441</v>
      </c>
      <c r="R98" s="59">
        <f t="shared" si="55"/>
        <v>769.79513002590772</v>
      </c>
      <c r="S98" s="59">
        <f ca="1">AVERAGE(OFFSET($R$3,0,0,'Données projet'!$E$9+1,1))-AVERAGE(OFFSET($H$3,0,0,'Données projet'!$E$9+1,1))</f>
        <v>205.73717397588365</v>
      </c>
      <c r="T98" s="59">
        <f t="shared" si="88"/>
        <v>190.64998698136026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234.42307692307691</v>
      </c>
      <c r="W98" s="16">
        <f>IF(ISNA(VLOOKUP(A98,'Données projet'!$A$35:$I$55,5,0)),0%,VLOOKUP(A98,'Données projet'!$A$35:$I$55,5,0)*VLOOKUP('Données projet'!$B$9,Paramètres!$A$1:$I$89,7,0))</f>
        <v>0.38500000000000001</v>
      </c>
      <c r="X98" s="16">
        <f>IF(ISNA(VLOOKUP(A98,'Données projet'!$A$35:$I$55,6,0)),0%,VLOOKUP(A98,'Données projet'!$A$35:$I$55,6,0)*VLOOKUP('Données projet'!$B$9,Paramètres!$A$1:$I$89,7,0))</f>
        <v>9.240000000000001E-2</v>
      </c>
      <c r="Y98" s="16">
        <f>IF(ISNA(VLOOKUP(A98,'Données projet'!$A$35:$I$55,7,0)),0%,VLOOKUP(A98,'Données projet'!$A$35:$I$55,7,0))</f>
        <v>0.13200000000000001</v>
      </c>
      <c r="Z98" s="21">
        <f>EXP(-LN(2)/35)*Z97+(1-EXP(-LN(2)/35))/(LN(2)/35)*V98*W98*VLOOKUP('Données projet'!$B$9,Paramètres!$A$1:$I$89,3,0)*0.475*44/12</f>
        <v>123.35523791381158</v>
      </c>
      <c r="AA98" s="21">
        <f>EXP(-LN(2)/25)*AA97+(1-EXP(-LN(2)/25))/(LN(2)/25)*Calculateur!V98*Calculateur!X98*VLOOKUP('Données projet'!$B$9,Paramètres!$A$1:$I$89,3,0)*0.475*44/12</f>
        <v>34.603236712868167</v>
      </c>
      <c r="AB98" s="21">
        <f>EXP(-LN(2)/2)*AB97+(1-EXP(-LN(2)/2))/(LN(2)/2)*V98*Y98*VLOOKUP('Données projet'!$B$9,Paramètres!$A$1:$I$89,3,0)*0.475*44/12</f>
        <v>16.757313842627845</v>
      </c>
      <c r="AC98" s="22">
        <f t="shared" si="57"/>
        <v>174.71578846930757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283.73369613548124</v>
      </c>
      <c r="AO98" s="59">
        <f t="shared" si="90"/>
        <v>249.77804091581208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-6.3550942286383367E-14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278.5296012747549</v>
      </c>
      <c r="BJ98" s="59">
        <f t="shared" si="92"/>
        <v>370.55343097937077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102.64434140324953</v>
      </c>
      <c r="BQ98" s="21">
        <f>EXP(-LN(2)/25)*BQ97+(1-EXP(-LN(2)/25))/(LN(2)/25)*Calculateur!BL98*Calculateur!BN98*VLOOKUP('Données projet'!$B$11,Paramètres!$A$1:$I$89,3,0)*0.475*44/12</f>
        <v>19.003447498389772</v>
      </c>
      <c r="BR98" s="21">
        <f>EXP(-LN(2)/2)*BR97+(1-EXP(-LN(2)/2))/(LN(2)/2)*BL98*BO98*VLOOKUP('Données projet'!$B$11,Paramètres!$A$1:$I$89,3,0)*0.475*44/12</f>
        <v>3.2578758243668054E-5</v>
      </c>
      <c r="BS98" s="22">
        <f t="shared" si="63"/>
        <v>121.64782148039754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-3.1036506698001178E-14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159.92263609041913</v>
      </c>
      <c r="CE98" s="59">
        <f t="shared" si="94"/>
        <v>271.78119133009307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22.691798944380359</v>
      </c>
      <c r="CL98" s="21">
        <f>EXP(-LN(2)/25)*CL97+(1-EXP(-LN(2)/25))/(LN(2)/25)*Calculateur!CG98*Calculateur!CI98*VLOOKUP('Données projet'!$B$12,Paramètres!$A$1:$I$89,3,0)*0.475*44/12</f>
        <v>32.629126942490693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55.320925886871052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7.1782051282051267</v>
      </c>
      <c r="CT98" s="12">
        <f>IF('Données projet'!$A$140&gt;35,CT97+CS98-DB97,IF(A98&lt;'Données projet'!$A$140,$CQ$205^A98,IF(A98='Données projet'!$A$140,'Données projet'!$B$140,CT97+CS98-DB97)))</f>
        <v>289.53717948717991</v>
      </c>
      <c r="CU98" s="17">
        <f>CT98*VLOOKUP('Données projet'!$B$13,Paramètres!$A$1:$I$89,3,0)*VLOOKUP('Données projet'!$B$13,Paramètres!$A$1:$I$89,5,0)</f>
        <v>261.97324000000037</v>
      </c>
      <c r="CV98" s="13">
        <f t="shared" si="95"/>
        <v>63.142807719765102</v>
      </c>
      <c r="CW98" s="20">
        <f t="shared" si="67"/>
        <v>566.24378311192481</v>
      </c>
      <c r="CX98" s="59">
        <f t="shared" si="68"/>
        <v>859.57711644525807</v>
      </c>
      <c r="CY98" s="59">
        <f ca="1">AVERAGE(OFFSET($CX$3,0,0,'Données projet'!$E$13+1,1))-AVERAGE(OFFSET($H$3,0,0,'Données projet'!$E$13+1,1))</f>
        <v>280.25710840677186</v>
      </c>
      <c r="CZ98" s="59">
        <f t="shared" si="96"/>
        <v>209.65224013288037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37.546937316866654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37.546937316866654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252</v>
      </c>
      <c r="DM98" s="12">
        <f>VLOOKUP(A98,'Données projet'!$A$165:$I$185,9,0)</f>
        <v>3</v>
      </c>
      <c r="DN98" s="12">
        <f t="array" ref="DN98">INDEX(DM:DM,MIN(IF(ISNUMBER(DM98:DM294),ROW(DM98:DM294),"")))</f>
        <v>3</v>
      </c>
      <c r="DO98" s="12">
        <f>IF('Données projet'!$A$166&gt;35,DO97+DN98-DW97,IF(A98&lt;'Données projet'!$A$166,$DL$205^A98,IF(A98='Données projet'!$A$166,'Données projet'!$B$166,DO97+DN98-DW97)))</f>
        <v>252</v>
      </c>
      <c r="DP98" s="17">
        <f>DO98*VLOOKUP('Données projet'!$B$14,Paramètres!$A$1:$I$89,3,0)*VLOOKUP('Données projet'!$B$14,Paramètres!$A$1:$I$89,5,0)</f>
        <v>263.3904</v>
      </c>
      <c r="DQ98" s="13">
        <f t="shared" si="97"/>
        <v>63.444528395882578</v>
      </c>
      <c r="DR98" s="20">
        <f t="shared" si="70"/>
        <v>569.23750028949542</v>
      </c>
      <c r="DS98" s="59">
        <f t="shared" si="71"/>
        <v>862.57083362282879</v>
      </c>
      <c r="DT98" s="59">
        <f ca="1">AVERAGE(OFFSET($DS$3,0,0,'Données projet'!$E$14+1,1))-AVERAGE(OFFSET($H$3,0,0,'Données projet'!$E$14+1,1))</f>
        <v>330.14201227773452</v>
      </c>
      <c r="DU98" s="59">
        <f t="shared" si="98"/>
        <v>307.07297894926467</v>
      </c>
      <c r="DV98" s="15">
        <f>IF(ISNA(VLOOKUP(A98,'Données projet'!$A$165:$I$185,3,0)),0,VLOOKUP(A98,'Données projet'!$A$165:$I$185,3,0))</f>
        <v>16</v>
      </c>
      <c r="DW98" s="15" t="str">
        <f>IF(ISNA(VLOOKUP(A98,'Données projet'!$A$165:$I$185,4,0)),0,VLOOKUP(A98,'Données projet'!$A$165:$I$185,4,0))</f>
        <v>12</v>
      </c>
      <c r="DX98" s="16">
        <f>IF(ISNA(VLOOKUP(A98,'Données projet'!$A$165:$I$185,5,0)),0%,VLOOKUP(A98,'Données projet'!$A$165:$I$185,5,0)*VLOOKUP('Données projet'!$B$14,Paramètres!$A$1:$I$89,7,0))</f>
        <v>0.30099999999999999</v>
      </c>
      <c r="DY98" s="16">
        <f>IF(ISNA(VLOOKUP(A98,'Données projet'!$A$165:$I$185,6,0)),0%,VLOOKUP(A98,'Données projet'!$A$165:$I$185,6,0)*VLOOKUP('Données projet'!$B$14,Paramètres!$A$1:$I$89,7,0))</f>
        <v>8.6000000000000007E-2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31.391655195313042</v>
      </c>
      <c r="EB98" s="21">
        <f>EXP(-LN(2)/25)*EB97+(1-EXP(-LN(2)/25))/(LN(2)/25)*Calculateur!DW98*Calculateur!DY98*VLOOKUP('Données projet'!$B$14,Paramètres!$A$1:$I$89,3,0)*0.475*44/12</f>
        <v>19.100259042700326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50.491914238013365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236.00000000000009</v>
      </c>
      <c r="EK98" s="17">
        <f>EJ98*VLOOKUP('Données projet'!$B$15,Paramètres!$A$1:$I$89,3,0)*VLOOKUP('Données projet'!$B$15,Paramètres!$A$1:$I$89,5,0)</f>
        <v>154.62720000000004</v>
      </c>
      <c r="EL98" s="13">
        <f t="shared" si="99"/>
        <v>39.62826685000794</v>
      </c>
      <c r="EM98" s="20">
        <f t="shared" si="73"/>
        <v>338.32827143043056</v>
      </c>
      <c r="EN98" s="59">
        <f t="shared" si="74"/>
        <v>631.66160476376388</v>
      </c>
      <c r="EO98" s="59">
        <f ca="1">AVERAGE(OFFSET($EN$3,0,0,'Données projet'!$E$15+1,1))-AVERAGE(OFFSET($H$3,0,0,'Données projet'!$E$15+1,1))</f>
        <v>183.30081488041924</v>
      </c>
      <c r="EP98" s="59">
        <f t="shared" si="100"/>
        <v>199.33099759570928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3.3786450470729079</v>
      </c>
      <c r="EW98" s="21">
        <f>EXP(-LN(2)/25)*EW97+(1-EXP(-LN(2)/25))/(LN(2)/25)*Calculateur!ER98*Calculateur!ET98*VLOOKUP('Données projet'!$B$15,Paramètres!$A$1:$I$89,3,0)*0.475*44/12</f>
        <v>12.120386830145957</v>
      </c>
      <c r="EX98" s="21">
        <f>EXP(-LN(2)/2)*EX97+(1-EXP(-LN(2)/2))/(LN(2)/2)*ER98*EU98*VLOOKUP('Données projet'!$B$15,Paramètres!$A$1:$I$89,3,0)*0.475*44/12</f>
        <v>0.37888580737617378</v>
      </c>
      <c r="EY98" s="22">
        <f t="shared" si="75"/>
        <v>15.877917684595038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7.5015384615384617</v>
      </c>
      <c r="N99" s="13">
        <f>IF('Données projet'!$A$36&gt;35,N98+M99-V98,IF(A99&lt;'Données projet'!$A$36,$K$205^A99,IF(A99='Données projet'!$A$36,'Données projet'!$B$36,N98+M99-V98)))</f>
        <v>242.20153846153869</v>
      </c>
      <c r="O99" s="13">
        <f>N99*VLOOKUP('Données projet'!$B$9,Paramètres!$A$1:$I$89,3,0)*VLOOKUP('Données projet'!$B$9,Paramètres!$A$1:$I$89,5,0)</f>
        <v>113.35032000000011</v>
      </c>
      <c r="P99" s="13">
        <f t="shared" si="87"/>
        <v>30.118962463528121</v>
      </c>
      <c r="Q99" s="20">
        <f t="shared" ref="Q99:Q130" si="107">(O99+P99)*0.475*44/12</f>
        <v>249.87566695731167</v>
      </c>
      <c r="R99" s="59">
        <f t="shared" si="55"/>
        <v>543.20900029064501</v>
      </c>
      <c r="S99" s="59">
        <f ca="1">AVERAGE(OFFSET($R$3,0,0,'Données projet'!$E$9+1,1))-AVERAGE(OFFSET($H$3,0,0,'Données projet'!$E$9+1,1))</f>
        <v>205.73717397588365</v>
      </c>
      <c r="T99" s="59">
        <f t="shared" si="88"/>
        <v>190.64998698136026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120.93631693758761</v>
      </c>
      <c r="AA99" s="21">
        <f>EXP(-LN(2)/25)*AA98+(1-EXP(-LN(2)/25))/(LN(2)/25)*Calculateur!V99*Calculateur!X99*VLOOKUP('Données projet'!$B$9,Paramètres!$A$1:$I$89,3,0)*0.475*44/12</f>
        <v>33.657009385249658</v>
      </c>
      <c r="AB99" s="21">
        <f>EXP(-LN(2)/2)*AB98+(1-EXP(-LN(2)/2))/(LN(2)/2)*V99*Y99*VLOOKUP('Données projet'!$B$9,Paramètres!$A$1:$I$89,3,0)*0.475*44/12</f>
        <v>11.849210252593352</v>
      </c>
      <c r="AC99" s="22">
        <f t="shared" si="57"/>
        <v>166.44253657543061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283.73369613548124</v>
      </c>
      <c r="AO99" s="59">
        <f t="shared" si="90"/>
        <v>249.77804091581208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-6.3550942286383367E-14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278.5296012747549</v>
      </c>
      <c r="BJ99" s="59">
        <f t="shared" si="92"/>
        <v>370.55343097937077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100.63154847519814</v>
      </c>
      <c r="BQ99" s="21">
        <f>EXP(-LN(2)/25)*BQ98+(1-EXP(-LN(2)/25))/(LN(2)/25)*Calculateur!BL99*Calculateur!BN99*VLOOKUP('Données projet'!$B$11,Paramètres!$A$1:$I$89,3,0)*0.475*44/12</f>
        <v>18.483797227198433</v>
      </c>
      <c r="BR99" s="21">
        <f>EXP(-LN(2)/2)*BR98+(1-EXP(-LN(2)/2))/(LN(2)/2)*BL99*BO99*VLOOKUP('Données projet'!$B$11,Paramètres!$A$1:$I$89,3,0)*0.475*44/12</f>
        <v>2.3036660876734818E-5</v>
      </c>
      <c r="BS99" s="22">
        <f t="shared" si="63"/>
        <v>119.11536873905746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-3.1036506698001178E-14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159.92263609041913</v>
      </c>
      <c r="CE99" s="59">
        <f t="shared" si="94"/>
        <v>271.78119133009307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22.246826607711768</v>
      </c>
      <c r="CL99" s="21">
        <f>EXP(-LN(2)/25)*CL98+(1-EXP(-LN(2)/25))/(LN(2)/25)*Calculateur!CG99*Calculateur!CI99*VLOOKUP('Données projet'!$B$12,Paramètres!$A$1:$I$89,3,0)*0.475*44/12</f>
        <v>31.736881750357075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53.983708358068839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7.1782051282051267</v>
      </c>
      <c r="CT99" s="12">
        <f>IF('Données projet'!$A$140&gt;35,CT98+CS99-DB98,IF(A99&lt;'Données projet'!$A$140,$CQ$205^A99,IF(A99='Données projet'!$A$140,'Données projet'!$B$140,CT98+CS99-DB98)))</f>
        <v>296.71538461538506</v>
      </c>
      <c r="CU99" s="17">
        <f>CT99*VLOOKUP('Données projet'!$B$13,Paramètres!$A$1:$I$89,3,0)*VLOOKUP('Données projet'!$B$13,Paramètres!$A$1:$I$89,5,0)</f>
        <v>268.46808000000038</v>
      </c>
      <c r="CV99" s="13">
        <f t="shared" si="95"/>
        <v>64.524049616897415</v>
      </c>
      <c r="CW99" s="20">
        <f t="shared" si="67"/>
        <v>579.96129241609697</v>
      </c>
      <c r="CX99" s="59">
        <f t="shared" si="68"/>
        <v>873.29462574943022</v>
      </c>
      <c r="CY99" s="59">
        <f ca="1">AVERAGE(OFFSET($CX$3,0,0,'Données projet'!$E$13+1,1))-AVERAGE(OFFSET($H$3,0,0,'Données projet'!$E$13+1,1))</f>
        <v>280.25710840677186</v>
      </c>
      <c r="CZ99" s="59">
        <f t="shared" si="96"/>
        <v>209.65224013288037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36.81066477745334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36.81066477745334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</v>
      </c>
      <c r="DO99" s="12">
        <f>IF('Données projet'!$A$166&gt;35,DO98+DN99-DW98,IF(A99&lt;'Données projet'!$A$166,$DL$205^A99,IF(A99='Données projet'!$A$166,'Données projet'!$B$166,DO98+DN99-DW98)))</f>
        <v>243</v>
      </c>
      <c r="DP99" s="17">
        <f>DO99*VLOOKUP('Données projet'!$B$14,Paramètres!$A$1:$I$89,3,0)*VLOOKUP('Données projet'!$B$14,Paramètres!$A$1:$I$89,5,0)</f>
        <v>253.98360000000002</v>
      </c>
      <c r="DQ99" s="13">
        <f t="shared" si="97"/>
        <v>61.438182405444294</v>
      </c>
      <c r="DR99" s="20">
        <f t="shared" si="70"/>
        <v>549.35960435614891</v>
      </c>
      <c r="DS99" s="59">
        <f t="shared" si="71"/>
        <v>842.69293768948228</v>
      </c>
      <c r="DT99" s="59">
        <f ca="1">AVERAGE(OFFSET($DS$3,0,0,'Données projet'!$E$14+1,1))-AVERAGE(OFFSET($H$3,0,0,'Données projet'!$E$14+1,1))</f>
        <v>330.14201227773452</v>
      </c>
      <c r="DU99" s="59">
        <f t="shared" si="98"/>
        <v>307.07297894926467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30.776083983952013</v>
      </c>
      <c r="EB99" s="21">
        <f>EXP(-LN(2)/25)*EB98+(1-EXP(-LN(2)/25))/(LN(2)/25)*Calculateur!DW99*Calculateur!DY99*VLOOKUP('Données projet'!$B$14,Paramètres!$A$1:$I$89,3,0)*0.475*44/12</f>
        <v>18.577961454738716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49.354045438690733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236.00000000000009</v>
      </c>
      <c r="EK99" s="17">
        <f>EJ99*VLOOKUP('Données projet'!$B$15,Paramètres!$A$1:$I$89,3,0)*VLOOKUP('Données projet'!$B$15,Paramètres!$A$1:$I$89,5,0)</f>
        <v>154.62720000000004</v>
      </c>
      <c r="EL99" s="13">
        <f t="shared" si="99"/>
        <v>39.62826685000794</v>
      </c>
      <c r="EM99" s="20">
        <f t="shared" si="73"/>
        <v>338.32827143043056</v>
      </c>
      <c r="EN99" s="59">
        <f t="shared" si="74"/>
        <v>631.66160476376388</v>
      </c>
      <c r="EO99" s="59">
        <f ca="1">AVERAGE(OFFSET($EN$3,0,0,'Données projet'!$E$15+1,1))-AVERAGE(OFFSET($H$3,0,0,'Données projet'!$E$15+1,1))</f>
        <v>183.30081488041924</v>
      </c>
      <c r="EP99" s="59">
        <f t="shared" si="100"/>
        <v>199.33099759570928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3.312391878469803</v>
      </c>
      <c r="EW99" s="21">
        <f>EXP(-LN(2)/25)*EW98+(1-EXP(-LN(2)/25))/(LN(2)/25)*Calculateur!ER99*Calculateur!ET99*VLOOKUP('Données projet'!$B$15,Paramètres!$A$1:$I$89,3,0)*0.475*44/12</f>
        <v>11.788954214892174</v>
      </c>
      <c r="EX99" s="21">
        <f>EXP(-LN(2)/2)*EX98+(1-EXP(-LN(2)/2))/(LN(2)/2)*ER99*EU99*VLOOKUP('Données projet'!$B$15,Paramètres!$A$1:$I$89,3,0)*0.475*44/12</f>
        <v>0.26791272369103253</v>
      </c>
      <c r="EY99" s="22">
        <f t="shared" si="75"/>
        <v>15.36925881705301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7.5015384615384617</v>
      </c>
      <c r="N100" s="13">
        <f>IF('Données projet'!$A$36&gt;35,N99+M100-V99,IF(A100&lt;'Données projet'!$A$36,$K$205^A100,IF(A100='Données projet'!$A$36,'Données projet'!$B$36,N99+M100-V99)))</f>
        <v>249.70307692307716</v>
      </c>
      <c r="O100" s="13">
        <f>N100*VLOOKUP('Données projet'!$B$9,Paramètres!$A$1:$I$89,3,0)*VLOOKUP('Données projet'!$B$9,Paramètres!$A$1:$I$89,5,0)</f>
        <v>116.86104000000012</v>
      </c>
      <c r="P100" s="13">
        <f t="shared" si="87"/>
        <v>30.941762857231797</v>
      </c>
      <c r="Q100" s="20">
        <f t="shared" si="107"/>
        <v>257.42321497634555</v>
      </c>
      <c r="R100" s="59">
        <f t="shared" si="55"/>
        <v>550.75654830967892</v>
      </c>
      <c r="S100" s="59">
        <f ca="1">AVERAGE(OFFSET($R$3,0,0,'Données projet'!$E$9+1,1))-AVERAGE(OFFSET($H$3,0,0,'Données projet'!$E$9+1,1))</f>
        <v>205.73717397588365</v>
      </c>
      <c r="T100" s="59">
        <f t="shared" si="88"/>
        <v>190.64998698136026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118.56482952631127</v>
      </c>
      <c r="AA100" s="21">
        <f>EXP(-LN(2)/25)*AA99+(1-EXP(-LN(2)/25))/(LN(2)/25)*Calculateur!V100*Calculateur!X100*VLOOKUP('Données projet'!$B$9,Paramètres!$A$1:$I$89,3,0)*0.475*44/12</f>
        <v>32.736656693664806</v>
      </c>
      <c r="AB100" s="21">
        <f>EXP(-LN(2)/2)*AB99+(1-EXP(-LN(2)/2))/(LN(2)/2)*V100*Y100*VLOOKUP('Données projet'!$B$9,Paramètres!$A$1:$I$89,3,0)*0.475*44/12</f>
        <v>8.3786569213139241</v>
      </c>
      <c r="AC100" s="22">
        <f t="shared" si="57"/>
        <v>159.68014314129002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283.73369613548124</v>
      </c>
      <c r="AO100" s="59">
        <f t="shared" si="90"/>
        <v>249.77804091581208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-6.3550942286383367E-14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278.5296012747549</v>
      </c>
      <c r="BJ100" s="59">
        <f t="shared" si="92"/>
        <v>370.55343097937077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98.658225188783391</v>
      </c>
      <c r="BQ100" s="21">
        <f>EXP(-LN(2)/25)*BQ99+(1-EXP(-LN(2)/25))/(LN(2)/25)*Calculateur!BL100*Calculateur!BN100*VLOOKUP('Données projet'!$B$11,Paramètres!$A$1:$I$89,3,0)*0.475*44/12</f>
        <v>17.978356820000041</v>
      </c>
      <c r="BR100" s="21">
        <f>EXP(-LN(2)/2)*BR99+(1-EXP(-LN(2)/2))/(LN(2)/2)*BL100*BO100*VLOOKUP('Données projet'!$B$11,Paramètres!$A$1:$I$89,3,0)*0.475*44/12</f>
        <v>1.6289379121834027E-5</v>
      </c>
      <c r="BS100" s="22">
        <f t="shared" si="63"/>
        <v>116.63659829816255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-3.1036506698001178E-14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159.92263609041913</v>
      </c>
      <c r="CE100" s="59">
        <f t="shared" si="94"/>
        <v>271.78119133009307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21.810579907158921</v>
      </c>
      <c r="CL100" s="21">
        <f>EXP(-LN(2)/25)*CL99+(1-EXP(-LN(2)/25))/(LN(2)/25)*Calculateur!CG100*Calculateur!CI100*VLOOKUP('Données projet'!$B$12,Paramètres!$A$1:$I$89,3,0)*0.475*44/12</f>
        <v>30.869035049923486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52.679614957082407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7.1782051282051267</v>
      </c>
      <c r="CT100" s="12">
        <f>IF('Données projet'!$A$140&gt;35,CT99+CS100-DB99,IF(A100&lt;'Données projet'!$A$140,$CQ$205^A100,IF(A100='Données projet'!$A$140,'Données projet'!$B$140,CT99+CS100-DB99)))</f>
        <v>303.89358974359021</v>
      </c>
      <c r="CU100" s="17">
        <f>CT100*VLOOKUP('Données projet'!$B$13,Paramètres!$A$1:$I$89,3,0)*VLOOKUP('Données projet'!$B$13,Paramètres!$A$1:$I$89,5,0)</f>
        <v>274.96292000000045</v>
      </c>
      <c r="CV100" s="13">
        <f t="shared" si="95"/>
        <v>65.901407042348566</v>
      </c>
      <c r="CW100" s="20">
        <f t="shared" si="67"/>
        <v>593.67203626542459</v>
      </c>
      <c r="CX100" s="59">
        <f t="shared" si="68"/>
        <v>887.00536959875785</v>
      </c>
      <c r="CY100" s="59">
        <f ca="1">AVERAGE(OFFSET($CX$3,0,0,'Données projet'!$E$13+1,1))-AVERAGE(OFFSET($H$3,0,0,'Données projet'!$E$13+1,1))</f>
        <v>280.25710840677186</v>
      </c>
      <c r="CZ100" s="59">
        <f t="shared" si="96"/>
        <v>209.65224013288037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36.088830093456018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36.088830093456018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</v>
      </c>
      <c r="DO100" s="12">
        <f>IF('Données projet'!$A$166&gt;35,DO99+DN100-DW99,IF(A100&lt;'Données projet'!$A$166,$DL$205^A100,IF(A100='Données projet'!$A$166,'Données projet'!$B$166,DO99+DN100-DW99)))</f>
        <v>246</v>
      </c>
      <c r="DP100" s="17">
        <f>DO100*VLOOKUP('Données projet'!$B$14,Paramètres!$A$1:$I$89,3,0)*VLOOKUP('Données projet'!$B$14,Paramètres!$A$1:$I$89,5,0)</f>
        <v>257.11920000000003</v>
      </c>
      <c r="DQ100" s="13">
        <f t="shared" si="97"/>
        <v>62.107910182723955</v>
      </c>
      <c r="DR100" s="20">
        <f t="shared" si="70"/>
        <v>555.98721690157754</v>
      </c>
      <c r="DS100" s="59">
        <f t="shared" si="71"/>
        <v>849.3205502349108</v>
      </c>
      <c r="DT100" s="59">
        <f ca="1">AVERAGE(OFFSET($DS$3,0,0,'Données projet'!$E$14+1,1))-AVERAGE(OFFSET($H$3,0,0,'Données projet'!$E$14+1,1))</f>
        <v>330.14201227773452</v>
      </c>
      <c r="DU100" s="59">
        <f t="shared" si="98"/>
        <v>307.07297894926467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30.172583748584408</v>
      </c>
      <c r="EB100" s="21">
        <f>EXP(-LN(2)/25)*EB99+(1-EXP(-LN(2)/25))/(LN(2)/25)*Calculateur!DW100*Calculateur!DY100*VLOOKUP('Données projet'!$B$14,Paramètres!$A$1:$I$89,3,0)*0.475*44/12</f>
        <v>18.069946121786355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48.24252987037076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236.00000000000009</v>
      </c>
      <c r="EK100" s="17">
        <f>EJ100*VLOOKUP('Données projet'!$B$15,Paramètres!$A$1:$I$89,3,0)*VLOOKUP('Données projet'!$B$15,Paramètres!$A$1:$I$89,5,0)</f>
        <v>154.62720000000004</v>
      </c>
      <c r="EL100" s="13">
        <f t="shared" si="99"/>
        <v>39.62826685000794</v>
      </c>
      <c r="EM100" s="20">
        <f t="shared" si="73"/>
        <v>338.32827143043056</v>
      </c>
      <c r="EN100" s="59">
        <f t="shared" si="74"/>
        <v>631.66160476376388</v>
      </c>
      <c r="EO100" s="59">
        <f ca="1">AVERAGE(OFFSET($EN$3,0,0,'Données projet'!$E$15+1,1))-AVERAGE(OFFSET($H$3,0,0,'Données projet'!$E$15+1,1))</f>
        <v>183.30081488041924</v>
      </c>
      <c r="EP100" s="59">
        <f t="shared" si="100"/>
        <v>199.33099759570928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3.2474378940925619</v>
      </c>
      <c r="EW100" s="21">
        <f>EXP(-LN(2)/25)*EW99+(1-EXP(-LN(2)/25))/(LN(2)/25)*Calculateur!ER100*Calculateur!ET100*VLOOKUP('Données projet'!$B$15,Paramètres!$A$1:$I$89,3,0)*0.475*44/12</f>
        <v>11.466584641931789</v>
      </c>
      <c r="EX100" s="21">
        <f>EXP(-LN(2)/2)*EX99+(1-EXP(-LN(2)/2))/(LN(2)/2)*ER100*EU100*VLOOKUP('Données projet'!$B$15,Paramètres!$A$1:$I$89,3,0)*0.475*44/12</f>
        <v>0.18944290368808692</v>
      </c>
      <c r="EY100" s="22">
        <f t="shared" si="75"/>
        <v>14.903465439712438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7.5015384615384617</v>
      </c>
      <c r="N101" s="13">
        <f>IF('Données projet'!$A$36&gt;35,N100+M101-V100,IF(A101&lt;'Données projet'!$A$36,$K$205^A101,IF(A101='Données projet'!$A$36,'Données projet'!$B$36,N100+M101-V100)))</f>
        <v>257.20461538461564</v>
      </c>
      <c r="O101" s="13">
        <f>N101*VLOOKUP('Données projet'!$B$9,Paramètres!$A$1:$I$89,3,0)*VLOOKUP('Données projet'!$B$9,Paramètres!$A$1:$I$89,5,0)</f>
        <v>120.37176000000012</v>
      </c>
      <c r="P101" s="13">
        <f t="shared" si="87"/>
        <v>31.761690593555869</v>
      </c>
      <c r="Q101" s="20">
        <f t="shared" si="107"/>
        <v>264.96575978377672</v>
      </c>
      <c r="R101" s="59">
        <f t="shared" si="55"/>
        <v>558.29909311711003</v>
      </c>
      <c r="S101" s="59">
        <f ca="1">AVERAGE(OFFSET($R$3,0,0,'Données projet'!$E$9+1,1))-AVERAGE(OFFSET($H$3,0,0,'Données projet'!$E$9+1,1))</f>
        <v>205.73717397588365</v>
      </c>
      <c r="T101" s="59">
        <f t="shared" si="88"/>
        <v>190.64998698136026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116.23984553670557</v>
      </c>
      <c r="AA101" s="21">
        <f>EXP(-LN(2)/25)*AA100+(1-EXP(-LN(2)/25))/(LN(2)/25)*Calculateur!V101*Calculateur!X101*VLOOKUP('Données projet'!$B$9,Paramètres!$A$1:$I$89,3,0)*0.475*44/12</f>
        <v>31.841471094830588</v>
      </c>
      <c r="AB101" s="21">
        <f>EXP(-LN(2)/2)*AB100+(1-EXP(-LN(2)/2))/(LN(2)/2)*V101*Y101*VLOOKUP('Données projet'!$B$9,Paramètres!$A$1:$I$89,3,0)*0.475*44/12</f>
        <v>5.9246051262966777</v>
      </c>
      <c r="AC101" s="22">
        <f t="shared" si="57"/>
        <v>154.00592175783285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283.73369613548124</v>
      </c>
      <c r="AO101" s="59">
        <f t="shared" si="90"/>
        <v>249.77804091581208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-6.3550942286383367E-14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278.5296012747549</v>
      </c>
      <c r="BJ101" s="59">
        <f t="shared" si="92"/>
        <v>370.55343097937077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96.723597568406873</v>
      </c>
      <c r="BQ101" s="21">
        <f>EXP(-LN(2)/25)*BQ100+(1-EXP(-LN(2)/25))/(LN(2)/25)*Calculateur!BL101*Calculateur!BN101*VLOOKUP('Données projet'!$B$11,Paramètres!$A$1:$I$89,3,0)*0.475*44/12</f>
        <v>17.486737707316443</v>
      </c>
      <c r="BR101" s="21">
        <f>EXP(-LN(2)/2)*BR100+(1-EXP(-LN(2)/2))/(LN(2)/2)*BL101*BO101*VLOOKUP('Données projet'!$B$11,Paramètres!$A$1:$I$89,3,0)*0.475*44/12</f>
        <v>1.1518330438367409E-5</v>
      </c>
      <c r="BS101" s="22">
        <f t="shared" si="63"/>
        <v>114.21034679405375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-3.1036506698001178E-14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159.92263609041913</v>
      </c>
      <c r="CE101" s="59">
        <f t="shared" si="94"/>
        <v>271.78119133009307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21.382887738319702</v>
      </c>
      <c r="CL101" s="21">
        <f>EXP(-LN(2)/25)*CL100+(1-EXP(-LN(2)/25))/(LN(2)/25)*Calculateur!CG101*Calculateur!CI101*VLOOKUP('Données projet'!$B$12,Paramètres!$A$1:$I$89,3,0)*0.475*44/12</f>
        <v>30.024919663151326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51.407807401471032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7.1782051282051267</v>
      </c>
      <c r="CT101" s="12">
        <f>IF('Données projet'!$A$140&gt;35,CT100+CS101-DB100,IF(A101&lt;'Données projet'!$A$140,$CQ$205^A101,IF(A101='Données projet'!$A$140,'Données projet'!$B$140,CT100+CS101-DB100)))</f>
        <v>311.07179487179536</v>
      </c>
      <c r="CU101" s="17">
        <f>CT101*VLOOKUP('Données projet'!$B$13,Paramètres!$A$1:$I$89,3,0)*VLOOKUP('Données projet'!$B$13,Paramètres!$A$1:$I$89,5,0)</f>
        <v>281.45776000000041</v>
      </c>
      <c r="CV101" s="13">
        <f t="shared" si="95"/>
        <v>67.274982309129811</v>
      </c>
      <c r="CW101" s="20">
        <f t="shared" si="67"/>
        <v>607.37619285506855</v>
      </c>
      <c r="CX101" s="59">
        <f t="shared" si="68"/>
        <v>900.70952618840192</v>
      </c>
      <c r="CY101" s="59">
        <f ca="1">AVERAGE(OFFSET($CX$3,0,0,'Données projet'!$E$13+1,1))-AVERAGE(OFFSET($H$3,0,0,'Données projet'!$E$13+1,1))</f>
        <v>280.25710840677186</v>
      </c>
      <c r="CZ101" s="59">
        <f t="shared" si="96"/>
        <v>209.65224013288037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35.3811501473362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35.3811501473362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</v>
      </c>
      <c r="DO101" s="12">
        <f>IF('Données projet'!$A$166&gt;35,DO100+DN101-DW100,IF(A101&lt;'Données projet'!$A$166,$DL$205^A101,IF(A101='Données projet'!$A$166,'Données projet'!$B$166,DO100+DN101-DW100)))</f>
        <v>249</v>
      </c>
      <c r="DP101" s="17">
        <f>DO101*VLOOKUP('Données projet'!$B$14,Paramètres!$A$1:$I$89,3,0)*VLOOKUP('Données projet'!$B$14,Paramètres!$A$1:$I$89,5,0)</f>
        <v>260.25480000000005</v>
      </c>
      <c r="DQ101" s="13">
        <f t="shared" si="97"/>
        <v>62.776687922790821</v>
      </c>
      <c r="DR101" s="20">
        <f t="shared" si="70"/>
        <v>562.61317479886077</v>
      </c>
      <c r="DS101" s="59">
        <f t="shared" si="71"/>
        <v>855.94650813219414</v>
      </c>
      <c r="DT101" s="59">
        <f ca="1">AVERAGE(OFFSET($DS$3,0,0,'Données projet'!$E$14+1,1))-AVERAGE(OFFSET($H$3,0,0,'Données projet'!$E$14+1,1))</f>
        <v>330.14201227773452</v>
      </c>
      <c r="DU101" s="59">
        <f t="shared" si="98"/>
        <v>307.07297894926467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29.580917784733565</v>
      </c>
      <c r="EB101" s="21">
        <f>EXP(-LN(2)/25)*EB100+(1-EXP(-LN(2)/25))/(LN(2)/25)*Calculateur!DW101*Calculateur!DY101*VLOOKUP('Données projet'!$B$14,Paramètres!$A$1:$I$89,3,0)*0.475*44/12</f>
        <v>17.575822494828941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47.156740279562506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236.00000000000009</v>
      </c>
      <c r="EK101" s="17">
        <f>EJ101*VLOOKUP('Données projet'!$B$15,Paramètres!$A$1:$I$89,3,0)*VLOOKUP('Données projet'!$B$15,Paramètres!$A$1:$I$89,5,0)</f>
        <v>154.62720000000004</v>
      </c>
      <c r="EL101" s="13">
        <f t="shared" si="99"/>
        <v>39.62826685000794</v>
      </c>
      <c r="EM101" s="20">
        <f t="shared" si="73"/>
        <v>338.32827143043056</v>
      </c>
      <c r="EN101" s="59">
        <f t="shared" si="74"/>
        <v>631.66160476376388</v>
      </c>
      <c r="EO101" s="59">
        <f ca="1">AVERAGE(OFFSET($EN$3,0,0,'Données projet'!$E$15+1,1))-AVERAGE(OFFSET($H$3,0,0,'Données projet'!$E$15+1,1))</f>
        <v>183.30081488041924</v>
      </c>
      <c r="EP101" s="59">
        <f t="shared" si="100"/>
        <v>199.33099759570928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3.1837576177309401</v>
      </c>
      <c r="EW101" s="21">
        <f>EXP(-LN(2)/25)*EW100+(1-EXP(-LN(2)/25))/(LN(2)/25)*Calculateur!ER101*Calculateur!ET101*VLOOKUP('Données projet'!$B$15,Paramètres!$A$1:$I$89,3,0)*0.475*44/12</f>
        <v>11.153030281896685</v>
      </c>
      <c r="EX101" s="21">
        <f>EXP(-LN(2)/2)*EX100+(1-EXP(-LN(2)/2))/(LN(2)/2)*ER101*EU101*VLOOKUP('Données projet'!$B$15,Paramètres!$A$1:$I$89,3,0)*0.475*44/12</f>
        <v>0.13395636184551629</v>
      </c>
      <c r="EY101" s="22">
        <f t="shared" si="75"/>
        <v>14.470744261473142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7.5015384615384617</v>
      </c>
      <c r="N102" s="13">
        <f>IF('Données projet'!$A$36&gt;35,N101+M102-V101,IF(A102&lt;'Données projet'!$A$36,$K$205^A102,IF(A102='Données projet'!$A$36,'Données projet'!$B$36,N101+M102-V101)))</f>
        <v>264.70615384615411</v>
      </c>
      <c r="O102" s="13">
        <f>N102*VLOOKUP('Données projet'!$B$9,Paramètres!$A$1:$I$89,3,0)*VLOOKUP('Données projet'!$B$9,Paramètres!$A$1:$I$89,5,0)</f>
        <v>123.88248000000011</v>
      </c>
      <c r="P102" s="13">
        <f t="shared" si="87"/>
        <v>32.578839075986679</v>
      </c>
      <c r="Q102" s="20">
        <f t="shared" si="107"/>
        <v>272.50346405734365</v>
      </c>
      <c r="R102" s="59">
        <f t="shared" si="55"/>
        <v>565.83679739067702</v>
      </c>
      <c r="S102" s="59">
        <f ca="1">AVERAGE(OFFSET($R$3,0,0,'Données projet'!$E$9+1,1))-AVERAGE(OFFSET($H$3,0,0,'Données projet'!$E$9+1,1))</f>
        <v>205.73717397588365</v>
      </c>
      <c r="T102" s="59">
        <f t="shared" si="88"/>
        <v>190.64998698136026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113.96045306503584</v>
      </c>
      <c r="AA102" s="21">
        <f>EXP(-LN(2)/25)*AA101+(1-EXP(-LN(2)/25))/(LN(2)/25)*Calculateur!V102*Calculateur!X102*VLOOKUP('Données projet'!$B$9,Paramètres!$A$1:$I$89,3,0)*0.475*44/12</f>
        <v>30.970764393272255</v>
      </c>
      <c r="AB102" s="21">
        <f>EXP(-LN(2)/2)*AB101+(1-EXP(-LN(2)/2))/(LN(2)/2)*V102*Y102*VLOOKUP('Données projet'!$B$9,Paramètres!$A$1:$I$89,3,0)*0.475*44/12</f>
        <v>4.189328460656963</v>
      </c>
      <c r="AC102" s="22">
        <f t="shared" si="57"/>
        <v>149.12054591896504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283.73369613548124</v>
      </c>
      <c r="AO102" s="59">
        <f t="shared" si="90"/>
        <v>249.77804091581208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-6.3550942286383367E-14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278.5296012747549</v>
      </c>
      <c r="BJ102" s="59">
        <f t="shared" si="92"/>
        <v>370.55343097937077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94.826906815659598</v>
      </c>
      <c r="BQ102" s="21">
        <f>EXP(-LN(2)/25)*BQ101+(1-EXP(-LN(2)/25))/(LN(2)/25)*Calculateur!BL102*Calculateur!BN102*VLOOKUP('Données projet'!$B$11,Paramètres!$A$1:$I$89,3,0)*0.475*44/12</f>
        <v>17.008561945122306</v>
      </c>
      <c r="BR102" s="21">
        <f>EXP(-LN(2)/2)*BR101+(1-EXP(-LN(2)/2))/(LN(2)/2)*BL102*BO102*VLOOKUP('Données projet'!$B$11,Paramètres!$A$1:$I$89,3,0)*0.475*44/12</f>
        <v>8.1446895609170135E-6</v>
      </c>
      <c r="BS102" s="22">
        <f t="shared" si="63"/>
        <v>111.83547690547147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-3.1036506698001178E-14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159.92263609041913</v>
      </c>
      <c r="CE102" s="59">
        <f t="shared" si="94"/>
        <v>271.78119133009307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20.963582352044956</v>
      </c>
      <c r="CL102" s="21">
        <f>EXP(-LN(2)/25)*CL101+(1-EXP(-LN(2)/25))/(LN(2)/25)*Calculateur!CG102*Calculateur!CI102*VLOOKUP('Données projet'!$B$12,Paramètres!$A$1:$I$89,3,0)*0.475*44/12</f>
        <v>29.203886656020551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50.16746900806551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318.25</v>
      </c>
      <c r="CR102" s="12">
        <f>VLOOKUP(A102,'Données projet'!$A$139:$I$159,9,0)</f>
        <v>7.1782051282051267</v>
      </c>
      <c r="CS102" s="12">
        <f t="array" ref="CS102">INDEX(CR:CR,MIN(IF(ISNUMBER(CR102:CR298),ROW(CR102:CR298),"")))</f>
        <v>7.1782051282051267</v>
      </c>
      <c r="CT102" s="12">
        <f>IF('Données projet'!$A$140&gt;35,CT101+CS102-DB101,IF(A102&lt;'Données projet'!$A$140,$CQ$205^A102,IF(A102='Données projet'!$A$140,'Données projet'!$B$140,CT101+CS102-DB101)))</f>
        <v>318.25000000000051</v>
      </c>
      <c r="CU102" s="17">
        <f>CT102*VLOOKUP('Données projet'!$B$13,Paramètres!$A$1:$I$89,3,0)*VLOOKUP('Données projet'!$B$13,Paramètres!$A$1:$I$89,5,0)</f>
        <v>287.95260000000047</v>
      </c>
      <c r="CV102" s="13">
        <f t="shared" si="95"/>
        <v>68.6448727389173</v>
      </c>
      <c r="CW102" s="20">
        <f t="shared" si="67"/>
        <v>621.07393168694841</v>
      </c>
      <c r="CX102" s="59">
        <f t="shared" si="68"/>
        <v>914.40726502028178</v>
      </c>
      <c r="CY102" s="59">
        <f ca="1">AVERAGE(OFFSET($CX$3,0,0,'Données projet'!$E$13+1,1))-AVERAGE(OFFSET($H$3,0,0,'Données projet'!$E$13+1,1))</f>
        <v>280.25710840677186</v>
      </c>
      <c r="CZ102" s="59">
        <f t="shared" si="96"/>
        <v>209.65224013288037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48.019230769230766</v>
      </c>
      <c r="DC102" s="16">
        <f>IF(ISNA(VLOOKUP(A102,'Données projet'!$A$139:$I$159,5,0)),0%,VLOOKUP(A102,'Données projet'!$A$139:$I$159,5,0)*VLOOKUP('Données projet'!$B$13,Paramètres!$A$1:$I$89,7,0))</f>
        <v>0.30099999999999999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49.144454416035025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49.144454416035025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</v>
      </c>
      <c r="DO102" s="12">
        <f>IF('Données projet'!$A$166&gt;35,DO101+DN102-DW101,IF(A102&lt;'Données projet'!$A$166,$DL$205^A102,IF(A102='Données projet'!$A$166,'Données projet'!$B$166,DO101+DN102-DW101)))</f>
        <v>252</v>
      </c>
      <c r="DP102" s="17">
        <f>DO102*VLOOKUP('Données projet'!$B$14,Paramètres!$A$1:$I$89,3,0)*VLOOKUP('Données projet'!$B$14,Paramètres!$A$1:$I$89,5,0)</f>
        <v>263.3904</v>
      </c>
      <c r="DQ102" s="13">
        <f t="shared" si="97"/>
        <v>63.444528395882578</v>
      </c>
      <c r="DR102" s="20">
        <f t="shared" si="70"/>
        <v>569.23750028949542</v>
      </c>
      <c r="DS102" s="59">
        <f t="shared" si="71"/>
        <v>862.57083362282879</v>
      </c>
      <c r="DT102" s="59">
        <f ca="1">AVERAGE(OFFSET($DS$3,0,0,'Données projet'!$E$14+1,1))-AVERAGE(OFFSET($H$3,0,0,'Données projet'!$E$14+1,1))</f>
        <v>330.14201227773452</v>
      </c>
      <c r="DU102" s="59">
        <f t="shared" si="98"/>
        <v>307.07297894926467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29.000854029553231</v>
      </c>
      <c r="EB102" s="21">
        <f>EXP(-LN(2)/25)*EB101+(1-EXP(-LN(2)/25))/(LN(2)/25)*Calculateur!DW102*Calculateur!DY102*VLOOKUP('Données projet'!$B$14,Paramètres!$A$1:$I$89,3,0)*0.475*44/12</f>
        <v>17.095210704435509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46.09606473398874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236.00000000000009</v>
      </c>
      <c r="EK102" s="17">
        <f>EJ102*VLOOKUP('Données projet'!$B$15,Paramètres!$A$1:$I$89,3,0)*VLOOKUP('Données projet'!$B$15,Paramètres!$A$1:$I$89,5,0)</f>
        <v>154.62720000000004</v>
      </c>
      <c r="EL102" s="13">
        <f t="shared" si="99"/>
        <v>39.62826685000794</v>
      </c>
      <c r="EM102" s="20">
        <f t="shared" si="73"/>
        <v>338.32827143043056</v>
      </c>
      <c r="EN102" s="59">
        <f t="shared" si="74"/>
        <v>631.66160476376388</v>
      </c>
      <c r="EO102" s="59">
        <f ca="1">AVERAGE(OFFSET($EN$3,0,0,'Données projet'!$E$15+1,1))-AVERAGE(OFFSET($H$3,0,0,'Données projet'!$E$15+1,1))</f>
        <v>183.30081488041924</v>
      </c>
      <c r="EP102" s="59">
        <f t="shared" si="100"/>
        <v>199.33099759570928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3.1213260727476366</v>
      </c>
      <c r="EW102" s="21">
        <f>EXP(-LN(2)/25)*EW101+(1-EXP(-LN(2)/25))/(LN(2)/25)*Calculateur!ER102*Calculateur!ET102*VLOOKUP('Données projet'!$B$15,Paramètres!$A$1:$I$89,3,0)*0.475*44/12</f>
        <v>10.848050082325848</v>
      </c>
      <c r="EX102" s="21">
        <f>EXP(-LN(2)/2)*EX101+(1-EXP(-LN(2)/2))/(LN(2)/2)*ER102*EU102*VLOOKUP('Données projet'!$B$15,Paramètres!$A$1:$I$89,3,0)*0.475*44/12</f>
        <v>9.4721451844043472E-2</v>
      </c>
      <c r="EY102" s="22">
        <f t="shared" si="75"/>
        <v>14.064097606917528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7.5015384615384617</v>
      </c>
      <c r="N103" s="13">
        <f>IF('Données projet'!$A$36&gt;35,N102+M103-V102,IF(A103&lt;'Données projet'!$A$36,$K$205^A103,IF(A103='Données projet'!$A$36,'Données projet'!$B$36,N102+M103-V102)))</f>
        <v>272.20769230769258</v>
      </c>
      <c r="O103" s="13">
        <f>N103*VLOOKUP('Données projet'!$B$9,Paramètres!$A$1:$I$89,3,0)*VLOOKUP('Données projet'!$B$9,Paramètres!$A$1:$I$89,5,0)</f>
        <v>127.39320000000012</v>
      </c>
      <c r="P103" s="13">
        <f t="shared" si="87"/>
        <v>33.393296112922592</v>
      </c>
      <c r="Q103" s="20">
        <f t="shared" si="107"/>
        <v>280.03648073000704</v>
      </c>
      <c r="R103" s="59">
        <f t="shared" si="55"/>
        <v>573.3698140633403</v>
      </c>
      <c r="S103" s="59">
        <f ca="1">AVERAGE(OFFSET($R$3,0,0,'Données projet'!$E$9+1,1))-AVERAGE(OFFSET($H$3,0,0,'Données projet'!$E$9+1,1))</f>
        <v>205.73717397588365</v>
      </c>
      <c r="T103" s="59">
        <f t="shared" si="88"/>
        <v>190.64998698136026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111.7257580894434</v>
      </c>
      <c r="AA103" s="21">
        <f>EXP(-LN(2)/25)*AA102+(1-EXP(-LN(2)/25))/(LN(2)/25)*Calculateur!V103*Calculateur!X103*VLOOKUP('Données projet'!$B$9,Paramètres!$A$1:$I$89,3,0)*0.475*44/12</f>
        <v>30.12386721225651</v>
      </c>
      <c r="AB103" s="21">
        <f>EXP(-LN(2)/2)*AB102+(1-EXP(-LN(2)/2))/(LN(2)/2)*V103*Y103*VLOOKUP('Données projet'!$B$9,Paramètres!$A$1:$I$89,3,0)*0.475*44/12</f>
        <v>2.9623025631483393</v>
      </c>
      <c r="AC103" s="22">
        <f t="shared" si="57"/>
        <v>144.81192786484826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283.73369613548124</v>
      </c>
      <c r="AO103" s="59">
        <f t="shared" si="90"/>
        <v>249.77804091581208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-6.3550942286383367E-14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278.5296012747549</v>
      </c>
      <c r="BJ103" s="59">
        <f t="shared" si="92"/>
        <v>370.55343097937077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92.967409011706579</v>
      </c>
      <c r="BQ103" s="21">
        <f>EXP(-LN(2)/25)*BQ102+(1-EXP(-LN(2)/25))/(LN(2)/25)*Calculateur!BL103*Calculateur!BN103*VLOOKUP('Données projet'!$B$11,Paramètres!$A$1:$I$89,3,0)*0.475*44/12</f>
        <v>16.543461924291538</v>
      </c>
      <c r="BR103" s="21">
        <f>EXP(-LN(2)/2)*BR102+(1-EXP(-LN(2)/2))/(LN(2)/2)*BL103*BO103*VLOOKUP('Données projet'!$B$11,Paramètres!$A$1:$I$89,3,0)*0.475*44/12</f>
        <v>5.7591652191837045E-6</v>
      </c>
      <c r="BS103" s="22">
        <f t="shared" si="63"/>
        <v>109.51087669516333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-3.1036506698001178E-14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159.92263609041913</v>
      </c>
      <c r="CE103" s="59">
        <f t="shared" si="94"/>
        <v>271.78119133009307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20.552499288644025</v>
      </c>
      <c r="CL103" s="21">
        <f>EXP(-LN(2)/25)*CL102+(1-EXP(-LN(2)/25))/(LN(2)/25)*Calculateur!CG103*Calculateur!CI103*VLOOKUP('Données projet'!$B$12,Paramètres!$A$1:$I$89,3,0)*0.475*44/12</f>
        <v>28.405304839646014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48.957804128290036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6.9935897435897401</v>
      </c>
      <c r="CT103" s="12">
        <f>IF('Données projet'!$A$140&gt;35,CT102+CS103-DB102,IF(A103&lt;'Données projet'!$A$140,$CQ$205^A103,IF(A103='Données projet'!$A$140,'Données projet'!$B$140,CT102+CS103-DB102)))</f>
        <v>277.22435897435946</v>
      </c>
      <c r="CU103" s="17">
        <f>CT103*VLOOKUP('Données projet'!$B$13,Paramètres!$A$1:$I$89,3,0)*VLOOKUP('Données projet'!$B$13,Paramètres!$A$1:$I$89,5,0)</f>
        <v>250.83260000000041</v>
      </c>
      <c r="CV103" s="13">
        <f t="shared" si="95"/>
        <v>60.764195096344402</v>
      </c>
      <c r="CW103" s="20">
        <f t="shared" si="67"/>
        <v>542.69775145946721</v>
      </c>
      <c r="CX103" s="59">
        <f t="shared" si="68"/>
        <v>836.03108479280058</v>
      </c>
      <c r="CY103" s="59">
        <f ca="1">AVERAGE(OFFSET($CX$3,0,0,'Données projet'!$E$13+1,1))-AVERAGE(OFFSET($H$3,0,0,'Données projet'!$E$13+1,1))</f>
        <v>280.25710840677186</v>
      </c>
      <c r="CZ103" s="59">
        <f t="shared" si="96"/>
        <v>209.65224013288037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48.180761640093969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48.180761640093969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255</v>
      </c>
      <c r="DM103" s="12">
        <f>VLOOKUP(A103,'Données projet'!$A$165:$I$185,9,0)</f>
        <v>3</v>
      </c>
      <c r="DN103" s="12">
        <f t="array" ref="DN103">INDEX(DM:DM,MIN(IF(ISNUMBER(DM103:DM299),ROW(DM103:DM299),"")))</f>
        <v>3</v>
      </c>
      <c r="DO103" s="12">
        <f>IF('Données projet'!$A$166&gt;35,DO102+DN103-DW102,IF(A103&lt;'Données projet'!$A$166,$DL$205^A103,IF(A103='Données projet'!$A$166,'Données projet'!$B$166,DO102+DN103-DW102)))</f>
        <v>255</v>
      </c>
      <c r="DP103" s="17">
        <f>DO103*VLOOKUP('Données projet'!$B$14,Paramètres!$A$1:$I$89,3,0)*VLOOKUP('Données projet'!$B$14,Paramètres!$A$1:$I$89,5,0)</f>
        <v>266.52600000000007</v>
      </c>
      <c r="DQ103" s="13">
        <f t="shared" si="97"/>
        <v>64.111444050688362</v>
      </c>
      <c r="DR103" s="20">
        <f t="shared" si="70"/>
        <v>575.86021505494898</v>
      </c>
      <c r="DS103" s="59">
        <f t="shared" si="71"/>
        <v>869.19354838828235</v>
      </c>
      <c r="DT103" s="59">
        <f ca="1">AVERAGE(OFFSET($DS$3,0,0,'Données projet'!$E$14+1,1))-AVERAGE(OFFSET($H$3,0,0,'Données projet'!$E$14+1,1))</f>
        <v>330.14201227773452</v>
      </c>
      <c r="DU103" s="59">
        <f t="shared" si="98"/>
        <v>307.07297894926467</v>
      </c>
      <c r="DV103" s="15">
        <f>IF(ISNA(VLOOKUP(A103,'Données projet'!$A$165:$I$185,3,0)),0,VLOOKUP(A103,'Données projet'!$A$165:$I$185,3,0))</f>
        <v>17</v>
      </c>
      <c r="DW103" s="15" t="str">
        <f>IF(ISNA(VLOOKUP(A103,'Données projet'!$A$165:$I$185,4,0)),0,VLOOKUP(A103,'Données projet'!$A$165:$I$185,4,0))</f>
        <v>12</v>
      </c>
      <c r="DX103" s="16">
        <f>IF(ISNA(VLOOKUP(A103,'Données projet'!$A$165:$I$185,5,0)),0%,VLOOKUP(A103,'Données projet'!$A$165:$I$185,5,0)*VLOOKUP('Données projet'!$B$14,Paramètres!$A$1:$I$89,7,0))</f>
        <v>0.30099999999999999</v>
      </c>
      <c r="DY103" s="16">
        <f>IF(ISNA(VLOOKUP(A103,'Données projet'!$A$165:$I$185,6,0)),0%,VLOOKUP(A103,'Données projet'!$A$165:$I$185,6,0)*VLOOKUP('Données projet'!$B$14,Paramètres!$A$1:$I$89,7,0))</f>
        <v>8.6000000000000007E-2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32.605605728972506</v>
      </c>
      <c r="EB103" s="21">
        <f>EXP(-LN(2)/25)*EB102+(1-EXP(-LN(2)/25))/(LN(2)/25)*Calculateur!DW103*Calculateur!DY103*VLOOKUP('Données projet'!$B$14,Paramètres!$A$1:$I$89,3,0)*0.475*44/12</f>
        <v>17.815457934922939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50.421063663895445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236.00000000000009</v>
      </c>
      <c r="EK103" s="17">
        <f>EJ103*VLOOKUP('Données projet'!$B$15,Paramètres!$A$1:$I$89,3,0)*VLOOKUP('Données projet'!$B$15,Paramètres!$A$1:$I$89,5,0)</f>
        <v>154.62720000000004</v>
      </c>
      <c r="EL103" s="13">
        <f t="shared" si="99"/>
        <v>39.62826685000794</v>
      </c>
      <c r="EM103" s="20">
        <f t="shared" si="73"/>
        <v>338.32827143043056</v>
      </c>
      <c r="EN103" s="59">
        <f t="shared" si="74"/>
        <v>631.66160476376388</v>
      </c>
      <c r="EO103" s="59">
        <f ca="1">AVERAGE(OFFSET($EN$3,0,0,'Données projet'!$E$15+1,1))-AVERAGE(OFFSET($H$3,0,0,'Données projet'!$E$15+1,1))</f>
        <v>183.30081488041924</v>
      </c>
      <c r="EP103" s="59">
        <f t="shared" si="100"/>
        <v>199.33099759570928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3.0601187722819732</v>
      </c>
      <c r="EW103" s="21">
        <f>EXP(-LN(2)/25)*EW102+(1-EXP(-LN(2)/25))/(LN(2)/25)*Calculateur!ER103*Calculateur!ET103*VLOOKUP('Données projet'!$B$15,Paramètres!$A$1:$I$89,3,0)*0.475*44/12</f>
        <v>10.551409582350487</v>
      </c>
      <c r="EX103" s="21">
        <f>EXP(-LN(2)/2)*EX102+(1-EXP(-LN(2)/2))/(LN(2)/2)*ER103*EU103*VLOOKUP('Données projet'!$B$15,Paramètres!$A$1:$I$89,3,0)*0.475*44/12</f>
        <v>6.6978180922758146E-2</v>
      </c>
      <c r="EY103" s="22">
        <f t="shared" si="75"/>
        <v>13.678506535555218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7.5015384615384617</v>
      </c>
      <c r="N104" s="13">
        <f>IF('Données projet'!$A$36&gt;35,N103+M104-V103,IF(A104&lt;'Données projet'!$A$36,$K$205^A104,IF(A104='Données projet'!$A$36,'Données projet'!$B$36,N103+M104-V103)))</f>
        <v>279.70923076923106</v>
      </c>
      <c r="O104" s="13">
        <f>N104*VLOOKUP('Données projet'!$B$9,Paramètres!$A$1:$I$89,3,0)*VLOOKUP('Données projet'!$B$9,Paramètres!$A$1:$I$89,5,0)</f>
        <v>130.90392000000014</v>
      </c>
      <c r="P104" s="13">
        <f t="shared" si="87"/>
        <v>34.205144397668505</v>
      </c>
      <c r="Q104" s="20">
        <f t="shared" si="107"/>
        <v>287.56495382593954</v>
      </c>
      <c r="R104" s="59">
        <f t="shared" si="55"/>
        <v>580.89828715927285</v>
      </c>
      <c r="S104" s="59">
        <f ca="1">AVERAGE(OFFSET($R$3,0,0,'Données projet'!$E$9+1,1))-AVERAGE(OFFSET($H$3,0,0,'Données projet'!$E$9+1,1))</f>
        <v>205.73717397588365</v>
      </c>
      <c r="T104" s="59">
        <f t="shared" si="88"/>
        <v>190.64998698136026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109.534884119293</v>
      </c>
      <c r="AA104" s="21">
        <f>EXP(-LN(2)/25)*AA103+(1-EXP(-LN(2)/25))/(LN(2)/25)*Calculateur!V104*Calculateur!X104*VLOOKUP('Données projet'!$B$9,Paramètres!$A$1:$I$89,3,0)*0.475*44/12</f>
        <v>29.300128479192029</v>
      </c>
      <c r="AB104" s="21">
        <f>EXP(-LN(2)/2)*AB103+(1-EXP(-LN(2)/2))/(LN(2)/2)*V104*Y104*VLOOKUP('Données projet'!$B$9,Paramètres!$A$1:$I$89,3,0)*0.475*44/12</f>
        <v>2.0946642303284819</v>
      </c>
      <c r="AC104" s="22">
        <f t="shared" si="57"/>
        <v>140.92967682881351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283.73369613548124</v>
      </c>
      <c r="AO104" s="59">
        <f t="shared" si="90"/>
        <v>249.77804091581208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-6.3550942286383367E-14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278.5296012747549</v>
      </c>
      <c r="BJ104" s="59">
        <f t="shared" si="92"/>
        <v>370.55343097937077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91.144374825507398</v>
      </c>
      <c r="BQ104" s="21">
        <f>EXP(-LN(2)/25)*BQ103+(1-EXP(-LN(2)/25))/(LN(2)/25)*Calculateur!BL104*Calculateur!BN104*VLOOKUP('Données projet'!$B$11,Paramètres!$A$1:$I$89,3,0)*0.475*44/12</f>
        <v>16.091080087988935</v>
      </c>
      <c r="BR104" s="21">
        <f>EXP(-LN(2)/2)*BR103+(1-EXP(-LN(2)/2))/(LN(2)/2)*BL104*BO104*VLOOKUP('Données projet'!$B$11,Paramètres!$A$1:$I$89,3,0)*0.475*44/12</f>
        <v>4.0723447804585067E-6</v>
      </c>
      <c r="BS104" s="22">
        <f t="shared" si="63"/>
        <v>107.23545898584112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-3.1036506698001178E-14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159.92263609041913</v>
      </c>
      <c r="CE104" s="59">
        <f t="shared" si="94"/>
        <v>271.78119133009307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20.149477313380476</v>
      </c>
      <c r="CL104" s="21">
        <f>EXP(-LN(2)/25)*CL103+(1-EXP(-LN(2)/25))/(LN(2)/25)*Calculateur!CG104*Calculateur!CI104*VLOOKUP('Données projet'!$B$12,Paramètres!$A$1:$I$89,3,0)*0.475*44/12</f>
        <v>27.628560285035835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47.778037598416311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6.9935897435897401</v>
      </c>
      <c r="CT104" s="12">
        <f>IF('Données projet'!$A$140&gt;35,CT103+CS104-DB103,IF(A104&lt;'Données projet'!$A$140,$CQ$205^A104,IF(A104='Données projet'!$A$140,'Données projet'!$B$140,CT103+CS104-DB103)))</f>
        <v>284.21794871794918</v>
      </c>
      <c r="CU104" s="17">
        <f>CT104*VLOOKUP('Données projet'!$B$13,Paramètres!$A$1:$I$89,3,0)*VLOOKUP('Données projet'!$B$13,Paramètres!$A$1:$I$89,5,0)</f>
        <v>257.16040000000038</v>
      </c>
      <c r="CV104" s="13">
        <f t="shared" si="95"/>
        <v>62.116703672873726</v>
      </c>
      <c r="CW104" s="20">
        <f t="shared" si="67"/>
        <v>556.07428889692233</v>
      </c>
      <c r="CX104" s="59">
        <f t="shared" si="68"/>
        <v>849.40762223025558</v>
      </c>
      <c r="CY104" s="59">
        <f ca="1">AVERAGE(OFFSET($CX$3,0,0,'Données projet'!$E$13+1,1))-AVERAGE(OFFSET($H$3,0,0,'Données projet'!$E$13+1,1))</f>
        <v>280.25710840677186</v>
      </c>
      <c r="CZ104" s="59">
        <f t="shared" si="96"/>
        <v>209.65224013288037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47.235966291694567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47.235966291694567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243</v>
      </c>
      <c r="DP104" s="17">
        <f>DO104*VLOOKUP('Données projet'!$B$14,Paramètres!$A$1:$I$89,3,0)*VLOOKUP('Données projet'!$B$14,Paramètres!$A$1:$I$89,5,0)</f>
        <v>253.98360000000002</v>
      </c>
      <c r="DQ104" s="13">
        <f t="shared" si="97"/>
        <v>61.438182405444294</v>
      </c>
      <c r="DR104" s="20">
        <f t="shared" si="70"/>
        <v>549.35960435614891</v>
      </c>
      <c r="DS104" s="59">
        <f t="shared" si="71"/>
        <v>842.69293768948228</v>
      </c>
      <c r="DT104" s="59">
        <f ca="1">AVERAGE(OFFSET($DS$3,0,0,'Données projet'!$E$14+1,1))-AVERAGE(OFFSET($H$3,0,0,'Données projet'!$E$14+1,1))</f>
        <v>330.14201227773452</v>
      </c>
      <c r="DU104" s="59">
        <f t="shared" si="98"/>
        <v>307.07297894926467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31.966229688083128</v>
      </c>
      <c r="EB104" s="21">
        <f>EXP(-LN(2)/25)*EB103+(1-EXP(-LN(2)/25))/(LN(2)/25)*Calculateur!DW104*Calculateur!DY104*VLOOKUP('Données projet'!$B$14,Paramètres!$A$1:$I$89,3,0)*0.475*44/12</f>
        <v>17.328293300818256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49.294522988901385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236.00000000000009</v>
      </c>
      <c r="EK104" s="17">
        <f>EJ104*VLOOKUP('Données projet'!$B$15,Paramètres!$A$1:$I$89,3,0)*VLOOKUP('Données projet'!$B$15,Paramètres!$A$1:$I$89,5,0)</f>
        <v>154.62720000000004</v>
      </c>
      <c r="EL104" s="13">
        <f t="shared" si="99"/>
        <v>39.62826685000794</v>
      </c>
      <c r="EM104" s="20">
        <f t="shared" si="73"/>
        <v>338.32827143043056</v>
      </c>
      <c r="EN104" s="59">
        <f t="shared" si="74"/>
        <v>631.66160476376388</v>
      </c>
      <c r="EO104" s="59">
        <f ca="1">AVERAGE(OFFSET($EN$3,0,0,'Données projet'!$E$15+1,1))-AVERAGE(OFFSET($H$3,0,0,'Données projet'!$E$15+1,1))</f>
        <v>183.30081488041924</v>
      </c>
      <c r="EP104" s="59">
        <f t="shared" si="100"/>
        <v>199.33099759570928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3.0001117096456742</v>
      </c>
      <c r="EW104" s="21">
        <f>EXP(-LN(2)/25)*EW103+(1-EXP(-LN(2)/25))/(LN(2)/25)*Calculateur!ER104*Calculateur!ET104*VLOOKUP('Données projet'!$B$15,Paramètres!$A$1:$I$89,3,0)*0.475*44/12</f>
        <v>10.262880732446598</v>
      </c>
      <c r="EX104" s="21">
        <f>EXP(-LN(2)/2)*EX103+(1-EXP(-LN(2)/2))/(LN(2)/2)*ER104*EU104*VLOOKUP('Données projet'!$B$15,Paramètres!$A$1:$I$89,3,0)*0.475*44/12</f>
        <v>4.7360725922021736E-2</v>
      </c>
      <c r="EY104" s="22">
        <f t="shared" si="75"/>
        <v>13.310353168014295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7.5015384615384617</v>
      </c>
      <c r="N105" s="13">
        <f>IF('Données projet'!$A$36&gt;35,N104+M105-V104,IF(A105&lt;'Données projet'!$A$36,$K$205^A105,IF(A105='Données projet'!$A$36,'Données projet'!$B$36,N104+M105-V104)))</f>
        <v>287.21076923076953</v>
      </c>
      <c r="O105" s="13">
        <f>N105*VLOOKUP('Données projet'!$B$9,Paramètres!$A$1:$I$89,3,0)*VLOOKUP('Données projet'!$B$9,Paramètres!$A$1:$I$89,5,0)</f>
        <v>134.41464000000013</v>
      </c>
      <c r="P105" s="13">
        <f t="shared" si="87"/>
        <v>35.014461935490388</v>
      </c>
      <c r="Q105" s="20">
        <f t="shared" si="107"/>
        <v>295.08901920431265</v>
      </c>
      <c r="R105" s="59">
        <f t="shared" si="55"/>
        <v>588.42235253764602</v>
      </c>
      <c r="S105" s="59">
        <f ca="1">AVERAGE(OFFSET($R$3,0,0,'Données projet'!$E$9+1,1))-AVERAGE(OFFSET($H$3,0,0,'Données projet'!$E$9+1,1))</f>
        <v>205.73717397588365</v>
      </c>
      <c r="T105" s="59">
        <f t="shared" si="88"/>
        <v>190.64998698136026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107.38697185139607</v>
      </c>
      <c r="AA105" s="21">
        <f>EXP(-LN(2)/25)*AA104+(1-EXP(-LN(2)/25))/(LN(2)/25)*Calculateur!V105*Calculateur!X105*VLOOKUP('Données projet'!$B$9,Paramètres!$A$1:$I$89,3,0)*0.475*44/12</f>
        <v>28.498914925101733</v>
      </c>
      <c r="AB105" s="21">
        <f>EXP(-LN(2)/2)*AB104+(1-EXP(-LN(2)/2))/(LN(2)/2)*V105*Y105*VLOOKUP('Données projet'!$B$9,Paramètres!$A$1:$I$89,3,0)*0.475*44/12</f>
        <v>1.4811512815741699</v>
      </c>
      <c r="AC105" s="22">
        <f t="shared" si="57"/>
        <v>137.36703805807198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283.73369613548124</v>
      </c>
      <c r="AO105" s="59">
        <f t="shared" si="90"/>
        <v>249.77804091581208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-6.3550942286383367E-14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278.5296012747549</v>
      </c>
      <c r="BJ105" s="59">
        <f t="shared" si="92"/>
        <v>370.55343097937077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89.357089227758536</v>
      </c>
      <c r="BQ105" s="21">
        <f>EXP(-LN(2)/25)*BQ104+(1-EXP(-LN(2)/25))/(LN(2)/25)*Calculateur!BL105*Calculateur!BN105*VLOOKUP('Données projet'!$B$11,Paramètres!$A$1:$I$89,3,0)*0.475*44/12</f>
        <v>15.651068656789752</v>
      </c>
      <c r="BR105" s="21">
        <f>EXP(-LN(2)/2)*BR104+(1-EXP(-LN(2)/2))/(LN(2)/2)*BL105*BO105*VLOOKUP('Données projet'!$B$11,Paramètres!$A$1:$I$89,3,0)*0.475*44/12</f>
        <v>2.8795826095918523E-6</v>
      </c>
      <c r="BS105" s="22">
        <f t="shared" si="63"/>
        <v>105.00816076413089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-3.1036506698001178E-14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159.92263609041913</v>
      </c>
      <c r="CE105" s="59">
        <f t="shared" si="94"/>
        <v>271.78119133009307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19.754358353232714</v>
      </c>
      <c r="CL105" s="21">
        <f>EXP(-LN(2)/25)*CL104+(1-EXP(-LN(2)/25))/(LN(2)/25)*Calculateur!CG105*Calculateur!CI105*VLOOKUP('Données projet'!$B$12,Paramètres!$A$1:$I$89,3,0)*0.475*44/12</f>
        <v>26.873055851118689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46.627414204351403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6.9935897435897401</v>
      </c>
      <c r="CT105" s="12">
        <f>IF('Données projet'!$A$140&gt;35,CT104+CS105-DB104,IF(A105&lt;'Données projet'!$A$140,$CQ$205^A105,IF(A105='Données projet'!$A$140,'Données projet'!$B$140,CT104+CS105-DB104)))</f>
        <v>291.21153846153891</v>
      </c>
      <c r="CU105" s="17">
        <f>CT105*VLOOKUP('Données projet'!$B$13,Paramètres!$A$1:$I$89,3,0)*VLOOKUP('Données projet'!$B$13,Paramètres!$A$1:$I$89,5,0)</f>
        <v>263.4882000000004</v>
      </c>
      <c r="CV105" s="13">
        <f t="shared" si="95"/>
        <v>63.465343539396919</v>
      </c>
      <c r="CW105" s="20">
        <f t="shared" si="67"/>
        <v>569.44408833111697</v>
      </c>
      <c r="CX105" s="59">
        <f t="shared" si="68"/>
        <v>862.77742166445023</v>
      </c>
      <c r="CY105" s="59">
        <f ca="1">AVERAGE(OFFSET($CX$3,0,0,'Données projet'!$E$13+1,1))-AVERAGE(OFFSET($H$3,0,0,'Données projet'!$E$13+1,1))</f>
        <v>280.25710840677186</v>
      </c>
      <c r="CZ105" s="59">
        <f t="shared" si="96"/>
        <v>209.65224013288037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46.309697803809016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46.309697803809016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243</v>
      </c>
      <c r="DP105" s="17">
        <f>DO105*VLOOKUP('Données projet'!$B$14,Paramètres!$A$1:$I$89,3,0)*VLOOKUP('Données projet'!$B$14,Paramètres!$A$1:$I$89,5,0)</f>
        <v>253.98360000000002</v>
      </c>
      <c r="DQ105" s="13">
        <f t="shared" si="97"/>
        <v>61.438182405444294</v>
      </c>
      <c r="DR105" s="20">
        <f t="shared" si="70"/>
        <v>549.35960435614891</v>
      </c>
      <c r="DS105" s="59">
        <f t="shared" si="71"/>
        <v>842.69293768948228</v>
      </c>
      <c r="DT105" s="59">
        <f ca="1">AVERAGE(OFFSET($DS$3,0,0,'Données projet'!$E$14+1,1))-AVERAGE(OFFSET($H$3,0,0,'Données projet'!$E$14+1,1))</f>
        <v>330.14201227773452</v>
      </c>
      <c r="DU105" s="59">
        <f t="shared" si="98"/>
        <v>307.07297894926467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31.339391421374714</v>
      </c>
      <c r="EB105" s="21">
        <f>EXP(-LN(2)/25)*EB104+(1-EXP(-LN(2)/25))/(LN(2)/25)*Calculateur!DW105*Calculateur!DY105*VLOOKUP('Données projet'!$B$14,Paramètres!$A$1:$I$89,3,0)*0.475*44/12</f>
        <v>16.85445020925204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48.19384163062675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236.00000000000009</v>
      </c>
      <c r="EK105" s="17">
        <f>EJ105*VLOOKUP('Données projet'!$B$15,Paramètres!$A$1:$I$89,3,0)*VLOOKUP('Données projet'!$B$15,Paramètres!$A$1:$I$89,5,0)</f>
        <v>154.62720000000004</v>
      </c>
      <c r="EL105" s="13">
        <f t="shared" si="99"/>
        <v>39.62826685000794</v>
      </c>
      <c r="EM105" s="20">
        <f t="shared" si="73"/>
        <v>338.32827143043056</v>
      </c>
      <c r="EN105" s="59">
        <f t="shared" si="74"/>
        <v>631.66160476376388</v>
      </c>
      <c r="EO105" s="59">
        <f ca="1">AVERAGE(OFFSET($EN$3,0,0,'Données projet'!$E$15+1,1))-AVERAGE(OFFSET($H$3,0,0,'Données projet'!$E$15+1,1))</f>
        <v>183.30081488041924</v>
      </c>
      <c r="EP105" s="59">
        <f t="shared" si="100"/>
        <v>199.33099759570928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2.9412813489069789</v>
      </c>
      <c r="EW105" s="21">
        <f>EXP(-LN(2)/25)*EW104+(1-EXP(-LN(2)/25))/(LN(2)/25)*Calculateur!ER105*Calculateur!ET105*VLOOKUP('Données projet'!$B$15,Paramètres!$A$1:$I$89,3,0)*0.475*44/12</f>
        <v>9.9822417191164039</v>
      </c>
      <c r="EX105" s="21">
        <f>EXP(-LN(2)/2)*EX104+(1-EXP(-LN(2)/2))/(LN(2)/2)*ER105*EU105*VLOOKUP('Données projet'!$B$15,Paramètres!$A$1:$I$89,3,0)*0.475*44/12</f>
        <v>3.3489090461379073E-2</v>
      </c>
      <c r="EY105" s="22">
        <f t="shared" si="75"/>
        <v>12.95701215848476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7.5015384615384617</v>
      </c>
      <c r="N106" s="13">
        <f>IF('Données projet'!$A$36&gt;35,N105+M106-V105,IF(A106&lt;'Données projet'!$A$36,$K$205^A106,IF(A106='Données projet'!$A$36,'Données projet'!$B$36,N105+M106-V105)))</f>
        <v>294.712307692308</v>
      </c>
      <c r="O106" s="13">
        <f>N106*VLOOKUP('Données projet'!$B$9,Paramètres!$A$1:$I$89,3,0)*VLOOKUP('Données projet'!$B$9,Paramètres!$A$1:$I$89,5,0)</f>
        <v>137.92536000000015</v>
      </c>
      <c r="P106" s="13">
        <f t="shared" si="87"/>
        <v>35.82132242479814</v>
      </c>
      <c r="Q106" s="20">
        <f t="shared" si="107"/>
        <v>302.6088052231903</v>
      </c>
      <c r="R106" s="59">
        <f t="shared" si="55"/>
        <v>595.94213855652356</v>
      </c>
      <c r="S106" s="59">
        <f ca="1">AVERAGE(OFFSET($R$3,0,0,'Données projet'!$E$9+1,1))-AVERAGE(OFFSET($H$3,0,0,'Données projet'!$E$9+1,1))</f>
        <v>205.73717397588365</v>
      </c>
      <c r="T106" s="59">
        <f t="shared" si="88"/>
        <v>190.64998698136026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105.28117883297547</v>
      </c>
      <c r="AA106" s="21">
        <f>EXP(-LN(2)/25)*AA105+(1-EXP(-LN(2)/25))/(LN(2)/25)*Calculateur!V106*Calculateur!X106*VLOOKUP('Données projet'!$B$9,Paramètres!$A$1:$I$89,3,0)*0.475*44/12</f>
        <v>27.719610597782026</v>
      </c>
      <c r="AB106" s="21">
        <f>EXP(-LN(2)/2)*AB105+(1-EXP(-LN(2)/2))/(LN(2)/2)*V106*Y106*VLOOKUP('Données projet'!$B$9,Paramètres!$A$1:$I$89,3,0)*0.475*44/12</f>
        <v>1.047332115164241</v>
      </c>
      <c r="AC106" s="22">
        <f t="shared" si="57"/>
        <v>134.04812154592173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283.73369613548124</v>
      </c>
      <c r="AO106" s="59">
        <f t="shared" si="90"/>
        <v>249.77804091581208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-6.3550942286383367E-14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278.5296012747549</v>
      </c>
      <c r="BJ106" s="59">
        <f t="shared" si="92"/>
        <v>370.55343097937077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87.604851210444949</v>
      </c>
      <c r="BQ106" s="21">
        <f>EXP(-LN(2)/25)*BQ105+(1-EXP(-LN(2)/25))/(LN(2)/25)*Calculateur!BL106*Calculateur!BN106*VLOOKUP('Données projet'!$B$11,Paramètres!$A$1:$I$89,3,0)*0.475*44/12</f>
        <v>15.223089361315907</v>
      </c>
      <c r="BR106" s="21">
        <f>EXP(-LN(2)/2)*BR105+(1-EXP(-LN(2)/2))/(LN(2)/2)*BL106*BO106*VLOOKUP('Données projet'!$B$11,Paramètres!$A$1:$I$89,3,0)*0.475*44/12</f>
        <v>2.0361723902292534E-6</v>
      </c>
      <c r="BS106" s="22">
        <f t="shared" si="63"/>
        <v>102.82794260793324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-3.1036506698001178E-14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159.92263609041913</v>
      </c>
      <c r="CE106" s="59">
        <f t="shared" si="94"/>
        <v>271.78119133009307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19.366987434894678</v>
      </c>
      <c r="CL106" s="21">
        <f>EXP(-LN(2)/25)*CL105+(1-EXP(-LN(2)/25))/(LN(2)/25)*Calculateur!CG106*Calculateur!CI106*VLOOKUP('Données projet'!$B$12,Paramètres!$A$1:$I$89,3,0)*0.475*44/12</f>
        <v>26.138210725677261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45.505198160571936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6.9935897435897401</v>
      </c>
      <c r="CT106" s="12">
        <f>IF('Données projet'!$A$140&gt;35,CT105+CS106-DB105,IF(A106&lt;'Données projet'!$A$140,$CQ$205^A106,IF(A106='Données projet'!$A$140,'Données projet'!$B$140,CT105+CS106-DB105)))</f>
        <v>298.20512820512863</v>
      </c>
      <c r="CU106" s="17">
        <f>CT106*VLOOKUP('Données projet'!$B$13,Paramètres!$A$1:$I$89,3,0)*VLOOKUP('Données projet'!$B$13,Paramètres!$A$1:$I$89,5,0)</f>
        <v>269.81600000000037</v>
      </c>
      <c r="CV106" s="13">
        <f t="shared" si="95"/>
        <v>64.810218294809729</v>
      </c>
      <c r="CW106" s="20">
        <f t="shared" si="67"/>
        <v>582.80733019679417</v>
      </c>
      <c r="CX106" s="59">
        <f t="shared" si="68"/>
        <v>876.14066353012754</v>
      </c>
      <c r="CY106" s="59">
        <f ca="1">AVERAGE(OFFSET($CX$3,0,0,'Données projet'!$E$13+1,1))-AVERAGE(OFFSET($H$3,0,0,'Données projet'!$E$13+1,1))</f>
        <v>280.25710840677186</v>
      </c>
      <c r="CZ106" s="59">
        <f t="shared" si="96"/>
        <v>209.65224013288037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45.401592876002908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45.401592876002908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243</v>
      </c>
      <c r="DP106" s="17">
        <f>DO106*VLOOKUP('Données projet'!$B$14,Paramètres!$A$1:$I$89,3,0)*VLOOKUP('Données projet'!$B$14,Paramètres!$A$1:$I$89,5,0)</f>
        <v>253.98360000000002</v>
      </c>
      <c r="DQ106" s="13">
        <f t="shared" si="97"/>
        <v>61.438182405444294</v>
      </c>
      <c r="DR106" s="20">
        <f t="shared" si="70"/>
        <v>549.35960435614891</v>
      </c>
      <c r="DS106" s="59">
        <f t="shared" si="71"/>
        <v>842.69293768948228</v>
      </c>
      <c r="DT106" s="59">
        <f ca="1">AVERAGE(OFFSET($DS$3,0,0,'Données projet'!$E$14+1,1))-AVERAGE(OFFSET($H$3,0,0,'Données projet'!$E$14+1,1))</f>
        <v>330.14201227773452</v>
      </c>
      <c r="DU106" s="59">
        <f t="shared" si="98"/>
        <v>307.07297894926467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30.724845070742859</v>
      </c>
      <c r="EB106" s="21">
        <f>EXP(-LN(2)/25)*EB105+(1-EXP(-LN(2)/25))/(LN(2)/25)*Calculateur!DW106*Calculateur!DY106*VLOOKUP('Données projet'!$B$14,Paramètres!$A$1:$I$89,3,0)*0.475*44/12</f>
        <v>16.393564381943026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47.118409452685881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236.00000000000009</v>
      </c>
      <c r="EK106" s="17">
        <f>EJ106*VLOOKUP('Données projet'!$B$15,Paramètres!$A$1:$I$89,3,0)*VLOOKUP('Données projet'!$B$15,Paramètres!$A$1:$I$89,5,0)</f>
        <v>154.62720000000004</v>
      </c>
      <c r="EL106" s="13">
        <f t="shared" si="99"/>
        <v>39.62826685000794</v>
      </c>
      <c r="EM106" s="20">
        <f t="shared" si="73"/>
        <v>338.32827143043056</v>
      </c>
      <c r="EN106" s="59">
        <f t="shared" si="74"/>
        <v>631.66160476376388</v>
      </c>
      <c r="EO106" s="59">
        <f ca="1">AVERAGE(OFFSET($EN$3,0,0,'Données projet'!$E$15+1,1))-AVERAGE(OFFSET($H$3,0,0,'Données projet'!$E$15+1,1))</f>
        <v>183.30081488041924</v>
      </c>
      <c r="EP106" s="59">
        <f t="shared" si="100"/>
        <v>199.33099759570928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2.8836046156593929</v>
      </c>
      <c r="EW106" s="21">
        <f>EXP(-LN(2)/25)*EW105+(1-EXP(-LN(2)/25))/(LN(2)/25)*Calculateur!ER106*Calculateur!ET106*VLOOKUP('Données projet'!$B$15,Paramètres!$A$1:$I$89,3,0)*0.475*44/12</f>
        <v>9.7092767943638894</v>
      </c>
      <c r="EX106" s="21">
        <f>EXP(-LN(2)/2)*EX105+(1-EXP(-LN(2)/2))/(LN(2)/2)*ER106*EU106*VLOOKUP('Données projet'!$B$15,Paramètres!$A$1:$I$89,3,0)*0.475*44/12</f>
        <v>2.3680362961010868E-2</v>
      </c>
      <c r="EY106" s="22">
        <f t="shared" si="75"/>
        <v>12.616561772984292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7.5015384615384617</v>
      </c>
      <c r="N107" s="13">
        <f>IF('Données projet'!$A$36&gt;35,N106+M107-V106,IF(A107&lt;'Données projet'!$A$36,$K$205^A107,IF(A107='Données projet'!$A$36,'Données projet'!$B$36,N106+M107-V106)))</f>
        <v>302.21384615384648</v>
      </c>
      <c r="O107" s="13">
        <f>N107*VLOOKUP('Données projet'!$B$9,Paramètres!$A$1:$I$89,3,0)*VLOOKUP('Données projet'!$B$9,Paramètres!$A$1:$I$89,5,0)</f>
        <v>141.43608000000015</v>
      </c>
      <c r="P107" s="13">
        <f t="shared" si="87"/>
        <v>36.625795598426585</v>
      </c>
      <c r="Q107" s="20">
        <f t="shared" si="107"/>
        <v>310.12443333392656</v>
      </c>
      <c r="R107" s="59">
        <f t="shared" si="55"/>
        <v>603.45776666725988</v>
      </c>
      <c r="S107" s="59">
        <f ca="1">AVERAGE(OFFSET($R$3,0,0,'Données projet'!$E$9+1,1))-AVERAGE(OFFSET($H$3,0,0,'Données projet'!$E$9+1,1))</f>
        <v>205.73717397588365</v>
      </c>
      <c r="T107" s="59">
        <f t="shared" si="88"/>
        <v>190.64998698136026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103.21667913123919</v>
      </c>
      <c r="AA107" s="21">
        <f>EXP(-LN(2)/25)*AA106+(1-EXP(-LN(2)/25))/(LN(2)/25)*Calculateur!V107*Calculateur!X107*VLOOKUP('Données projet'!$B$9,Paramètres!$A$1:$I$89,3,0)*0.475*44/12</f>
        <v>26.96161638827471</v>
      </c>
      <c r="AB107" s="21">
        <f>EXP(-LN(2)/2)*AB106+(1-EXP(-LN(2)/2))/(LN(2)/2)*V107*Y107*VLOOKUP('Données projet'!$B$9,Paramètres!$A$1:$I$89,3,0)*0.475*44/12</f>
        <v>0.74057564078708493</v>
      </c>
      <c r="AC107" s="22">
        <f t="shared" si="57"/>
        <v>130.91887116030099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283.73369613548124</v>
      </c>
      <c r="AO107" s="59">
        <f t="shared" si="90"/>
        <v>249.77804091581208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-6.3550942286383367E-14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278.5296012747549</v>
      </c>
      <c r="BJ107" s="59">
        <f t="shared" si="92"/>
        <v>370.55343097937077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85.886973511891227</v>
      </c>
      <c r="BQ107" s="21">
        <f>EXP(-LN(2)/25)*BQ106+(1-EXP(-LN(2)/25))/(LN(2)/25)*Calculateur!BL107*Calculateur!BN107*VLOOKUP('Données projet'!$B$11,Paramètres!$A$1:$I$89,3,0)*0.475*44/12</f>
        <v>14.806813182183246</v>
      </c>
      <c r="BR107" s="21">
        <f>EXP(-LN(2)/2)*BR106+(1-EXP(-LN(2)/2))/(LN(2)/2)*BL107*BO107*VLOOKUP('Données projet'!$B$11,Paramètres!$A$1:$I$89,3,0)*0.475*44/12</f>
        <v>1.4397913047959261E-6</v>
      </c>
      <c r="BS107" s="22">
        <f t="shared" si="63"/>
        <v>100.69378813386578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-3.1036506698001178E-14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159.92263609041913</v>
      </c>
      <c r="CE107" s="59">
        <f t="shared" si="94"/>
        <v>271.78119133009307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18.987212623992324</v>
      </c>
      <c r="CL107" s="21">
        <f>EXP(-LN(2)/25)*CL106+(1-EXP(-LN(2)/25))/(LN(2)/25)*Calculateur!CG107*Calculateur!CI107*VLOOKUP('Données projet'!$B$12,Paramètres!$A$1:$I$89,3,0)*0.475*44/12</f>
        <v>25.423459978834853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44.410672602827177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6.9935897435897401</v>
      </c>
      <c r="CT107" s="12">
        <f>IF('Données projet'!$A$140&gt;35,CT106+CS107-DB106,IF(A107&lt;'Données projet'!$A$140,$CQ$205^A107,IF(A107='Données projet'!$A$140,'Données projet'!$B$140,CT106+CS107-DB106)))</f>
        <v>305.19871794871835</v>
      </c>
      <c r="CU107" s="17">
        <f>CT107*VLOOKUP('Données projet'!$B$13,Paramètres!$A$1:$I$89,3,0)*VLOOKUP('Données projet'!$B$13,Paramètres!$A$1:$I$89,5,0)</f>
        <v>276.14380000000034</v>
      </c>
      <c r="CV107" s="13">
        <f t="shared" si="95"/>
        <v>66.151426401533939</v>
      </c>
      <c r="CW107" s="20">
        <f t="shared" si="67"/>
        <v>596.16418598267205</v>
      </c>
      <c r="CX107" s="59">
        <f t="shared" si="68"/>
        <v>889.49751931600531</v>
      </c>
      <c r="CY107" s="59">
        <f ca="1">AVERAGE(OFFSET($CX$3,0,0,'Données projet'!$E$13+1,1))-AVERAGE(OFFSET($H$3,0,0,'Données projet'!$E$13+1,1))</f>
        <v>280.25710840677186</v>
      </c>
      <c r="CZ107" s="59">
        <f t="shared" si="96"/>
        <v>209.65224013288037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44.511295331941767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44.511295331941767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243</v>
      </c>
      <c r="DP107" s="17">
        <f>DO107*VLOOKUP('Données projet'!$B$14,Paramètres!$A$1:$I$89,3,0)*VLOOKUP('Données projet'!$B$14,Paramètres!$A$1:$I$89,5,0)</f>
        <v>253.98360000000002</v>
      </c>
      <c r="DQ107" s="13">
        <f t="shared" si="97"/>
        <v>61.438182405444294</v>
      </c>
      <c r="DR107" s="20">
        <f t="shared" si="70"/>
        <v>549.35960435614891</v>
      </c>
      <c r="DS107" s="59">
        <f t="shared" si="71"/>
        <v>842.69293768948228</v>
      </c>
      <c r="DT107" s="59">
        <f ca="1">AVERAGE(OFFSET($DS$3,0,0,'Données projet'!$E$14+1,1))-AVERAGE(OFFSET($H$3,0,0,'Données projet'!$E$14+1,1))</f>
        <v>330.14201227773452</v>
      </c>
      <c r="DU107" s="59">
        <f t="shared" si="98"/>
        <v>307.07297894926467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30.122349599210633</v>
      </c>
      <c r="EB107" s="21">
        <f>EXP(-LN(2)/25)*EB106+(1-EXP(-LN(2)/25))/(LN(2)/25)*Calculateur!DW107*Calculateur!DY107*VLOOKUP('Données projet'!$B$14,Paramètres!$A$1:$I$89,3,0)*0.475*44/12</f>
        <v>15.945281501818711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46.067631101029342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236.00000000000009</v>
      </c>
      <c r="EK107" s="17">
        <f>EJ107*VLOOKUP('Données projet'!$B$15,Paramètres!$A$1:$I$89,3,0)*VLOOKUP('Données projet'!$B$15,Paramètres!$A$1:$I$89,5,0)</f>
        <v>154.62720000000004</v>
      </c>
      <c r="EL107" s="13">
        <f t="shared" si="99"/>
        <v>39.62826685000794</v>
      </c>
      <c r="EM107" s="20">
        <f t="shared" si="73"/>
        <v>338.32827143043056</v>
      </c>
      <c r="EN107" s="59">
        <f t="shared" si="74"/>
        <v>631.66160476376388</v>
      </c>
      <c r="EO107" s="59">
        <f ca="1">AVERAGE(OFFSET($EN$3,0,0,'Données projet'!$E$15+1,1))-AVERAGE(OFFSET($H$3,0,0,'Données projet'!$E$15+1,1))</f>
        <v>183.30081488041924</v>
      </c>
      <c r="EP107" s="59">
        <f t="shared" si="100"/>
        <v>199.33099759570928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2.8270588879714582</v>
      </c>
      <c r="EW107" s="21">
        <f>EXP(-LN(2)/25)*EW106+(1-EXP(-LN(2)/25))/(LN(2)/25)*Calculateur!ER107*Calculateur!ET107*VLOOKUP('Données projet'!$B$15,Paramètres!$A$1:$I$89,3,0)*0.475*44/12</f>
        <v>9.4437761098333333</v>
      </c>
      <c r="EX107" s="21">
        <f>EXP(-LN(2)/2)*EX106+(1-EXP(-LN(2)/2))/(LN(2)/2)*ER107*EU107*VLOOKUP('Données projet'!$B$15,Paramètres!$A$1:$I$89,3,0)*0.475*44/12</f>
        <v>1.6744545230689536E-2</v>
      </c>
      <c r="EY107" s="22">
        <f t="shared" si="75"/>
        <v>12.287579543035481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309.71538461538461</v>
      </c>
      <c r="L108" s="12">
        <f>VLOOKUP(A108,'Données projet'!$A$35:$I$55,9,0)</f>
        <v>7.5015384615384617</v>
      </c>
      <c r="M108" s="12">
        <f t="array" ref="M108">INDEX(L:L,MIN(IF(ISNUMBER(L108:L304),ROW(L108:L304),"")))</f>
        <v>7.5015384615384617</v>
      </c>
      <c r="N108" s="13">
        <f>IF('Données projet'!$A$36&gt;35,N107+M108-V107,IF(A108&lt;'Données projet'!$A$36,$K$205^A108,IF(A108='Données projet'!$A$36,'Données projet'!$B$36,N107+M108-V107)))</f>
        <v>309.71538461538495</v>
      </c>
      <c r="O108" s="13">
        <f>N108*VLOOKUP('Données projet'!$B$9,Paramètres!$A$1:$I$89,3,0)*VLOOKUP('Données projet'!$B$9,Paramètres!$A$1:$I$89,5,0)</f>
        <v>144.94680000000017</v>
      </c>
      <c r="P108" s="13">
        <f t="shared" si="87"/>
        <v>37.427947530076956</v>
      </c>
      <c r="Q108" s="20">
        <f t="shared" si="107"/>
        <v>317.63601861488428</v>
      </c>
      <c r="R108" s="59">
        <f t="shared" si="55"/>
        <v>610.96935194821754</v>
      </c>
      <c r="S108" s="59">
        <f ca="1">AVERAGE(OFFSET($R$3,0,0,'Données projet'!$E$9+1,1))-AVERAGE(OFFSET($H$3,0,0,'Données projet'!$E$9+1,1))</f>
        <v>205.73717397588365</v>
      </c>
      <c r="T108" s="59">
        <f t="shared" si="88"/>
        <v>190.64998698136026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309.71538461538461</v>
      </c>
      <c r="W108" s="16">
        <f>IF(ISNA(VLOOKUP(A108,'Données projet'!$A$35:$I$55,5,0)),0%,VLOOKUP(A108,'Données projet'!$A$35:$I$55,5,0)*VLOOKUP('Données projet'!$B$9,Paramètres!$A$1:$I$89,7,0))</f>
        <v>0.38500000000000001</v>
      </c>
      <c r="X108" s="16">
        <f>IF(ISNA(VLOOKUP(A108,'Données projet'!$A$35:$I$55,6,0)),0%,VLOOKUP(A108,'Données projet'!$A$35:$I$55,6,0)*VLOOKUP('Données projet'!$B$9,Paramètres!$A$1:$I$89,7,0))</f>
        <v>9.240000000000001E-2</v>
      </c>
      <c r="Y108" s="16">
        <f>IF(ISNA(VLOOKUP(A108,'Données projet'!$A$35:$I$55,7,0)),0%,VLOOKUP(A108,'Données projet'!$A$35:$I$55,7,0))</f>
        <v>0.13200000000000001</v>
      </c>
      <c r="Z108" s="21">
        <f>EXP(-LN(2)/35)*Z107+(1-EXP(-LN(2)/35))/(LN(2)/35)*V108*W108*VLOOKUP('Données projet'!$B$9,Paramètres!$A$1:$I$89,3,0)*0.475*44/12</f>
        <v>175.22095304116948</v>
      </c>
      <c r="AA108" s="21">
        <f>EXP(-LN(2)/25)*AA107+(1-EXP(-LN(2)/25))/(LN(2)/25)*Calculateur!V108*Calculateur!X108*VLOOKUP('Données projet'!$B$9,Paramètres!$A$1:$I$89,3,0)*0.475*44/12</f>
        <v>43.921184557541437</v>
      </c>
      <c r="AB108" s="21">
        <f>EXP(-LN(2)/2)*AB107+(1-EXP(-LN(2)/2))/(LN(2)/2)*V108*Y108*VLOOKUP('Données projet'!$B$9,Paramètres!$A$1:$I$89,3,0)*0.475*44/12</f>
        <v>22.186641244152522</v>
      </c>
      <c r="AC108" s="22">
        <f t="shared" si="57"/>
        <v>241.32877884286344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283.73369613548124</v>
      </c>
      <c r="AO108" s="59">
        <f t="shared" si="90"/>
        <v>249.77804091581208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-6.3550942286383367E-14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278.5296012747549</v>
      </c>
      <c r="BJ108" s="59">
        <f t="shared" si="92"/>
        <v>370.55343097937077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84.202782347204206</v>
      </c>
      <c r="BQ108" s="21">
        <f>EXP(-LN(2)/25)*BQ107+(1-EXP(-LN(2)/25))/(LN(2)/25)*Calculateur!BL108*Calculateur!BN108*VLOOKUP('Données projet'!$B$11,Paramètres!$A$1:$I$89,3,0)*0.475*44/12</f>
        <v>14.401920097059982</v>
      </c>
      <c r="BR108" s="21">
        <f>EXP(-LN(2)/2)*BR107+(1-EXP(-LN(2)/2))/(LN(2)/2)*BL108*BO108*VLOOKUP('Données projet'!$B$11,Paramètres!$A$1:$I$89,3,0)*0.475*44/12</f>
        <v>1.0180861951146267E-6</v>
      </c>
      <c r="BS108" s="22">
        <f t="shared" si="63"/>
        <v>98.604703462350386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-3.1036506698001178E-14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159.92263609041913</v>
      </c>
      <c r="CE108" s="59">
        <f t="shared" si="94"/>
        <v>271.78119133009307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18.614884965491999</v>
      </c>
      <c r="CL108" s="21">
        <f>EXP(-LN(2)/25)*CL107+(1-EXP(-LN(2)/25))/(LN(2)/25)*Calculateur!CG108*Calculateur!CI108*VLOOKUP('Données projet'!$B$12,Paramètres!$A$1:$I$89,3,0)*0.475*44/12</f>
        <v>24.72825412875196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43.343139094243959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6.9935897435897401</v>
      </c>
      <c r="CT108" s="12">
        <f>IF('Données projet'!$A$140&gt;35,CT107+CS108-DB107,IF(A108&lt;'Données projet'!$A$140,$CQ$205^A108,IF(A108='Données projet'!$A$140,'Données projet'!$B$140,CT107+CS108-DB107)))</f>
        <v>312.19230769230808</v>
      </c>
      <c r="CU108" s="17">
        <f>CT108*VLOOKUP('Données projet'!$B$13,Paramètres!$A$1:$I$89,3,0)*VLOOKUP('Données projet'!$B$13,Paramètres!$A$1:$I$89,5,0)</f>
        <v>282.47160000000031</v>
      </c>
      <c r="CV108" s="13">
        <f t="shared" si="95"/>
        <v>67.489061551962138</v>
      </c>
      <c r="CW108" s="20">
        <f t="shared" si="67"/>
        <v>609.51481886966792</v>
      </c>
      <c r="CX108" s="59">
        <f t="shared" si="68"/>
        <v>902.84815220300129</v>
      </c>
      <c r="CY108" s="59">
        <f ca="1">AVERAGE(OFFSET($CX$3,0,0,'Données projet'!$E$13+1,1))-AVERAGE(OFFSET($H$3,0,0,'Données projet'!$E$13+1,1))</f>
        <v>280.25710840677186</v>
      </c>
      <c r="CZ108" s="59">
        <f t="shared" si="96"/>
        <v>209.65224013288037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43.638455979691777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43.638455979691777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243</v>
      </c>
      <c r="DP108" s="17">
        <f>DO108*VLOOKUP('Données projet'!$B$14,Paramètres!$A$1:$I$89,3,0)*VLOOKUP('Données projet'!$B$14,Paramètres!$A$1:$I$89,5,0)</f>
        <v>253.98360000000002</v>
      </c>
      <c r="DQ108" s="13">
        <f t="shared" si="97"/>
        <v>61.438182405444294</v>
      </c>
      <c r="DR108" s="20">
        <f t="shared" si="70"/>
        <v>549.35960435614891</v>
      </c>
      <c r="DS108" s="59">
        <f t="shared" si="71"/>
        <v>842.69293768948228</v>
      </c>
      <c r="DT108" s="59">
        <f ca="1">AVERAGE(OFFSET($DS$3,0,0,'Données projet'!$E$14+1,1))-AVERAGE(OFFSET($H$3,0,0,'Données projet'!$E$14+1,1))</f>
        <v>330.14201227773452</v>
      </c>
      <c r="DU108" s="59">
        <f t="shared" si="98"/>
        <v>307.07297894926467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29.531668696389204</v>
      </c>
      <c r="EB108" s="21">
        <f>EXP(-LN(2)/25)*EB107+(1-EXP(-LN(2)/25))/(LN(2)/25)*Calculateur!DW108*Calculateur!DY108*VLOOKUP('Données projet'!$B$14,Paramètres!$A$1:$I$89,3,0)*0.475*44/12</f>
        <v>15.509256940625567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45.040925637014773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236.00000000000009</v>
      </c>
      <c r="EK108" s="17">
        <f>EJ108*VLOOKUP('Données projet'!$B$15,Paramètres!$A$1:$I$89,3,0)*VLOOKUP('Données projet'!$B$15,Paramètres!$A$1:$I$89,5,0)</f>
        <v>154.62720000000004</v>
      </c>
      <c r="EL108" s="13">
        <f t="shared" si="99"/>
        <v>39.62826685000794</v>
      </c>
      <c r="EM108" s="20">
        <f t="shared" si="73"/>
        <v>338.32827143043056</v>
      </c>
      <c r="EN108" s="59">
        <f t="shared" si="74"/>
        <v>631.66160476376388</v>
      </c>
      <c r="EO108" s="59">
        <f ca="1">AVERAGE(OFFSET($EN$3,0,0,'Données projet'!$E$15+1,1))-AVERAGE(OFFSET($H$3,0,0,'Données projet'!$E$15+1,1))</f>
        <v>183.30081488041924</v>
      </c>
      <c r="EP108" s="59">
        <f t="shared" si="100"/>
        <v>199.33099759570928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2.7716219875139956</v>
      </c>
      <c r="EW108" s="21">
        <f>EXP(-LN(2)/25)*EW107+(1-EXP(-LN(2)/25))/(LN(2)/25)*Calculateur!ER108*Calculateur!ET108*VLOOKUP('Données projet'!$B$15,Paramètres!$A$1:$I$89,3,0)*0.475*44/12</f>
        <v>9.1855355554833391</v>
      </c>
      <c r="EX108" s="21">
        <f>EXP(-LN(2)/2)*EX107+(1-EXP(-LN(2)/2))/(LN(2)/2)*ER108*EU108*VLOOKUP('Données projet'!$B$15,Paramètres!$A$1:$I$89,3,0)*0.475*44/12</f>
        <v>1.1840181480505434E-2</v>
      </c>
      <c r="EY108" s="22">
        <f t="shared" si="75"/>
        <v>11.968997724477839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1.5961632016114892E-13</v>
      </c>
      <c r="P109" s="13">
        <f t="shared" si="87"/>
        <v>2.2708641912150958E-12</v>
      </c>
      <c r="Q109" s="20">
        <f t="shared" si="107"/>
        <v>4.2330868906469593E-12</v>
      </c>
      <c r="R109" s="59">
        <f t="shared" si="55"/>
        <v>293.33333333333752</v>
      </c>
      <c r="S109" s="59">
        <f ca="1">AVERAGE(OFFSET($R$3,0,0,'Données projet'!$E$9+1,1))-AVERAGE(OFFSET($H$3,0,0,'Données projet'!$E$9+1,1))</f>
        <v>205.73717397588365</v>
      </c>
      <c r="T109" s="59">
        <f t="shared" si="88"/>
        <v>190.64998698136026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171.78497702626055</v>
      </c>
      <c r="AA109" s="21">
        <f>EXP(-LN(2)/25)*AA108+(1-EXP(-LN(2)/25))/(LN(2)/25)*Calculateur!V109*Calculateur!X109*VLOOKUP('Données projet'!$B$9,Paramètres!$A$1:$I$89,3,0)*0.475*44/12</f>
        <v>42.72015745610075</v>
      </c>
      <c r="AB109" s="21">
        <f>EXP(-LN(2)/2)*AB108+(1-EXP(-LN(2)/2))/(LN(2)/2)*V109*Y109*VLOOKUP('Données projet'!$B$9,Paramètres!$A$1:$I$89,3,0)*0.475*44/12</f>
        <v>15.688324475493388</v>
      </c>
      <c r="AC109" s="22">
        <f t="shared" si="57"/>
        <v>230.19345895785472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283.73369613548124</v>
      </c>
      <c r="AO109" s="59">
        <f t="shared" si="90"/>
        <v>249.77804091581208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-6.3550942286383367E-14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278.5296012747549</v>
      </c>
      <c r="BJ109" s="59">
        <f t="shared" si="92"/>
        <v>370.55343097937077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82.551617144001526</v>
      </c>
      <c r="BQ109" s="21">
        <f>EXP(-LN(2)/25)*BQ108+(1-EXP(-LN(2)/25))/(LN(2)/25)*Calculateur!BL109*Calculateur!BN109*VLOOKUP('Données projet'!$B$11,Paramètres!$A$1:$I$89,3,0)*0.475*44/12</f>
        <v>14.008098834641816</v>
      </c>
      <c r="BR109" s="21">
        <f>EXP(-LN(2)/2)*BR108+(1-EXP(-LN(2)/2))/(LN(2)/2)*BL109*BO109*VLOOKUP('Données projet'!$B$11,Paramètres!$A$1:$I$89,3,0)*0.475*44/12</f>
        <v>7.1989565239796306E-7</v>
      </c>
      <c r="BS109" s="22">
        <f t="shared" si="63"/>
        <v>96.559716698538992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-3.1036506698001178E-14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159.92263609041913</v>
      </c>
      <c r="CE109" s="59">
        <f t="shared" si="94"/>
        <v>271.78119133009307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18.24985842527742</v>
      </c>
      <c r="CL109" s="21">
        <f>EXP(-LN(2)/25)*CL108+(1-EXP(-LN(2)/25))/(LN(2)/25)*Calculateur!CG109*Calculateur!CI109*VLOOKUP('Données projet'!$B$12,Paramètres!$A$1:$I$89,3,0)*0.475*44/12</f>
        <v>24.052058719198872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42.301917144476292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6.9935897435897401</v>
      </c>
      <c r="CT109" s="12">
        <f>IF('Données projet'!$A$140&gt;35,CT108+CS109-DB108,IF(A109&lt;'Données projet'!$A$140,$CQ$205^A109,IF(A109='Données projet'!$A$140,'Données projet'!$B$140,CT108+CS109-DB108)))</f>
        <v>319.1858974358978</v>
      </c>
      <c r="CU109" s="17">
        <f>CT109*VLOOKUP('Données projet'!$B$13,Paramètres!$A$1:$I$89,3,0)*VLOOKUP('Données projet'!$B$13,Paramètres!$A$1:$I$89,5,0)</f>
        <v>288.79940000000033</v>
      </c>
      <c r="CV109" s="13">
        <f t="shared" si="95"/>
        <v>68.82321300114252</v>
      </c>
      <c r="CW109" s="20">
        <f t="shared" si="67"/>
        <v>622.85938431032366</v>
      </c>
      <c r="CX109" s="59">
        <f t="shared" si="68"/>
        <v>916.19271764365703</v>
      </c>
      <c r="CY109" s="59">
        <f ca="1">AVERAGE(OFFSET($CX$3,0,0,'Données projet'!$E$13+1,1))-AVERAGE(OFFSET($H$3,0,0,'Données projet'!$E$13+1,1))</f>
        <v>280.25710840677186</v>
      </c>
      <c r="CZ109" s="59">
        <f t="shared" si="96"/>
        <v>209.65224013288037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42.782732474759975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42.782732474759975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243</v>
      </c>
      <c r="DP109" s="17">
        <f>DO109*VLOOKUP('Données projet'!$B$14,Paramètres!$A$1:$I$89,3,0)*VLOOKUP('Données projet'!$B$14,Paramètres!$A$1:$I$89,5,0)</f>
        <v>253.98360000000002</v>
      </c>
      <c r="DQ109" s="13">
        <f t="shared" si="97"/>
        <v>61.438182405444294</v>
      </c>
      <c r="DR109" s="20">
        <f t="shared" si="70"/>
        <v>549.35960435614891</v>
      </c>
      <c r="DS109" s="59">
        <f t="shared" si="71"/>
        <v>842.69293768948228</v>
      </c>
      <c r="DT109" s="59">
        <f ca="1">AVERAGE(OFFSET($DS$3,0,0,'Données projet'!$E$14+1,1))-AVERAGE(OFFSET($H$3,0,0,'Données projet'!$E$14+1,1))</f>
        <v>330.14201227773452</v>
      </c>
      <c r="DU109" s="59">
        <f t="shared" si="98"/>
        <v>307.07297894926467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28.952570685792328</v>
      </c>
      <c r="EB109" s="21">
        <f>EXP(-LN(2)/25)*EB108+(1-EXP(-LN(2)/25))/(LN(2)/25)*Calculateur!DW109*Calculateur!DY109*VLOOKUP('Données projet'!$B$14,Paramètres!$A$1:$I$89,3,0)*0.475*44/12</f>
        <v>15.085155493987786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44.037726179780115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236.00000000000009</v>
      </c>
      <c r="EK109" s="17">
        <f>EJ109*VLOOKUP('Données projet'!$B$15,Paramètres!$A$1:$I$89,3,0)*VLOOKUP('Données projet'!$B$15,Paramètres!$A$1:$I$89,5,0)</f>
        <v>154.62720000000004</v>
      </c>
      <c r="EL109" s="13">
        <f t="shared" si="99"/>
        <v>39.62826685000794</v>
      </c>
      <c r="EM109" s="20">
        <f t="shared" si="73"/>
        <v>338.32827143043056</v>
      </c>
      <c r="EN109" s="59">
        <f t="shared" si="74"/>
        <v>631.66160476376388</v>
      </c>
      <c r="EO109" s="59">
        <f ca="1">AVERAGE(OFFSET($EN$3,0,0,'Données projet'!$E$15+1,1))-AVERAGE(OFFSET($H$3,0,0,'Données projet'!$E$15+1,1))</f>
        <v>183.30081488041924</v>
      </c>
      <c r="EP109" s="59">
        <f t="shared" si="100"/>
        <v>199.33099759570928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2.7172721708613334</v>
      </c>
      <c r="EW109" s="21">
        <f>EXP(-LN(2)/25)*EW108+(1-EXP(-LN(2)/25))/(LN(2)/25)*Calculateur!ER109*Calculateur!ET109*VLOOKUP('Données projet'!$B$15,Paramètres!$A$1:$I$89,3,0)*0.475*44/12</f>
        <v>8.9343566026723256</v>
      </c>
      <c r="EX109" s="21">
        <f>EXP(-LN(2)/2)*EX108+(1-EXP(-LN(2)/2))/(LN(2)/2)*ER109*EU109*VLOOKUP('Données projet'!$B$15,Paramètres!$A$1:$I$89,3,0)*0.475*44/12</f>
        <v>8.3722726153447682E-3</v>
      </c>
      <c r="EY109" s="22">
        <f t="shared" si="75"/>
        <v>11.660001046149004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1.5961632016114892E-13</v>
      </c>
      <c r="P110" s="13">
        <f t="shared" si="87"/>
        <v>2.2708641912150958E-12</v>
      </c>
      <c r="Q110" s="20">
        <f t="shared" si="107"/>
        <v>4.2330868906469593E-12</v>
      </c>
      <c r="R110" s="59">
        <f t="shared" si="55"/>
        <v>293.33333333333752</v>
      </c>
      <c r="S110" s="59">
        <f ca="1">AVERAGE(OFFSET($R$3,0,0,'Données projet'!$E$9+1,1))-AVERAGE(OFFSET($H$3,0,0,'Données projet'!$E$9+1,1))</f>
        <v>205.73717397588365</v>
      </c>
      <c r="T110" s="59">
        <f t="shared" si="88"/>
        <v>190.64998698136026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168.41637840526556</v>
      </c>
      <c r="AA110" s="21">
        <f>EXP(-LN(2)/25)*AA109+(1-EXP(-LN(2)/25))/(LN(2)/25)*Calculateur!V110*Calculateur!X110*VLOOKUP('Données projet'!$B$9,Paramètres!$A$1:$I$89,3,0)*0.475*44/12</f>
        <v>41.551972503908232</v>
      </c>
      <c r="AB110" s="21">
        <f>EXP(-LN(2)/2)*AB109+(1-EXP(-LN(2)/2))/(LN(2)/2)*V110*Y110*VLOOKUP('Données projet'!$B$9,Paramètres!$A$1:$I$89,3,0)*0.475*44/12</f>
        <v>11.093320622076263</v>
      </c>
      <c r="AC110" s="22">
        <f t="shared" si="57"/>
        <v>221.06167153125006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283.73369613548124</v>
      </c>
      <c r="AO110" s="59">
        <f t="shared" si="90"/>
        <v>249.77804091581208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-6.3550942286383367E-14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278.5296012747549</v>
      </c>
      <c r="BJ110" s="59">
        <f t="shared" si="92"/>
        <v>370.55343097937077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80.932830283322318</v>
      </c>
      <c r="BQ110" s="21">
        <f>EXP(-LN(2)/25)*BQ109+(1-EXP(-LN(2)/25))/(LN(2)/25)*Calculateur!BL110*Calculateur!BN110*VLOOKUP('Données projet'!$B$11,Paramètres!$A$1:$I$89,3,0)*0.475*44/12</f>
        <v>13.625046635354634</v>
      </c>
      <c r="BR110" s="21">
        <f>EXP(-LN(2)/2)*BR109+(1-EXP(-LN(2)/2))/(LN(2)/2)*BL110*BO110*VLOOKUP('Données projet'!$B$11,Paramètres!$A$1:$I$89,3,0)*0.475*44/12</f>
        <v>5.0904309755731334E-7</v>
      </c>
      <c r="BS110" s="22">
        <f t="shared" si="63"/>
        <v>94.557877427720058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-3.1036506698001178E-14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159.92263609041913</v>
      </c>
      <c r="CE110" s="59">
        <f t="shared" si="94"/>
        <v>271.78119133009307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17.891989832872245</v>
      </c>
      <c r="CL110" s="21">
        <f>EXP(-LN(2)/25)*CL109+(1-EXP(-LN(2)/25))/(LN(2)/25)*Calculateur!CG110*Calculateur!CI110*VLOOKUP('Données projet'!$B$12,Paramètres!$A$1:$I$89,3,0)*0.475*44/12</f>
        <v>23.394353908679584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41.286343741551832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6.9935897435897401</v>
      </c>
      <c r="CT110" s="12">
        <f>IF('Données projet'!$A$140&gt;35,CT109+CS110-DB109,IF(A110&lt;'Données projet'!$A$140,$CQ$205^A110,IF(A110='Données projet'!$A$140,'Données projet'!$B$140,CT109+CS110-DB109)))</f>
        <v>326.17948717948752</v>
      </c>
      <c r="CU110" s="17">
        <f>CT110*VLOOKUP('Données projet'!$B$13,Paramètres!$A$1:$I$89,3,0)*VLOOKUP('Données projet'!$B$13,Paramètres!$A$1:$I$89,5,0)</f>
        <v>295.1272000000003</v>
      </c>
      <c r="CV110" s="13">
        <f t="shared" si="95"/>
        <v>70.153965869482519</v>
      </c>
      <c r="CW110" s="20">
        <f t="shared" si="67"/>
        <v>636.19803055601596</v>
      </c>
      <c r="CX110" s="59">
        <f t="shared" si="68"/>
        <v>929.53136388934922</v>
      </c>
      <c r="CY110" s="59">
        <f ca="1">AVERAGE(OFFSET($CX$3,0,0,'Données projet'!$E$13+1,1))-AVERAGE(OFFSET($H$3,0,0,'Données projet'!$E$13+1,1))</f>
        <v>280.25710840677186</v>
      </c>
      <c r="CZ110" s="59">
        <f t="shared" si="96"/>
        <v>209.65224013288037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41.943789185820087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41.943789185820087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243</v>
      </c>
      <c r="DP110" s="17">
        <f>DO110*VLOOKUP('Données projet'!$B$14,Paramètres!$A$1:$I$89,3,0)*VLOOKUP('Données projet'!$B$14,Paramètres!$A$1:$I$89,5,0)</f>
        <v>253.98360000000002</v>
      </c>
      <c r="DQ110" s="13">
        <f t="shared" si="97"/>
        <v>61.438182405444294</v>
      </c>
      <c r="DR110" s="20">
        <f t="shared" si="70"/>
        <v>549.35960435614891</v>
      </c>
      <c r="DS110" s="59">
        <f t="shared" si="71"/>
        <v>842.69293768948228</v>
      </c>
      <c r="DT110" s="59">
        <f ca="1">AVERAGE(OFFSET($DS$3,0,0,'Données projet'!$E$14+1,1))-AVERAGE(OFFSET($H$3,0,0,'Données projet'!$E$14+1,1))</f>
        <v>330.14201227773452</v>
      </c>
      <c r="DU110" s="59">
        <f t="shared" si="98"/>
        <v>307.07297894926467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28.384828433968345</v>
      </c>
      <c r="EB110" s="21">
        <f>EXP(-LN(2)/25)*EB109+(1-EXP(-LN(2)/25))/(LN(2)/25)*Calculateur!DW110*Calculateur!DY110*VLOOKUP('Données projet'!$B$14,Paramètres!$A$1:$I$89,3,0)*0.475*44/12</f>
        <v>14.672651123710841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43.057479557679187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236.00000000000009</v>
      </c>
      <c r="EK110" s="17">
        <f>EJ110*VLOOKUP('Données projet'!$B$15,Paramètres!$A$1:$I$89,3,0)*VLOOKUP('Données projet'!$B$15,Paramètres!$A$1:$I$89,5,0)</f>
        <v>154.62720000000004</v>
      </c>
      <c r="EL110" s="13">
        <f t="shared" si="99"/>
        <v>39.62826685000794</v>
      </c>
      <c r="EM110" s="20">
        <f t="shared" si="73"/>
        <v>338.32827143043056</v>
      </c>
      <c r="EN110" s="59">
        <f t="shared" si="74"/>
        <v>631.66160476376388</v>
      </c>
      <c r="EO110" s="59">
        <f ca="1">AVERAGE(OFFSET($EN$3,0,0,'Données projet'!$E$15+1,1))-AVERAGE(OFFSET($H$3,0,0,'Données projet'!$E$15+1,1))</f>
        <v>183.30081488041924</v>
      </c>
      <c r="EP110" s="59">
        <f t="shared" si="100"/>
        <v>199.33099759570928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2.6639881209631149</v>
      </c>
      <c r="EW110" s="21">
        <f>EXP(-LN(2)/25)*EW109+(1-EXP(-LN(2)/25))/(LN(2)/25)*Calculateur!ER110*Calculateur!ET110*VLOOKUP('Données projet'!$B$15,Paramètres!$A$1:$I$89,3,0)*0.475*44/12</f>
        <v>8.6900461515348564</v>
      </c>
      <c r="EX110" s="21">
        <f>EXP(-LN(2)/2)*EX109+(1-EXP(-LN(2)/2))/(LN(2)/2)*ER110*EU110*VLOOKUP('Données projet'!$B$15,Paramètres!$A$1:$I$89,3,0)*0.475*44/12</f>
        <v>5.920090740252717E-3</v>
      </c>
      <c r="EY110" s="22">
        <f t="shared" si="75"/>
        <v>11.359954363238224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1.5961632016114892E-13</v>
      </c>
      <c r="P111" s="13">
        <f t="shared" si="87"/>
        <v>2.2708641912150958E-12</v>
      </c>
      <c r="Q111" s="20">
        <f t="shared" si="107"/>
        <v>4.2330868906469593E-12</v>
      </c>
      <c r="R111" s="59">
        <f t="shared" si="55"/>
        <v>293.33333333333752</v>
      </c>
      <c r="S111" s="59">
        <f ca="1">AVERAGE(OFFSET($R$3,0,0,'Données projet'!$E$9+1,1))-AVERAGE(OFFSET($H$3,0,0,'Données projet'!$E$9+1,1))</f>
        <v>205.73717397588365</v>
      </c>
      <c r="T111" s="59">
        <f t="shared" si="88"/>
        <v>190.64998698136026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165.113835948586</v>
      </c>
      <c r="AA111" s="21">
        <f>EXP(-LN(2)/25)*AA110+(1-EXP(-LN(2)/25))/(LN(2)/25)*Calculateur!V111*Calculateur!X111*VLOOKUP('Données projet'!$B$9,Paramètres!$A$1:$I$89,3,0)*0.475*44/12</f>
        <v>40.415731630665597</v>
      </c>
      <c r="AB111" s="21">
        <f>EXP(-LN(2)/2)*AB110+(1-EXP(-LN(2)/2))/(LN(2)/2)*V111*Y111*VLOOKUP('Données projet'!$B$9,Paramètres!$A$1:$I$89,3,0)*0.475*44/12</f>
        <v>7.844162237746696</v>
      </c>
      <c r="AC111" s="22">
        <f t="shared" si="57"/>
        <v>213.37372981699829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283.73369613548124</v>
      </c>
      <c r="AO111" s="59">
        <f t="shared" si="90"/>
        <v>249.77804091581208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-6.3550942286383367E-14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278.5296012747549</v>
      </c>
      <c r="BJ111" s="59">
        <f t="shared" si="92"/>
        <v>370.55343097937077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79.345786845618534</v>
      </c>
      <c r="BQ111" s="21">
        <f>EXP(-LN(2)/25)*BQ110+(1-EXP(-LN(2)/25))/(LN(2)/25)*Calculateur!BL111*Calculateur!BN111*VLOOKUP('Données projet'!$B$11,Paramètres!$A$1:$I$89,3,0)*0.475*44/12</f>
        <v>13.252469018600799</v>
      </c>
      <c r="BR111" s="21">
        <f>EXP(-LN(2)/2)*BR110+(1-EXP(-LN(2)/2))/(LN(2)/2)*BL111*BO111*VLOOKUP('Données projet'!$B$11,Paramètres!$A$1:$I$89,3,0)*0.475*44/12</f>
        <v>3.5994782619898153E-7</v>
      </c>
      <c r="BS111" s="22">
        <f t="shared" si="63"/>
        <v>92.598256224167159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-3.1036506698001178E-14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159.92263609041913</v>
      </c>
      <c r="CE111" s="59">
        <f t="shared" si="94"/>
        <v>271.78119133009307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17.541138825285845</v>
      </c>
      <c r="CL111" s="21">
        <f>EXP(-LN(2)/25)*CL110+(1-EXP(-LN(2)/25))/(LN(2)/25)*Calculateur!CG111*Calculateur!CI111*VLOOKUP('Données projet'!$B$12,Paramètres!$A$1:$I$89,3,0)*0.475*44/12</f>
        <v>22.754634070791138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40.295772896076983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6.9935897435897401</v>
      </c>
      <c r="CT111" s="12">
        <f>IF('Données projet'!$A$140&gt;35,CT110+CS111-DB110,IF(A111&lt;'Données projet'!$A$140,$CQ$205^A111,IF(A111='Données projet'!$A$140,'Données projet'!$B$140,CT110+CS111-DB110)))</f>
        <v>333.17307692307725</v>
      </c>
      <c r="CU111" s="17">
        <f>CT111*VLOOKUP('Données projet'!$B$13,Paramètres!$A$1:$I$89,3,0)*VLOOKUP('Données projet'!$B$13,Paramètres!$A$1:$I$89,5,0)</f>
        <v>301.45500000000027</v>
      </c>
      <c r="CV111" s="13">
        <f t="shared" si="95"/>
        <v>71.481401418760342</v>
      </c>
      <c r="CW111" s="20">
        <f t="shared" si="67"/>
        <v>649.53089913767474</v>
      </c>
      <c r="CX111" s="59">
        <f t="shared" si="68"/>
        <v>942.86423247100811</v>
      </c>
      <c r="CY111" s="59">
        <f ca="1">AVERAGE(OFFSET($CX$3,0,0,'Données projet'!$E$13+1,1))-AVERAGE(OFFSET($H$3,0,0,'Données projet'!$E$13+1,1))</f>
        <v>280.25710840677186</v>
      </c>
      <c r="CZ111" s="59">
        <f t="shared" si="96"/>
        <v>209.65224013288037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41.121297063071431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41.121297063071431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243</v>
      </c>
      <c r="DP111" s="17">
        <f>DO111*VLOOKUP('Données projet'!$B$14,Paramètres!$A$1:$I$89,3,0)*VLOOKUP('Données projet'!$B$14,Paramètres!$A$1:$I$89,5,0)</f>
        <v>253.98360000000002</v>
      </c>
      <c r="DQ111" s="13">
        <f t="shared" si="97"/>
        <v>61.438182405444294</v>
      </c>
      <c r="DR111" s="20">
        <f t="shared" si="70"/>
        <v>549.35960435614891</v>
      </c>
      <c r="DS111" s="59">
        <f t="shared" si="71"/>
        <v>842.69293768948228</v>
      </c>
      <c r="DT111" s="59">
        <f ca="1">AVERAGE(OFFSET($DS$3,0,0,'Données projet'!$E$14+1,1))-AVERAGE(OFFSET($H$3,0,0,'Données projet'!$E$14+1,1))</f>
        <v>330.14201227773452</v>
      </c>
      <c r="DU111" s="59">
        <f t="shared" si="98"/>
        <v>307.07297894926467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27.828219261414048</v>
      </c>
      <c r="EB111" s="21">
        <f>EXP(-LN(2)/25)*EB110+(1-EXP(-LN(2)/25))/(LN(2)/25)*Calculateur!DW111*Calculateur!DY111*VLOOKUP('Données projet'!$B$14,Paramètres!$A$1:$I$89,3,0)*0.475*44/12</f>
        <v>14.271426707131781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42.099645968545829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236.00000000000009</v>
      </c>
      <c r="EK111" s="17">
        <f>EJ111*VLOOKUP('Données projet'!$B$15,Paramètres!$A$1:$I$89,3,0)*VLOOKUP('Données projet'!$B$15,Paramètres!$A$1:$I$89,5,0)</f>
        <v>154.62720000000004</v>
      </c>
      <c r="EL111" s="13">
        <f t="shared" si="99"/>
        <v>39.62826685000794</v>
      </c>
      <c r="EM111" s="20">
        <f t="shared" si="73"/>
        <v>338.32827143043056</v>
      </c>
      <c r="EN111" s="59">
        <f t="shared" si="74"/>
        <v>631.66160476376388</v>
      </c>
      <c r="EO111" s="59">
        <f ca="1">AVERAGE(OFFSET($EN$3,0,0,'Données projet'!$E$15+1,1))-AVERAGE(OFFSET($H$3,0,0,'Données projet'!$E$15+1,1))</f>
        <v>183.30081488041924</v>
      </c>
      <c r="EP111" s="59">
        <f t="shared" si="100"/>
        <v>199.33099759570928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2.611748938783339</v>
      </c>
      <c r="EW111" s="21">
        <f>EXP(-LN(2)/25)*EW110+(1-EXP(-LN(2)/25))/(LN(2)/25)*Calculateur!ER111*Calculateur!ET111*VLOOKUP('Données projet'!$B$15,Paramètres!$A$1:$I$89,3,0)*0.475*44/12</f>
        <v>8.4524163825314709</v>
      </c>
      <c r="EX111" s="21">
        <f>EXP(-LN(2)/2)*EX110+(1-EXP(-LN(2)/2))/(LN(2)/2)*ER111*EU111*VLOOKUP('Données projet'!$B$15,Paramètres!$A$1:$I$89,3,0)*0.475*44/12</f>
        <v>4.1861363076723841E-3</v>
      </c>
      <c r="EY111" s="22">
        <f t="shared" si="75"/>
        <v>11.068351457622482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1.5961632016114892E-13</v>
      </c>
      <c r="P112" s="13">
        <f t="shared" si="87"/>
        <v>2.2708641912150958E-12</v>
      </c>
      <c r="Q112" s="20">
        <f t="shared" si="107"/>
        <v>4.2330868906469593E-12</v>
      </c>
      <c r="R112" s="59">
        <f t="shared" si="55"/>
        <v>293.33333333333752</v>
      </c>
      <c r="S112" s="59">
        <f ca="1">AVERAGE(OFFSET($R$3,0,0,'Données projet'!$E$9+1,1))-AVERAGE(OFFSET($H$3,0,0,'Données projet'!$E$9+1,1))</f>
        <v>205.73717397588365</v>
      </c>
      <c r="T112" s="59">
        <f t="shared" si="88"/>
        <v>190.64998698136026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161.87605433512991</v>
      </c>
      <c r="AA112" s="21">
        <f>EXP(-LN(2)/25)*AA111+(1-EXP(-LN(2)/25))/(LN(2)/25)*Calculateur!V112*Calculateur!X112*VLOOKUP('Données projet'!$B$9,Paramètres!$A$1:$I$89,3,0)*0.475*44/12</f>
        <v>39.310561323854088</v>
      </c>
      <c r="AB112" s="21">
        <f>EXP(-LN(2)/2)*AB111+(1-EXP(-LN(2)/2))/(LN(2)/2)*V112*Y112*VLOOKUP('Données projet'!$B$9,Paramètres!$A$1:$I$89,3,0)*0.475*44/12</f>
        <v>5.5466603110381323</v>
      </c>
      <c r="AC112" s="22">
        <f t="shared" si="57"/>
        <v>206.73327597002213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283.73369613548124</v>
      </c>
      <c r="AO112" s="59">
        <f t="shared" si="90"/>
        <v>249.77804091581208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-6.3550942286383367E-14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278.5296012747549</v>
      </c>
      <c r="BJ112" s="59">
        <f t="shared" si="92"/>
        <v>370.55343097937077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77.789864361727211</v>
      </c>
      <c r="BQ112" s="21">
        <f>EXP(-LN(2)/25)*BQ111+(1-EXP(-LN(2)/25))/(LN(2)/25)*Calculateur!BL112*Calculateur!BN112*VLOOKUP('Données projet'!$B$11,Paramètres!$A$1:$I$89,3,0)*0.475*44/12</f>
        <v>12.890079556370104</v>
      </c>
      <c r="BR112" s="21">
        <f>EXP(-LN(2)/2)*BR111+(1-EXP(-LN(2)/2))/(LN(2)/2)*BL112*BO112*VLOOKUP('Données projet'!$B$11,Paramètres!$A$1:$I$89,3,0)*0.475*44/12</f>
        <v>2.5452154877865667E-7</v>
      </c>
      <c r="BS112" s="22">
        <f t="shared" si="63"/>
        <v>90.67994417261886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-3.1036506698001178E-14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159.92263609041913</v>
      </c>
      <c r="CE112" s="59">
        <f t="shared" si="94"/>
        <v>271.78119133009307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17.197167791960229</v>
      </c>
      <c r="CL112" s="21">
        <f>EXP(-LN(2)/25)*CL111+(1-EXP(-LN(2)/25))/(LN(2)/25)*Calculateur!CG112*Calculateur!CI112*VLOOKUP('Données projet'!$B$12,Paramètres!$A$1:$I$89,3,0)*0.475*44/12</f>
        <v>22.132407405511156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39.329575197471385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340.16666666666663</v>
      </c>
      <c r="CR112" s="12">
        <f>VLOOKUP(A112,'Données projet'!$A$139:$I$159,9,0)</f>
        <v>6.9935897435897401</v>
      </c>
      <c r="CS112" s="12">
        <f t="array" ref="CS112">INDEX(CR:CR,MIN(IF(ISNUMBER(CR112:CR308),ROW(CR112:CR308),"")))</f>
        <v>6.9935897435897401</v>
      </c>
      <c r="CT112" s="12">
        <f>IF('Données projet'!$A$140&gt;35,CT111+CS112-DB111,IF(A112&lt;'Données projet'!$A$140,$CQ$205^A112,IF(A112='Données projet'!$A$140,'Données projet'!$B$140,CT111+CS112-DB111)))</f>
        <v>340.16666666666697</v>
      </c>
      <c r="CU112" s="17">
        <f>CT112*VLOOKUP('Données projet'!$B$13,Paramètres!$A$1:$I$89,3,0)*VLOOKUP('Données projet'!$B$13,Paramètres!$A$1:$I$89,5,0)</f>
        <v>307.78280000000024</v>
      </c>
      <c r="CV112" s="13">
        <f t="shared" si="95"/>
        <v>72.805597304306232</v>
      </c>
      <c r="CW112" s="20">
        <f t="shared" si="67"/>
        <v>662.85812530500039</v>
      </c>
      <c r="CX112" s="59">
        <f t="shared" si="68"/>
        <v>956.19145863833364</v>
      </c>
      <c r="CY112" s="59">
        <f ca="1">AVERAGE(OFFSET($CX$3,0,0,'Données projet'!$E$13+1,1))-AVERAGE(OFFSET($H$3,0,0,'Données projet'!$E$13+1,1))</f>
        <v>280.25710840677186</v>
      </c>
      <c r="CZ112" s="59">
        <f t="shared" si="96"/>
        <v>209.65224013288037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51.28846153846154</v>
      </c>
      <c r="DC112" s="16">
        <f>IF(ISNA(VLOOKUP(A112,'Données projet'!$A$139:$I$159,5,0)),0%,VLOOKUP(A112,'Données projet'!$A$139:$I$159,5,0)*VLOOKUP('Données projet'!$B$13,Paramètres!$A$1:$I$89,7,0))</f>
        <v>0.38700000000000001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60.168125359190398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60.168125359190398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243</v>
      </c>
      <c r="DP112" s="17">
        <f>DO112*VLOOKUP('Données projet'!$B$14,Paramètres!$A$1:$I$89,3,0)*VLOOKUP('Données projet'!$B$14,Paramètres!$A$1:$I$89,5,0)</f>
        <v>253.98360000000002</v>
      </c>
      <c r="DQ112" s="13">
        <f t="shared" si="97"/>
        <v>61.438182405444294</v>
      </c>
      <c r="DR112" s="20">
        <f t="shared" si="70"/>
        <v>549.35960435614891</v>
      </c>
      <c r="DS112" s="59">
        <f t="shared" si="71"/>
        <v>842.69293768948228</v>
      </c>
      <c r="DT112" s="59">
        <f ca="1">AVERAGE(OFFSET($DS$3,0,0,'Données projet'!$E$14+1,1))-AVERAGE(OFFSET($H$3,0,0,'Données projet'!$E$14+1,1))</f>
        <v>330.14201227773452</v>
      </c>
      <c r="DU112" s="59">
        <f t="shared" si="98"/>
        <v>307.07297894926467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27.282524855235472</v>
      </c>
      <c r="EB112" s="21">
        <f>EXP(-LN(2)/25)*EB111+(1-EXP(-LN(2)/25))/(LN(2)/25)*Calculateur!DW112*Calculateur!DY112*VLOOKUP('Données projet'!$B$14,Paramètres!$A$1:$I$89,3,0)*0.475*44/12</f>
        <v>13.88117379332355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41.16369864855902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236.00000000000009</v>
      </c>
      <c r="EK112" s="17">
        <f>EJ112*VLOOKUP('Données projet'!$B$15,Paramètres!$A$1:$I$89,3,0)*VLOOKUP('Données projet'!$B$15,Paramètres!$A$1:$I$89,5,0)</f>
        <v>154.62720000000004</v>
      </c>
      <c r="EL112" s="13">
        <f t="shared" si="99"/>
        <v>39.62826685000794</v>
      </c>
      <c r="EM112" s="20">
        <f t="shared" si="73"/>
        <v>338.32827143043056</v>
      </c>
      <c r="EN112" s="59">
        <f t="shared" si="74"/>
        <v>631.66160476376388</v>
      </c>
      <c r="EO112" s="59">
        <f ca="1">AVERAGE(OFFSET($EN$3,0,0,'Données projet'!$E$15+1,1))-AVERAGE(OFFSET($H$3,0,0,'Données projet'!$E$15+1,1))</f>
        <v>183.30081488041924</v>
      </c>
      <c r="EP112" s="59">
        <f t="shared" si="100"/>
        <v>199.33099759570928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2.5605341351033539</v>
      </c>
      <c r="EW112" s="21">
        <f>EXP(-LN(2)/25)*EW111+(1-EXP(-LN(2)/25))/(LN(2)/25)*Calculateur!ER112*Calculateur!ET112*VLOOKUP('Données projet'!$B$15,Paramètres!$A$1:$I$89,3,0)*0.475*44/12</f>
        <v>8.2212846120578877</v>
      </c>
      <c r="EX112" s="21">
        <f>EXP(-LN(2)/2)*EX111+(1-EXP(-LN(2)/2))/(LN(2)/2)*ER112*EU112*VLOOKUP('Données projet'!$B$15,Paramètres!$A$1:$I$89,3,0)*0.475*44/12</f>
        <v>2.9600453701263585E-3</v>
      </c>
      <c r="EY112" s="22">
        <f t="shared" si="75"/>
        <v>10.78477879253137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1.5961632016114892E-13</v>
      </c>
      <c r="P113" s="13">
        <f t="shared" si="87"/>
        <v>2.2708641912150958E-12</v>
      </c>
      <c r="Q113" s="20">
        <f t="shared" si="107"/>
        <v>4.2330868906469593E-12</v>
      </c>
      <c r="R113" s="59">
        <f t="shared" si="55"/>
        <v>293.33333333333752</v>
      </c>
      <c r="S113" s="59">
        <f ca="1">AVERAGE(OFFSET($R$3,0,0,'Données projet'!$E$9+1,1))-AVERAGE(OFFSET($H$3,0,0,'Données projet'!$E$9+1,1))</f>
        <v>205.73717397588365</v>
      </c>
      <c r="T113" s="59">
        <f t="shared" si="88"/>
        <v>190.64998698136026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158.70176364426192</v>
      </c>
      <c r="AA113" s="21">
        <f>EXP(-LN(2)/25)*AA112+(1-EXP(-LN(2)/25))/(LN(2)/25)*Calculateur!V113*Calculateur!X113*VLOOKUP('Données projet'!$B$9,Paramètres!$A$1:$I$89,3,0)*0.475*44/12</f>
        <v>38.235611957200724</v>
      </c>
      <c r="AB113" s="21">
        <f>EXP(-LN(2)/2)*AB112+(1-EXP(-LN(2)/2))/(LN(2)/2)*V113*Y113*VLOOKUP('Données projet'!$B$9,Paramètres!$A$1:$I$89,3,0)*0.475*44/12</f>
        <v>3.9220811188733484</v>
      </c>
      <c r="AC113" s="22">
        <f t="shared" si="57"/>
        <v>200.85945672033597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283.73369613548124</v>
      </c>
      <c r="AO113" s="59">
        <f t="shared" si="90"/>
        <v>249.77804091581208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-6.3550942286383367E-14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278.5296012747549</v>
      </c>
      <c r="BJ113" s="59">
        <f t="shared" si="92"/>
        <v>370.55343097937077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76.264452568725986</v>
      </c>
      <c r="BQ113" s="21">
        <f>EXP(-LN(2)/25)*BQ112+(1-EXP(-LN(2)/25))/(LN(2)/25)*Calculateur!BL113*Calculateur!BN113*VLOOKUP('Données projet'!$B$11,Paramètres!$A$1:$I$89,3,0)*0.475*44/12</f>
        <v>12.53759965304134</v>
      </c>
      <c r="BR113" s="21">
        <f>EXP(-LN(2)/2)*BR112+(1-EXP(-LN(2)/2))/(LN(2)/2)*BL113*BO113*VLOOKUP('Données projet'!$B$11,Paramètres!$A$1:$I$89,3,0)*0.475*44/12</f>
        <v>1.7997391309949077E-7</v>
      </c>
      <c r="BS113" s="22">
        <f t="shared" si="63"/>
        <v>88.802052401741236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-3.1036506698001178E-14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159.92263609041913</v>
      </c>
      <c r="CE113" s="59">
        <f t="shared" si="94"/>
        <v>271.78119133009307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16.859941820796518</v>
      </c>
      <c r="CL113" s="21">
        <f>EXP(-LN(2)/25)*CL112+(1-EXP(-LN(2)/25))/(LN(2)/25)*Calculateur!CG113*Calculateur!CI113*VLOOKUP('Données projet'!$B$12,Paramètres!$A$1:$I$89,3,0)*0.475*44/12</f>
        <v>21.527195561114731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38.387137381911245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6.8461538461538511</v>
      </c>
      <c r="CT113" s="12">
        <f>IF('Données projet'!$A$140&gt;35,CT112+CS113-DB112,IF(A113&lt;'Données projet'!$A$140,$CQ$205^A113,IF(A113='Données projet'!$A$140,'Données projet'!$B$140,CT112+CS113-DB112)))</f>
        <v>295.72435897435929</v>
      </c>
      <c r="CU113" s="17">
        <f>CT113*VLOOKUP('Données projet'!$B$13,Paramètres!$A$1:$I$89,3,0)*VLOOKUP('Données projet'!$B$13,Paramètres!$A$1:$I$89,5,0)</f>
        <v>267.57140000000027</v>
      </c>
      <c r="CV113" s="13">
        <f t="shared" si="95"/>
        <v>64.333588350286504</v>
      </c>
      <c r="CW113" s="20">
        <f t="shared" si="67"/>
        <v>578.06785471008277</v>
      </c>
      <c r="CX113" s="59">
        <f t="shared" si="68"/>
        <v>871.40118804341614</v>
      </c>
      <c r="CY113" s="59">
        <f ca="1">AVERAGE(OFFSET($CX$3,0,0,'Données projet'!$E$13+1,1))-AVERAGE(OFFSET($H$3,0,0,'Données projet'!$E$13+1,1))</f>
        <v>280.25710840677186</v>
      </c>
      <c r="CZ113" s="59">
        <f t="shared" si="96"/>
        <v>209.65224013288037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58.988265119829428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58.988265119829428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243</v>
      </c>
      <c r="DP113" s="17">
        <f>DO113*VLOOKUP('Données projet'!$B$14,Paramètres!$A$1:$I$89,3,0)*VLOOKUP('Données projet'!$B$14,Paramètres!$A$1:$I$89,5,0)</f>
        <v>253.98360000000002</v>
      </c>
      <c r="DQ113" s="13">
        <f t="shared" si="97"/>
        <v>61.438182405444294</v>
      </c>
      <c r="DR113" s="20">
        <f t="shared" si="70"/>
        <v>549.35960435614891</v>
      </c>
      <c r="DS113" s="59">
        <f t="shared" si="71"/>
        <v>842.69293768948228</v>
      </c>
      <c r="DT113" s="59">
        <f ca="1">AVERAGE(OFFSET($DS$3,0,0,'Données projet'!$E$14+1,1))-AVERAGE(OFFSET($H$3,0,0,'Données projet'!$E$14+1,1))</f>
        <v>330.14201227773452</v>
      </c>
      <c r="DU113" s="59">
        <f t="shared" si="98"/>
        <v>307.07297894926467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26.747531183521335</v>
      </c>
      <c r="EB113" s="21">
        <f>EXP(-LN(2)/25)*EB112+(1-EXP(-LN(2)/25))/(LN(2)/25)*Calculateur!DW113*Calculateur!DY113*VLOOKUP('Données projet'!$B$14,Paramètres!$A$1:$I$89,3,0)*0.475*44/12</f>
        <v>13.501592365965912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40.249123549487251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236.00000000000009</v>
      </c>
      <c r="EK113" s="17">
        <f>EJ113*VLOOKUP('Données projet'!$B$15,Paramètres!$A$1:$I$89,3,0)*VLOOKUP('Données projet'!$B$15,Paramètres!$A$1:$I$89,5,0)</f>
        <v>154.62720000000004</v>
      </c>
      <c r="EL113" s="13">
        <f t="shared" si="99"/>
        <v>39.62826685000794</v>
      </c>
      <c r="EM113" s="20">
        <f t="shared" si="73"/>
        <v>338.32827143043056</v>
      </c>
      <c r="EN113" s="59">
        <f t="shared" si="74"/>
        <v>631.66160476376388</v>
      </c>
      <c r="EO113" s="59">
        <f ca="1">AVERAGE(OFFSET($EN$3,0,0,'Données projet'!$E$15+1,1))-AVERAGE(OFFSET($H$3,0,0,'Données projet'!$E$15+1,1))</f>
        <v>183.30081488041924</v>
      </c>
      <c r="EP113" s="59">
        <f t="shared" si="100"/>
        <v>199.33099759570928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2.5103236224855876</v>
      </c>
      <c r="EW113" s="21">
        <f>EXP(-LN(2)/25)*EW112+(1-EXP(-LN(2)/25))/(LN(2)/25)*Calculateur!ER113*Calculateur!ET113*VLOOKUP('Données projet'!$B$15,Paramètres!$A$1:$I$89,3,0)*0.475*44/12</f>
        <v>7.9964731520025971</v>
      </c>
      <c r="EX113" s="21">
        <f>EXP(-LN(2)/2)*EX112+(1-EXP(-LN(2)/2))/(LN(2)/2)*ER113*EU113*VLOOKUP('Données projet'!$B$15,Paramètres!$A$1:$I$89,3,0)*0.475*44/12</f>
        <v>2.0930681538361921E-3</v>
      </c>
      <c r="EY113" s="22">
        <f t="shared" si="75"/>
        <v>10.508889842642022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1.5961632016114892E-13</v>
      </c>
      <c r="P114" s="13">
        <f t="shared" si="87"/>
        <v>2.2708641912150958E-12</v>
      </c>
      <c r="Q114" s="20">
        <f t="shared" si="107"/>
        <v>4.2330868906469593E-12</v>
      </c>
      <c r="R114" s="59">
        <f t="shared" si="55"/>
        <v>293.33333333333752</v>
      </c>
      <c r="S114" s="59">
        <f ca="1">AVERAGE(OFFSET($R$3,0,0,'Données projet'!$E$9+1,1))-AVERAGE(OFFSET($H$3,0,0,'Données projet'!$E$9+1,1))</f>
        <v>205.73717397588365</v>
      </c>
      <c r="T114" s="59">
        <f t="shared" si="88"/>
        <v>190.64998698136026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155.5897188577157</v>
      </c>
      <c r="AA114" s="21">
        <f>EXP(-LN(2)/25)*AA113+(1-EXP(-LN(2)/25))/(LN(2)/25)*Calculateur!V114*Calculateur!X114*VLOOKUP('Données projet'!$B$9,Paramètres!$A$1:$I$89,3,0)*0.475*44/12</f>
        <v>37.19005713750763</v>
      </c>
      <c r="AB114" s="21">
        <f>EXP(-LN(2)/2)*AB113+(1-EXP(-LN(2)/2))/(LN(2)/2)*V114*Y114*VLOOKUP('Données projet'!$B$9,Paramètres!$A$1:$I$89,3,0)*0.475*44/12</f>
        <v>2.7733301555190666</v>
      </c>
      <c r="AC114" s="22">
        <f t="shared" si="57"/>
        <v>195.55310615074239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283.73369613548124</v>
      </c>
      <c r="AO114" s="59">
        <f t="shared" si="90"/>
        <v>249.77804091581208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-6.3550942286383367E-14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278.5296012747549</v>
      </c>
      <c r="BJ114" s="59">
        <f t="shared" si="92"/>
        <v>370.55343097937077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74.768953170576196</v>
      </c>
      <c r="BQ114" s="21">
        <f>EXP(-LN(2)/25)*BQ113+(1-EXP(-LN(2)/25))/(LN(2)/25)*Calculateur!BL114*Calculateur!BN114*VLOOKUP('Données projet'!$B$11,Paramètres!$A$1:$I$89,3,0)*0.475*44/12</f>
        <v>12.194758331205215</v>
      </c>
      <c r="BR114" s="21">
        <f>EXP(-LN(2)/2)*BR113+(1-EXP(-LN(2)/2))/(LN(2)/2)*BL114*BO114*VLOOKUP('Données projet'!$B$11,Paramètres!$A$1:$I$89,3,0)*0.475*44/12</f>
        <v>1.2726077438932834E-7</v>
      </c>
      <c r="BS114" s="22">
        <f t="shared" si="63"/>
        <v>86.96371162904218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-3.1036506698001178E-14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159.92263609041913</v>
      </c>
      <c r="CE114" s="59">
        <f t="shared" si="94"/>
        <v>271.78119133009307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16.529328645239794</v>
      </c>
      <c r="CL114" s="21">
        <f>EXP(-LN(2)/25)*CL113+(1-EXP(-LN(2)/25))/(LN(2)/25)*Calculateur!CG114*Calculateur!CI114*VLOOKUP('Données projet'!$B$12,Paramètres!$A$1:$I$89,3,0)*0.475*44/12</f>
        <v>20.938533266430035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37.467861911669829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6.8461538461538511</v>
      </c>
      <c r="CT114" s="12">
        <f>IF('Données projet'!$A$140&gt;35,CT113+CS114-DB113,IF(A114&lt;'Données projet'!$A$140,$CQ$205^A114,IF(A114='Données projet'!$A$140,'Données projet'!$B$140,CT113+CS114-DB113)))</f>
        <v>302.57051282051316</v>
      </c>
      <c r="CU114" s="17">
        <f>CT114*VLOOKUP('Données projet'!$B$13,Paramètres!$A$1:$I$89,3,0)*VLOOKUP('Données projet'!$B$13,Paramètres!$A$1:$I$89,5,0)</f>
        <v>273.7658000000003</v>
      </c>
      <c r="CV114" s="13">
        <f t="shared" si="95"/>
        <v>65.647821692657914</v>
      </c>
      <c r="CW114" s="20">
        <f t="shared" si="67"/>
        <v>591.14539111471311</v>
      </c>
      <c r="CX114" s="59">
        <f t="shared" si="68"/>
        <v>884.47872444804648</v>
      </c>
      <c r="CY114" s="59">
        <f ca="1">AVERAGE(OFFSET($CX$3,0,0,'Données projet'!$E$13+1,1))-AVERAGE(OFFSET($H$3,0,0,'Données projet'!$E$13+1,1))</f>
        <v>280.25710840677186</v>
      </c>
      <c r="CZ114" s="59">
        <f t="shared" si="96"/>
        <v>209.65224013288037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57.831541220118638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57.831541220118638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243</v>
      </c>
      <c r="DP114" s="17">
        <f>DO114*VLOOKUP('Données projet'!$B$14,Paramètres!$A$1:$I$89,3,0)*VLOOKUP('Données projet'!$B$14,Paramètres!$A$1:$I$89,5,0)</f>
        <v>253.98360000000002</v>
      </c>
      <c r="DQ114" s="13">
        <f t="shared" si="97"/>
        <v>61.438182405444294</v>
      </c>
      <c r="DR114" s="20">
        <f t="shared" si="70"/>
        <v>549.35960435614891</v>
      </c>
      <c r="DS114" s="59">
        <f t="shared" si="71"/>
        <v>842.69293768948228</v>
      </c>
      <c r="DT114" s="59">
        <f ca="1">AVERAGE(OFFSET($DS$3,0,0,'Données projet'!$E$14+1,1))-AVERAGE(OFFSET($H$3,0,0,'Données projet'!$E$14+1,1))</f>
        <v>330.14201227773452</v>
      </c>
      <c r="DU114" s="59">
        <f t="shared" si="98"/>
        <v>307.07297894926467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26.223028411395592</v>
      </c>
      <c r="EB114" s="21">
        <f>EXP(-LN(2)/25)*EB113+(1-EXP(-LN(2)/25))/(LN(2)/25)*Calculateur!DW114*Calculateur!DY114*VLOOKUP('Données projet'!$B$14,Paramètres!$A$1:$I$89,3,0)*0.475*44/12</f>
        <v>13.132390612700689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39.355419024096278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236.00000000000009</v>
      </c>
      <c r="EK114" s="17">
        <f>EJ114*VLOOKUP('Données projet'!$B$15,Paramètres!$A$1:$I$89,3,0)*VLOOKUP('Données projet'!$B$15,Paramètres!$A$1:$I$89,5,0)</f>
        <v>154.62720000000004</v>
      </c>
      <c r="EL114" s="13">
        <f t="shared" si="99"/>
        <v>39.62826685000794</v>
      </c>
      <c r="EM114" s="20">
        <f t="shared" si="73"/>
        <v>338.32827143043056</v>
      </c>
      <c r="EN114" s="59">
        <f t="shared" si="74"/>
        <v>631.66160476376388</v>
      </c>
      <c r="EO114" s="59">
        <f ca="1">AVERAGE(OFFSET($EN$3,0,0,'Données projet'!$E$15+1,1))-AVERAGE(OFFSET($H$3,0,0,'Données projet'!$E$15+1,1))</f>
        <v>183.30081488041924</v>
      </c>
      <c r="EP114" s="59">
        <f t="shared" si="100"/>
        <v>199.33099759570928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2.4610977073948668</v>
      </c>
      <c r="EW114" s="21">
        <f>EXP(-LN(2)/25)*EW113+(1-EXP(-LN(2)/25))/(LN(2)/25)*Calculateur!ER114*Calculateur!ET114*VLOOKUP('Données projet'!$B$15,Paramètres!$A$1:$I$89,3,0)*0.475*44/12</f>
        <v>7.7778091731448393</v>
      </c>
      <c r="EX114" s="21">
        <f>EXP(-LN(2)/2)*EX113+(1-EXP(-LN(2)/2))/(LN(2)/2)*ER114*EU114*VLOOKUP('Données projet'!$B$15,Paramètres!$A$1:$I$89,3,0)*0.475*44/12</f>
        <v>1.4800226850631793E-3</v>
      </c>
      <c r="EY114" s="22">
        <f t="shared" si="75"/>
        <v>10.240386903224769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1.5961632016114892E-13</v>
      </c>
      <c r="P115" s="13">
        <f t="shared" si="87"/>
        <v>2.2708641912150958E-12</v>
      </c>
      <c r="Q115" s="20">
        <f t="shared" si="107"/>
        <v>4.2330868906469593E-12</v>
      </c>
      <c r="R115" s="59">
        <f t="shared" si="55"/>
        <v>293.33333333333752</v>
      </c>
      <c r="S115" s="59">
        <f ca="1">AVERAGE(OFFSET($R$3,0,0,'Données projet'!$E$9+1,1))-AVERAGE(OFFSET($H$3,0,0,'Données projet'!$E$9+1,1))</f>
        <v>205.73717397588365</v>
      </c>
      <c r="T115" s="59">
        <f t="shared" si="88"/>
        <v>190.64998698136026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152.53869937127376</v>
      </c>
      <c r="AA115" s="21">
        <f>EXP(-LN(2)/25)*AA114+(1-EXP(-LN(2)/25))/(LN(2)/25)*Calculateur!V115*Calculateur!X115*VLOOKUP('Données projet'!$B$9,Paramètres!$A$1:$I$89,3,0)*0.475*44/12</f>
        <v>36.173093069342379</v>
      </c>
      <c r="AB115" s="21">
        <f>EXP(-LN(2)/2)*AB114+(1-EXP(-LN(2)/2))/(LN(2)/2)*V115*Y115*VLOOKUP('Données projet'!$B$9,Paramètres!$A$1:$I$89,3,0)*0.475*44/12</f>
        <v>1.9610405594366747</v>
      </c>
      <c r="AC115" s="22">
        <f t="shared" si="57"/>
        <v>190.6728330000528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283.73369613548124</v>
      </c>
      <c r="AO115" s="59">
        <f t="shared" si="90"/>
        <v>249.77804091581208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-6.3550942286383367E-14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278.5296012747549</v>
      </c>
      <c r="BJ115" s="59">
        <f t="shared" si="92"/>
        <v>370.55343097937077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73.302779603459555</v>
      </c>
      <c r="BQ115" s="21">
        <f>EXP(-LN(2)/25)*BQ114+(1-EXP(-LN(2)/25))/(LN(2)/25)*Calculateur!BL115*Calculateur!BN115*VLOOKUP('Données projet'!$B$11,Paramètres!$A$1:$I$89,3,0)*0.475*44/12</f>
        <v>11.861292023343939</v>
      </c>
      <c r="BR115" s="21">
        <f>EXP(-LN(2)/2)*BR114+(1-EXP(-LN(2)/2))/(LN(2)/2)*BL115*BO115*VLOOKUP('Données projet'!$B$11,Paramètres!$A$1:$I$89,3,0)*0.475*44/12</f>
        <v>8.9986956549745383E-8</v>
      </c>
      <c r="BS115" s="22">
        <f t="shared" si="63"/>
        <v>85.164071716790446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-3.1036506698001178E-14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159.92263609041913</v>
      </c>
      <c r="CE115" s="59">
        <f t="shared" si="94"/>
        <v>271.78119133009307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16.205198592401612</v>
      </c>
      <c r="CL115" s="21">
        <f>EXP(-LN(2)/25)*CL114+(1-EXP(-LN(2)/25))/(LN(2)/25)*Calculateur!CG115*Calculateur!CI115*VLOOKUP('Données projet'!$B$12,Paramètres!$A$1:$I$89,3,0)*0.475*44/12</f>
        <v>20.365967973149896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36.571166565551508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6.8461538461538511</v>
      </c>
      <c r="CT115" s="12">
        <f>IF('Données projet'!$A$140&gt;35,CT114+CS115-DB114,IF(A115&lt;'Données projet'!$A$140,$CQ$205^A115,IF(A115='Données projet'!$A$140,'Données projet'!$B$140,CT114+CS115-DB114)))</f>
        <v>309.41666666666703</v>
      </c>
      <c r="CU115" s="17">
        <f>CT115*VLOOKUP('Données projet'!$B$13,Paramètres!$A$1:$I$89,3,0)*VLOOKUP('Données projet'!$B$13,Paramètres!$A$1:$I$89,5,0)</f>
        <v>279.96020000000033</v>
      </c>
      <c r="CV115" s="13">
        <f t="shared" si="95"/>
        <v>66.958597927408931</v>
      </c>
      <c r="CW115" s="20">
        <f t="shared" si="67"/>
        <v>604.2169063902378</v>
      </c>
      <c r="CX115" s="59">
        <f t="shared" si="68"/>
        <v>897.55023972357117</v>
      </c>
      <c r="CY115" s="59">
        <f ca="1">AVERAGE(OFFSET($CX$3,0,0,'Données projet'!$E$13+1,1))-AVERAGE(OFFSET($H$3,0,0,'Données projet'!$E$13+1,1))</f>
        <v>280.25710840677186</v>
      </c>
      <c r="CZ115" s="59">
        <f t="shared" si="96"/>
        <v>209.65224013288037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56.697499970549259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56.697499970549259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243</v>
      </c>
      <c r="DP115" s="17">
        <f>DO115*VLOOKUP('Données projet'!$B$14,Paramètres!$A$1:$I$89,3,0)*VLOOKUP('Données projet'!$B$14,Paramètres!$A$1:$I$89,5,0)</f>
        <v>253.98360000000002</v>
      </c>
      <c r="DQ115" s="13">
        <f t="shared" si="97"/>
        <v>61.438182405444294</v>
      </c>
      <c r="DR115" s="20">
        <f t="shared" si="70"/>
        <v>549.35960435614891</v>
      </c>
      <c r="DS115" s="59">
        <f t="shared" si="71"/>
        <v>842.69293768948228</v>
      </c>
      <c r="DT115" s="59">
        <f ca="1">AVERAGE(OFFSET($DS$3,0,0,'Données projet'!$E$14+1,1))-AVERAGE(OFFSET($H$3,0,0,'Données projet'!$E$14+1,1))</f>
        <v>330.14201227773452</v>
      </c>
      <c r="DU115" s="59">
        <f t="shared" si="98"/>
        <v>307.07297894926467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25.708810818716135</v>
      </c>
      <c r="EB115" s="21">
        <f>EXP(-LN(2)/25)*EB114+(1-EXP(-LN(2)/25))/(LN(2)/25)*Calculateur!DW115*Calculateur!DY115*VLOOKUP('Données projet'!$B$14,Paramètres!$A$1:$I$89,3,0)*0.475*44/12</f>
        <v>12.773284700793981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38.482095519510118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236.00000000000009</v>
      </c>
      <c r="EK115" s="17">
        <f>EJ115*VLOOKUP('Données projet'!$B$15,Paramètres!$A$1:$I$89,3,0)*VLOOKUP('Données projet'!$B$15,Paramètres!$A$1:$I$89,5,0)</f>
        <v>154.62720000000004</v>
      </c>
      <c r="EL115" s="13">
        <f t="shared" si="99"/>
        <v>39.62826685000794</v>
      </c>
      <c r="EM115" s="20">
        <f t="shared" si="73"/>
        <v>338.32827143043056</v>
      </c>
      <c r="EN115" s="59">
        <f t="shared" si="74"/>
        <v>631.66160476376388</v>
      </c>
      <c r="EO115" s="59">
        <f ca="1">AVERAGE(OFFSET($EN$3,0,0,'Données projet'!$E$15+1,1))-AVERAGE(OFFSET($H$3,0,0,'Données projet'!$E$15+1,1))</f>
        <v>183.30081488041924</v>
      </c>
      <c r="EP115" s="59">
        <f t="shared" si="100"/>
        <v>199.33099759570928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2.4128370824742316</v>
      </c>
      <c r="EW115" s="21">
        <f>EXP(-LN(2)/25)*EW114+(1-EXP(-LN(2)/25))/(LN(2)/25)*Calculateur!ER115*Calculateur!ET115*VLOOKUP('Données projet'!$B$15,Paramètres!$A$1:$I$89,3,0)*0.475*44/12</f>
        <v>7.5651245722879858</v>
      </c>
      <c r="EX115" s="21">
        <f>EXP(-LN(2)/2)*EX114+(1-EXP(-LN(2)/2))/(LN(2)/2)*ER115*EU115*VLOOKUP('Données projet'!$B$15,Paramètres!$A$1:$I$89,3,0)*0.475*44/12</f>
        <v>1.046534076918096E-3</v>
      </c>
      <c r="EY115" s="22">
        <f t="shared" si="75"/>
        <v>9.9790081888391367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1.5961632016114892E-13</v>
      </c>
      <c r="P116" s="13">
        <f t="shared" si="87"/>
        <v>2.2708641912150958E-12</v>
      </c>
      <c r="Q116" s="20">
        <f t="shared" si="107"/>
        <v>4.2330868906469593E-12</v>
      </c>
      <c r="R116" s="59">
        <f t="shared" si="55"/>
        <v>293.33333333333752</v>
      </c>
      <c r="S116" s="59">
        <f ca="1">AVERAGE(OFFSET($R$3,0,0,'Données projet'!$E$9+1,1))-AVERAGE(OFFSET($H$3,0,0,'Données projet'!$E$9+1,1))</f>
        <v>205.73717397588365</v>
      </c>
      <c r="T116" s="59">
        <f t="shared" si="88"/>
        <v>190.64998698136026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149.54750851602282</v>
      </c>
      <c r="AA116" s="21">
        <f>EXP(-LN(2)/25)*AA115+(1-EXP(-LN(2)/25))/(LN(2)/25)*Calculateur!V116*Calculateur!X116*VLOOKUP('Données projet'!$B$9,Paramètres!$A$1:$I$89,3,0)*0.475*44/12</f>
        <v>35.183937937100922</v>
      </c>
      <c r="AB116" s="21">
        <f>EXP(-LN(2)/2)*AB115+(1-EXP(-LN(2)/2))/(LN(2)/2)*V116*Y116*VLOOKUP('Données projet'!$B$9,Paramètres!$A$1:$I$89,3,0)*0.475*44/12</f>
        <v>1.3866650777595335</v>
      </c>
      <c r="AC116" s="22">
        <f t="shared" si="57"/>
        <v>186.11811153088328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283.73369613548124</v>
      </c>
      <c r="AO116" s="59">
        <f t="shared" si="90"/>
        <v>249.77804091581208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-6.3550942286383367E-14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278.5296012747549</v>
      </c>
      <c r="BJ116" s="59">
        <f t="shared" si="92"/>
        <v>370.55343097937077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71.865356805716502</v>
      </c>
      <c r="BQ116" s="21">
        <f>EXP(-LN(2)/25)*BQ115+(1-EXP(-LN(2)/25))/(LN(2)/25)*Calculateur!BL116*Calculateur!BN116*VLOOKUP('Données projet'!$B$11,Paramètres!$A$1:$I$89,3,0)*0.475*44/12</f>
        <v>11.536944369207362</v>
      </c>
      <c r="BR116" s="21">
        <f>EXP(-LN(2)/2)*BR115+(1-EXP(-LN(2)/2))/(LN(2)/2)*BL116*BO116*VLOOKUP('Données projet'!$B$11,Paramètres!$A$1:$I$89,3,0)*0.475*44/12</f>
        <v>6.3630387194664168E-8</v>
      </c>
      <c r="BS116" s="22">
        <f t="shared" si="63"/>
        <v>83.402301238554244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-3.1036506698001178E-14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159.92263609041913</v>
      </c>
      <c r="CE116" s="59">
        <f t="shared" si="94"/>
        <v>271.78119133009307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15.887424532199773</v>
      </c>
      <c r="CL116" s="21">
        <f>EXP(-LN(2)/25)*CL115+(1-EXP(-LN(2)/25))/(LN(2)/25)*Calculateur!CG116*Calculateur!CI116*VLOOKUP('Données projet'!$B$12,Paramètres!$A$1:$I$89,3,0)*0.475*44/12</f>
        <v>19.809059507924403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35.696484040124176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6.8461538461538511</v>
      </c>
      <c r="CT116" s="12">
        <f>IF('Données projet'!$A$140&gt;35,CT115+CS116-DB115,IF(A116&lt;'Données projet'!$A$140,$CQ$205^A116,IF(A116='Données projet'!$A$140,'Données projet'!$B$140,CT115+CS116-DB115)))</f>
        <v>316.26282051282089</v>
      </c>
      <c r="CU116" s="17">
        <f>CT116*VLOOKUP('Données projet'!$B$13,Paramètres!$A$1:$I$89,3,0)*VLOOKUP('Données projet'!$B$13,Paramètres!$A$1:$I$89,5,0)</f>
        <v>286.15460000000036</v>
      </c>
      <c r="CV116" s="13">
        <f t="shared" si="95"/>
        <v>68.266002354364261</v>
      </c>
      <c r="CW116" s="20">
        <f t="shared" si="67"/>
        <v>617.28254910051839</v>
      </c>
      <c r="CX116" s="59">
        <f t="shared" si="68"/>
        <v>910.61588243385177</v>
      </c>
      <c r="CY116" s="59">
        <f ca="1">AVERAGE(OFFSET($CX$3,0,0,'Données projet'!$E$13+1,1))-AVERAGE(OFFSET($H$3,0,0,'Données projet'!$E$13+1,1))</f>
        <v>280.25710840677186</v>
      </c>
      <c r="CZ116" s="59">
        <f t="shared" si="96"/>
        <v>209.65224013288037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55.585696578187076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55.585696578187076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243</v>
      </c>
      <c r="DP116" s="17">
        <f>DO116*VLOOKUP('Données projet'!$B$14,Paramètres!$A$1:$I$89,3,0)*VLOOKUP('Données projet'!$B$14,Paramètres!$A$1:$I$89,5,0)</f>
        <v>253.98360000000002</v>
      </c>
      <c r="DQ116" s="13">
        <f t="shared" si="97"/>
        <v>61.438182405444294</v>
      </c>
      <c r="DR116" s="20">
        <f t="shared" si="70"/>
        <v>549.35960435614891</v>
      </c>
      <c r="DS116" s="59">
        <f t="shared" si="71"/>
        <v>842.69293768948228</v>
      </c>
      <c r="DT116" s="59">
        <f ca="1">AVERAGE(OFFSET($DS$3,0,0,'Données projet'!$E$14+1,1))-AVERAGE(OFFSET($H$3,0,0,'Données projet'!$E$14+1,1))</f>
        <v>330.14201227773452</v>
      </c>
      <c r="DU116" s="59">
        <f t="shared" si="98"/>
        <v>307.07297894926467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25.204676719387358</v>
      </c>
      <c r="EB116" s="21">
        <f>EXP(-LN(2)/25)*EB115+(1-EXP(-LN(2)/25))/(LN(2)/25)*Calculateur!DW116*Calculateur!DY116*VLOOKUP('Données projet'!$B$14,Paramètres!$A$1:$I$89,3,0)*0.475*44/12</f>
        <v>12.42399855893292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37.62867527832028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236.00000000000009</v>
      </c>
      <c r="EK116" s="17">
        <f>EJ116*VLOOKUP('Données projet'!$B$15,Paramètres!$A$1:$I$89,3,0)*VLOOKUP('Données projet'!$B$15,Paramètres!$A$1:$I$89,5,0)</f>
        <v>154.62720000000004</v>
      </c>
      <c r="EL116" s="13">
        <f t="shared" si="99"/>
        <v>39.62826685000794</v>
      </c>
      <c r="EM116" s="20">
        <f t="shared" si="73"/>
        <v>338.32827143043056</v>
      </c>
      <c r="EN116" s="59">
        <f t="shared" si="74"/>
        <v>631.66160476376388</v>
      </c>
      <c r="EO116" s="59">
        <f ca="1">AVERAGE(OFFSET($EN$3,0,0,'Données projet'!$E$15+1,1))-AVERAGE(OFFSET($H$3,0,0,'Données projet'!$E$15+1,1))</f>
        <v>183.30081488041924</v>
      </c>
      <c r="EP116" s="59">
        <f t="shared" si="100"/>
        <v>199.33099759570928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2.3655228189722153</v>
      </c>
      <c r="EW116" s="21">
        <f>EXP(-LN(2)/25)*EW115+(1-EXP(-LN(2)/25))/(LN(2)/25)*Calculateur!ER116*Calculateur!ET116*VLOOKUP('Données projet'!$B$15,Paramètres!$A$1:$I$89,3,0)*0.475*44/12</f>
        <v>7.3582558430261598</v>
      </c>
      <c r="EX116" s="21">
        <f>EXP(-LN(2)/2)*EX115+(1-EXP(-LN(2)/2))/(LN(2)/2)*ER116*EU116*VLOOKUP('Données projet'!$B$15,Paramètres!$A$1:$I$89,3,0)*0.475*44/12</f>
        <v>7.4001134253158963E-4</v>
      </c>
      <c r="EY116" s="22">
        <f t="shared" si="75"/>
        <v>9.7245186733409064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1.5961632016114892E-13</v>
      </c>
      <c r="P117" s="13">
        <f t="shared" si="87"/>
        <v>2.2708641912150958E-12</v>
      </c>
      <c r="Q117" s="20">
        <f t="shared" si="107"/>
        <v>4.2330868906469593E-12</v>
      </c>
      <c r="R117" s="59">
        <f t="shared" si="55"/>
        <v>293.33333333333752</v>
      </c>
      <c r="S117" s="59">
        <f ca="1">AVERAGE(OFFSET($R$3,0,0,'Données projet'!$E$9+1,1))-AVERAGE(OFFSET($H$3,0,0,'Données projet'!$E$9+1,1))</f>
        <v>205.73717397588365</v>
      </c>
      <c r="T117" s="59">
        <f t="shared" si="88"/>
        <v>190.64998698136026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146.61497308899706</v>
      </c>
      <c r="AA117" s="21">
        <f>EXP(-LN(2)/25)*AA116+(1-EXP(-LN(2)/25))/(LN(2)/25)*Calculateur!V117*Calculateur!X117*VLOOKUP('Données projet'!$B$9,Paramètres!$A$1:$I$89,3,0)*0.475*44/12</f>
        <v>34.221831303968017</v>
      </c>
      <c r="AB117" s="21">
        <f>EXP(-LN(2)/2)*AB116+(1-EXP(-LN(2)/2))/(LN(2)/2)*V117*Y117*VLOOKUP('Données projet'!$B$9,Paramètres!$A$1:$I$89,3,0)*0.475*44/12</f>
        <v>0.98052027971833744</v>
      </c>
      <c r="AC117" s="22">
        <f t="shared" si="57"/>
        <v>181.81732467268341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283.73369613548124</v>
      </c>
      <c r="AO117" s="59">
        <f t="shared" si="90"/>
        <v>249.77804091581208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-6.3550942286383367E-14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278.5296012747549</v>
      </c>
      <c r="BJ117" s="59">
        <f t="shared" si="92"/>
        <v>370.55343097937077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70.456120992295851</v>
      </c>
      <c r="BQ117" s="21">
        <f>EXP(-LN(2)/25)*BQ116+(1-EXP(-LN(2)/25))/(LN(2)/25)*Calculateur!BL117*Calculateur!BN117*VLOOKUP('Données projet'!$B$11,Paramètres!$A$1:$I$89,3,0)*0.475*44/12</f>
        <v>11.221466018729849</v>
      </c>
      <c r="BR117" s="21">
        <f>EXP(-LN(2)/2)*BR116+(1-EXP(-LN(2)/2))/(LN(2)/2)*BL117*BO117*VLOOKUP('Données projet'!$B$11,Paramètres!$A$1:$I$89,3,0)*0.475*44/12</f>
        <v>4.4993478274872691E-8</v>
      </c>
      <c r="BS117" s="22">
        <f t="shared" si="63"/>
        <v>81.677587056019192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-3.1036506698001178E-14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159.92263609041913</v>
      </c>
      <c r="CE117" s="59">
        <f t="shared" si="94"/>
        <v>271.78119133009307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15.575881827495456</v>
      </c>
      <c r="CL117" s="21">
        <f>EXP(-LN(2)/25)*CL116+(1-EXP(-LN(2)/25))/(LN(2)/25)*Calculateur!CG117*Calculateur!CI117*VLOOKUP('Données projet'!$B$12,Paramètres!$A$1:$I$89,3,0)*0.475*44/12</f>
        <v>19.267379733967044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34.843261561462498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6.8461538461538511</v>
      </c>
      <c r="CT117" s="12">
        <f>IF('Données projet'!$A$140&gt;35,CT116+CS117-DB116,IF(A117&lt;'Données projet'!$A$140,$CQ$205^A117,IF(A117='Données projet'!$A$140,'Données projet'!$B$140,CT116+CS117-DB116)))</f>
        <v>323.10897435897476</v>
      </c>
      <c r="CU117" s="17">
        <f>CT117*VLOOKUP('Données projet'!$B$13,Paramètres!$A$1:$I$89,3,0)*VLOOKUP('Données projet'!$B$13,Paramètres!$A$1:$I$89,5,0)</f>
        <v>292.34900000000033</v>
      </c>
      <c r="CV117" s="13">
        <f t="shared" si="95"/>
        <v>69.570116369442999</v>
      </c>
      <c r="CW117" s="20">
        <f t="shared" si="67"/>
        <v>630.34246101011377</v>
      </c>
      <c r="CX117" s="59">
        <f t="shared" si="68"/>
        <v>923.67579434344702</v>
      </c>
      <c r="CY117" s="59">
        <f ca="1">AVERAGE(OFFSET($CX$3,0,0,'Données projet'!$E$13+1,1))-AVERAGE(OFFSET($H$3,0,0,'Données projet'!$E$13+1,1))</f>
        <v>280.25710840677186</v>
      </c>
      <c r="CZ117" s="59">
        <f t="shared" si="96"/>
        <v>209.65224013288037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54.495694972216008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54.495694972216008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243</v>
      </c>
      <c r="DP117" s="17">
        <f>DO117*VLOOKUP('Données projet'!$B$14,Paramètres!$A$1:$I$89,3,0)*VLOOKUP('Données projet'!$B$14,Paramètres!$A$1:$I$89,5,0)</f>
        <v>253.98360000000002</v>
      </c>
      <c r="DQ117" s="13">
        <f t="shared" si="97"/>
        <v>61.438182405444294</v>
      </c>
      <c r="DR117" s="20">
        <f t="shared" si="70"/>
        <v>549.35960435614891</v>
      </c>
      <c r="DS117" s="59">
        <f t="shared" si="71"/>
        <v>842.69293768948228</v>
      </c>
      <c r="DT117" s="59">
        <f ca="1">AVERAGE(OFFSET($DS$3,0,0,'Données projet'!$E$14+1,1))-AVERAGE(OFFSET($H$3,0,0,'Données projet'!$E$14+1,1))</f>
        <v>330.14201227773452</v>
      </c>
      <c r="DU117" s="59">
        <f t="shared" si="98"/>
        <v>307.07297894926467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24.710428382254978</v>
      </c>
      <c r="EB117" s="21">
        <f>EXP(-LN(2)/25)*EB116+(1-EXP(-LN(2)/25))/(LN(2)/25)*Calculateur!DW117*Calculateur!DY117*VLOOKUP('Données projet'!$B$14,Paramètres!$A$1:$I$89,3,0)*0.475*44/12</f>
        <v>12.08426366498921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36.79469204724419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236.00000000000009</v>
      </c>
      <c r="EK117" s="17">
        <f>EJ117*VLOOKUP('Données projet'!$B$15,Paramètres!$A$1:$I$89,3,0)*VLOOKUP('Données projet'!$B$15,Paramètres!$A$1:$I$89,5,0)</f>
        <v>154.62720000000004</v>
      </c>
      <c r="EL117" s="13">
        <f t="shared" si="99"/>
        <v>39.62826685000794</v>
      </c>
      <c r="EM117" s="20">
        <f t="shared" si="73"/>
        <v>338.32827143043056</v>
      </c>
      <c r="EN117" s="59">
        <f t="shared" si="74"/>
        <v>631.66160476376388</v>
      </c>
      <c r="EO117" s="59">
        <f ca="1">AVERAGE(OFFSET($EN$3,0,0,'Données projet'!$E$15+1,1))-AVERAGE(OFFSET($H$3,0,0,'Données projet'!$E$15+1,1))</f>
        <v>183.30081488041924</v>
      </c>
      <c r="EP117" s="59">
        <f t="shared" si="100"/>
        <v>199.33099759570928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2.3191363593186223</v>
      </c>
      <c r="EW117" s="21">
        <f>EXP(-LN(2)/25)*EW116+(1-EXP(-LN(2)/25))/(LN(2)/25)*Calculateur!ER117*Calculateur!ET117*VLOOKUP('Données projet'!$B$15,Paramètres!$A$1:$I$89,3,0)*0.475*44/12</f>
        <v>7.157043950044752</v>
      </c>
      <c r="EX117" s="21">
        <f>EXP(-LN(2)/2)*EX116+(1-EXP(-LN(2)/2))/(LN(2)/2)*ER117*EU117*VLOOKUP('Données projet'!$B$15,Paramètres!$A$1:$I$89,3,0)*0.475*44/12</f>
        <v>5.2326703845904802E-4</v>
      </c>
      <c r="EY117" s="22">
        <f t="shared" si="75"/>
        <v>9.4767035764018335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1.5961632016114892E-13</v>
      </c>
      <c r="P118" s="13">
        <f t="shared" si="87"/>
        <v>2.2708641912150958E-12</v>
      </c>
      <c r="Q118" s="20">
        <f t="shared" si="107"/>
        <v>4.2330868906469593E-12</v>
      </c>
      <c r="R118" s="59">
        <f t="shared" si="55"/>
        <v>293.33333333333752</v>
      </c>
      <c r="S118" s="59">
        <f ca="1">AVERAGE(OFFSET($R$3,0,0,'Données projet'!$E$9+1,1))-AVERAGE(OFFSET($H$3,0,0,'Données projet'!$E$9+1,1))</f>
        <v>205.73717397588365</v>
      </c>
      <c r="T118" s="59">
        <f t="shared" si="88"/>
        <v>190.64998698136026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143.7399428930253</v>
      </c>
      <c r="AA118" s="21">
        <f>EXP(-LN(2)/25)*AA117+(1-EXP(-LN(2)/25))/(LN(2)/25)*Calculateur!V118*Calculateur!X118*VLOOKUP('Données projet'!$B$9,Paramètres!$A$1:$I$89,3,0)*0.475*44/12</f>
        <v>33.286033527313116</v>
      </c>
      <c r="AB118" s="21">
        <f>EXP(-LN(2)/2)*AB117+(1-EXP(-LN(2)/2))/(LN(2)/2)*V118*Y118*VLOOKUP('Données projet'!$B$9,Paramètres!$A$1:$I$89,3,0)*0.475*44/12</f>
        <v>0.69333253887976687</v>
      </c>
      <c r="AC118" s="22">
        <f t="shared" si="57"/>
        <v>177.71930895921818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283.73369613548124</v>
      </c>
      <c r="AO118" s="59">
        <f t="shared" si="90"/>
        <v>249.77804091581208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-6.3550942286383367E-14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278.5296012747549</v>
      </c>
      <c r="BJ118" s="59">
        <f t="shared" si="92"/>
        <v>370.55343097937077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69.074519433627401</v>
      </c>
      <c r="BQ118" s="21">
        <f>EXP(-LN(2)/25)*BQ117+(1-EXP(-LN(2)/25))/(LN(2)/25)*Calculateur!BL118*Calculateur!BN118*VLOOKUP('Données projet'!$B$11,Paramètres!$A$1:$I$89,3,0)*0.475*44/12</f>
        <v>10.914614440336431</v>
      </c>
      <c r="BR118" s="21">
        <f>EXP(-LN(2)/2)*BR117+(1-EXP(-LN(2)/2))/(LN(2)/2)*BL118*BO118*VLOOKUP('Données projet'!$B$11,Paramètres!$A$1:$I$89,3,0)*0.475*44/12</f>
        <v>3.1815193597332084E-8</v>
      </c>
      <c r="BS118" s="22">
        <f t="shared" si="63"/>
        <v>79.989133905779028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-3.1036506698001178E-14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159.92263609041913</v>
      </c>
      <c r="CE118" s="59">
        <f t="shared" si="94"/>
        <v>271.78119133009307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15.270448285208102</v>
      </c>
      <c r="CL118" s="21">
        <f>EXP(-LN(2)/25)*CL117+(1-EXP(-LN(2)/25))/(LN(2)/25)*Calculateur!CG118*Calculateur!CI118*VLOOKUP('Données projet'!$B$12,Paramètres!$A$1:$I$89,3,0)*0.475*44/12</f>
        <v>18.740512221914251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34.010960507122356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6.8461538461538511</v>
      </c>
      <c r="CT118" s="12">
        <f>IF('Données projet'!$A$140&gt;35,CT117+CS118-DB117,IF(A118&lt;'Données projet'!$A$140,$CQ$205^A118,IF(A118='Données projet'!$A$140,'Données projet'!$B$140,CT117+CS118-DB117)))</f>
        <v>329.95512820512863</v>
      </c>
      <c r="CU118" s="17">
        <f>CT118*VLOOKUP('Données projet'!$B$13,Paramètres!$A$1:$I$89,3,0)*VLOOKUP('Données projet'!$B$13,Paramètres!$A$1:$I$89,5,0)</f>
        <v>298.54340000000036</v>
      </c>
      <c r="CV118" s="13">
        <f t="shared" si="95"/>
        <v>70.871017722198957</v>
      </c>
      <c r="CW118" s="20">
        <f t="shared" si="67"/>
        <v>643.39677753283047</v>
      </c>
      <c r="CX118" s="59">
        <f t="shared" si="68"/>
        <v>936.73011086616384</v>
      </c>
      <c r="CY118" s="59">
        <f ca="1">AVERAGE(OFFSET($CX$3,0,0,'Données projet'!$E$13+1,1))-AVERAGE(OFFSET($H$3,0,0,'Données projet'!$E$13+1,1))</f>
        <v>280.25710840677186</v>
      </c>
      <c r="CZ118" s="59">
        <f t="shared" si="96"/>
        <v>209.65224013288037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53.427067632902698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53.427067632902698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243</v>
      </c>
      <c r="DP118" s="17">
        <f>DO118*VLOOKUP('Données projet'!$B$14,Paramètres!$A$1:$I$89,3,0)*VLOOKUP('Données projet'!$B$14,Paramètres!$A$1:$I$89,5,0)</f>
        <v>253.98360000000002</v>
      </c>
      <c r="DQ118" s="13">
        <f t="shared" si="97"/>
        <v>61.438182405444294</v>
      </c>
      <c r="DR118" s="20">
        <f t="shared" si="70"/>
        <v>549.35960435614891</v>
      </c>
      <c r="DS118" s="59">
        <f t="shared" si="71"/>
        <v>842.69293768948228</v>
      </c>
      <c r="DT118" s="59">
        <f ca="1">AVERAGE(OFFSET($DS$3,0,0,'Données projet'!$E$14+1,1))-AVERAGE(OFFSET($H$3,0,0,'Données projet'!$E$14+1,1))</f>
        <v>330.14201227773452</v>
      </c>
      <c r="DU118" s="59">
        <f t="shared" si="98"/>
        <v>307.07297894926467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24.225871953552048</v>
      </c>
      <c r="EB118" s="21">
        <f>EXP(-LN(2)/25)*EB117+(1-EXP(-LN(2)/25))/(LN(2)/25)*Calculateur!DW118*Calculateur!DY118*VLOOKUP('Données projet'!$B$14,Paramètres!$A$1:$I$89,3,0)*0.475*44/12</f>
        <v>11.753818839586273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35.979690793138317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236.00000000000009</v>
      </c>
      <c r="EK118" s="17">
        <f>EJ118*VLOOKUP('Données projet'!$B$15,Paramètres!$A$1:$I$89,3,0)*VLOOKUP('Données projet'!$B$15,Paramètres!$A$1:$I$89,5,0)</f>
        <v>154.62720000000004</v>
      </c>
      <c r="EL118" s="13">
        <f t="shared" si="99"/>
        <v>39.62826685000794</v>
      </c>
      <c r="EM118" s="20">
        <f t="shared" si="73"/>
        <v>338.32827143043056</v>
      </c>
      <c r="EN118" s="59">
        <f t="shared" si="74"/>
        <v>631.66160476376388</v>
      </c>
      <c r="EO118" s="59">
        <f ca="1">AVERAGE(OFFSET($EN$3,0,0,'Données projet'!$E$15+1,1))-AVERAGE(OFFSET($H$3,0,0,'Données projet'!$E$15+1,1))</f>
        <v>183.30081488041924</v>
      </c>
      <c r="EP118" s="59">
        <f t="shared" si="100"/>
        <v>199.33099759570928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2.2736595098458898</v>
      </c>
      <c r="EW118" s="21">
        <f>EXP(-LN(2)/25)*EW117+(1-EXP(-LN(2)/25))/(LN(2)/25)*Calculateur!ER118*Calculateur!ET118*VLOOKUP('Données projet'!$B$15,Paramètres!$A$1:$I$89,3,0)*0.475*44/12</f>
        <v>6.9613342068581945</v>
      </c>
      <c r="EX118" s="21">
        <f>EXP(-LN(2)/2)*EX117+(1-EXP(-LN(2)/2))/(LN(2)/2)*ER118*EU118*VLOOKUP('Données projet'!$B$15,Paramètres!$A$1:$I$89,3,0)*0.475*44/12</f>
        <v>3.7000567126579481E-4</v>
      </c>
      <c r="EY118" s="22">
        <f t="shared" si="75"/>
        <v>9.2353637223753502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1.5961632016114892E-13</v>
      </c>
      <c r="P119" s="13">
        <f t="shared" si="87"/>
        <v>2.2708641912150958E-12</v>
      </c>
      <c r="Q119" s="20">
        <f t="shared" si="107"/>
        <v>4.2330868906469593E-12</v>
      </c>
      <c r="R119" s="59">
        <f t="shared" si="55"/>
        <v>293.33333333333752</v>
      </c>
      <c r="S119" s="59">
        <f ca="1">AVERAGE(OFFSET($R$3,0,0,'Données projet'!$E$9+1,1))-AVERAGE(OFFSET($H$3,0,0,'Données projet'!$E$9+1,1))</f>
        <v>205.73717397588365</v>
      </c>
      <c r="T119" s="59">
        <f t="shared" si="88"/>
        <v>190.64998698136026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140.92129028560129</v>
      </c>
      <c r="AA119" s="21">
        <f>EXP(-LN(2)/25)*AA118+(1-EXP(-LN(2)/25))/(LN(2)/25)*Calculateur!V119*Calculateur!X119*VLOOKUP('Données projet'!$B$9,Paramètres!$A$1:$I$89,3,0)*0.475*44/12</f>
        <v>32.375825190072312</v>
      </c>
      <c r="AB119" s="21">
        <f>EXP(-LN(2)/2)*AB118+(1-EXP(-LN(2)/2))/(LN(2)/2)*V119*Y119*VLOOKUP('Données projet'!$B$9,Paramètres!$A$1:$I$89,3,0)*0.475*44/12</f>
        <v>0.49026013985916878</v>
      </c>
      <c r="AC119" s="22">
        <f t="shared" si="57"/>
        <v>173.78737561553277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283.73369613548124</v>
      </c>
      <c r="AO119" s="59">
        <f t="shared" si="90"/>
        <v>249.77804091581208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-6.3550942286383367E-14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278.5296012747549</v>
      </c>
      <c r="BJ119" s="59">
        <f t="shared" si="92"/>
        <v>370.55343097937077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67.720010238830696</v>
      </c>
      <c r="BQ119" s="21">
        <f>EXP(-LN(2)/25)*BQ118+(1-EXP(-LN(2)/25))/(LN(2)/25)*Calculateur!BL119*Calculateur!BN119*VLOOKUP('Données projet'!$B$11,Paramètres!$A$1:$I$89,3,0)*0.475*44/12</f>
        <v>10.616153734490803</v>
      </c>
      <c r="BR119" s="21">
        <f>EXP(-LN(2)/2)*BR118+(1-EXP(-LN(2)/2))/(LN(2)/2)*BL119*BO119*VLOOKUP('Données projet'!$B$11,Paramètres!$A$1:$I$89,3,0)*0.475*44/12</f>
        <v>2.2496739137436346E-8</v>
      </c>
      <c r="BS119" s="22">
        <f t="shared" si="63"/>
        <v>78.336163995818239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-3.1036506698001178E-14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159.92263609041913</v>
      </c>
      <c r="CE119" s="59">
        <f t="shared" si="94"/>
        <v>271.78119133009307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14.971004108388939</v>
      </c>
      <c r="CL119" s="21">
        <f>EXP(-LN(2)/25)*CL118+(1-EXP(-LN(2)/25))/(LN(2)/25)*Calculateur!CG119*Calculateur!CI119*VLOOKUP('Données projet'!$B$12,Paramètres!$A$1:$I$89,3,0)*0.475*44/12</f>
        <v>18.2280519296853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33.199056038074239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6.8461538461538511</v>
      </c>
      <c r="CT119" s="12">
        <f>IF('Données projet'!$A$140&gt;35,CT118+CS119-DB118,IF(A119&lt;'Données projet'!$A$140,$CQ$205^A119,IF(A119='Données projet'!$A$140,'Données projet'!$B$140,CT118+CS119-DB118)))</f>
        <v>336.8012820512825</v>
      </c>
      <c r="CU119" s="17">
        <f>CT119*VLOOKUP('Données projet'!$B$13,Paramètres!$A$1:$I$89,3,0)*VLOOKUP('Données projet'!$B$13,Paramètres!$A$1:$I$89,5,0)</f>
        <v>304.73780000000039</v>
      </c>
      <c r="CV119" s="13">
        <f t="shared" si="95"/>
        <v>72.168780751383139</v>
      </c>
      <c r="CW119" s="20">
        <f t="shared" si="67"/>
        <v>656.4456281419931</v>
      </c>
      <c r="CX119" s="59">
        <f t="shared" si="68"/>
        <v>949.77896147532647</v>
      </c>
      <c r="CY119" s="59">
        <f ca="1">AVERAGE(OFFSET($CX$3,0,0,'Données projet'!$E$13+1,1))-AVERAGE(OFFSET($H$3,0,0,'Données projet'!$E$13+1,1))</f>
        <v>280.25710840677186</v>
      </c>
      <c r="CZ119" s="59">
        <f t="shared" si="96"/>
        <v>209.65224013288037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52.379395423915007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52.379395423915007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243</v>
      </c>
      <c r="DP119" s="17">
        <f>DO119*VLOOKUP('Données projet'!$B$14,Paramètres!$A$1:$I$89,3,0)*VLOOKUP('Données projet'!$B$14,Paramètres!$A$1:$I$89,5,0)</f>
        <v>253.98360000000002</v>
      </c>
      <c r="DQ119" s="13">
        <f t="shared" si="97"/>
        <v>61.438182405444294</v>
      </c>
      <c r="DR119" s="20">
        <f t="shared" si="70"/>
        <v>549.35960435614891</v>
      </c>
      <c r="DS119" s="59">
        <f t="shared" si="71"/>
        <v>842.69293768948228</v>
      </c>
      <c r="DT119" s="59">
        <f ca="1">AVERAGE(OFFSET($DS$3,0,0,'Données projet'!$E$14+1,1))-AVERAGE(OFFSET($H$3,0,0,'Données projet'!$E$14+1,1))</f>
        <v>330.14201227773452</v>
      </c>
      <c r="DU119" s="59">
        <f t="shared" si="98"/>
        <v>307.07297894926467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23.750817380865744</v>
      </c>
      <c r="EB119" s="21">
        <f>EXP(-LN(2)/25)*EB118+(1-EXP(-LN(2)/25))/(LN(2)/25)*Calculateur!DW119*Calculateur!DY119*VLOOKUP('Données projet'!$B$14,Paramètres!$A$1:$I$89,3,0)*0.475*44/12</f>
        <v>11.432410045311318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35.183227426177062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236.00000000000009</v>
      </c>
      <c r="EK119" s="17">
        <f>EJ119*VLOOKUP('Données projet'!$B$15,Paramètres!$A$1:$I$89,3,0)*VLOOKUP('Données projet'!$B$15,Paramètres!$A$1:$I$89,5,0)</f>
        <v>154.62720000000004</v>
      </c>
      <c r="EL119" s="13">
        <f t="shared" si="99"/>
        <v>39.62826685000794</v>
      </c>
      <c r="EM119" s="20">
        <f t="shared" si="73"/>
        <v>338.32827143043056</v>
      </c>
      <c r="EN119" s="59">
        <f t="shared" si="74"/>
        <v>631.66160476376388</v>
      </c>
      <c r="EO119" s="59">
        <f ca="1">AVERAGE(OFFSET($EN$3,0,0,'Données projet'!$E$15+1,1))-AVERAGE(OFFSET($H$3,0,0,'Données projet'!$E$15+1,1))</f>
        <v>183.30081488041924</v>
      </c>
      <c r="EP119" s="59">
        <f t="shared" si="100"/>
        <v>199.33099759570928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2.2290744336531785</v>
      </c>
      <c r="EW119" s="21">
        <f>EXP(-LN(2)/25)*EW118+(1-EXP(-LN(2)/25))/(LN(2)/25)*Calculateur!ER119*Calculateur!ET119*VLOOKUP('Données projet'!$B$15,Paramètres!$A$1:$I$89,3,0)*0.475*44/12</f>
        <v>6.7709761568910016</v>
      </c>
      <c r="EX119" s="21">
        <f>EXP(-LN(2)/2)*EX118+(1-EXP(-LN(2)/2))/(LN(2)/2)*ER119*EU119*VLOOKUP('Données projet'!$B$15,Paramètres!$A$1:$I$89,3,0)*0.475*44/12</f>
        <v>2.6163351922952401E-4</v>
      </c>
      <c r="EY119" s="22">
        <f t="shared" si="75"/>
        <v>9.0003122240634106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1.5961632016114892E-13</v>
      </c>
      <c r="P120" s="13">
        <f t="shared" si="87"/>
        <v>2.2708641912150958E-12</v>
      </c>
      <c r="Q120" s="20">
        <f t="shared" si="107"/>
        <v>4.2330868906469593E-12</v>
      </c>
      <c r="R120" s="59">
        <f t="shared" si="55"/>
        <v>293.33333333333752</v>
      </c>
      <c r="S120" s="59">
        <f ca="1">AVERAGE(OFFSET($R$3,0,0,'Données projet'!$E$9+1,1))-AVERAGE(OFFSET($H$3,0,0,'Données projet'!$E$9+1,1))</f>
        <v>205.73717397588365</v>
      </c>
      <c r="T120" s="59">
        <f t="shared" si="88"/>
        <v>190.64998698136026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138.15790973660052</v>
      </c>
      <c r="AA120" s="21">
        <f>EXP(-LN(2)/25)*AA119+(1-EXP(-LN(2)/25))/(LN(2)/25)*Calculateur!V120*Calculateur!X120*VLOOKUP('Données projet'!$B$9,Paramètres!$A$1:$I$89,3,0)*0.475*44/12</f>
        <v>31.490506547679136</v>
      </c>
      <c r="AB120" s="21">
        <f>EXP(-LN(2)/2)*AB119+(1-EXP(-LN(2)/2))/(LN(2)/2)*V120*Y120*VLOOKUP('Données projet'!$B$9,Paramètres!$A$1:$I$89,3,0)*0.475*44/12</f>
        <v>0.34666626943988349</v>
      </c>
      <c r="AC120" s="22">
        <f t="shared" si="57"/>
        <v>169.99508255371953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283.73369613548124</v>
      </c>
      <c r="AO120" s="59">
        <f t="shared" si="90"/>
        <v>249.77804091581208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-6.3550942286383367E-14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278.5296012747549</v>
      </c>
      <c r="BJ120" s="59">
        <f t="shared" si="92"/>
        <v>370.55343097937077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66.392062143174925</v>
      </c>
      <c r="BQ120" s="21">
        <f>EXP(-LN(2)/25)*BQ119+(1-EXP(-LN(2)/25))/(LN(2)/25)*Calculateur!BL120*Calculateur!BN120*VLOOKUP('Données projet'!$B$11,Paramètres!$A$1:$I$89,3,0)*0.475*44/12</f>
        <v>10.32585445234189</v>
      </c>
      <c r="BR120" s="21">
        <f>EXP(-LN(2)/2)*BR119+(1-EXP(-LN(2)/2))/(LN(2)/2)*BL120*BO120*VLOOKUP('Données projet'!$B$11,Paramètres!$A$1:$I$89,3,0)*0.475*44/12</f>
        <v>1.5907596798666042E-8</v>
      </c>
      <c r="BS120" s="22">
        <f t="shared" si="63"/>
        <v>76.717916611424414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-3.1036506698001178E-14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159.92263609041913</v>
      </c>
      <c r="CE120" s="59">
        <f t="shared" si="94"/>
        <v>271.78119133009307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14.677431849234287</v>
      </c>
      <c r="CL120" s="21">
        <f>EXP(-LN(2)/25)*CL119+(1-EXP(-LN(2)/25))/(LN(2)/25)*Calculateur!CG120*Calculateur!CI120*VLOOKUP('Données projet'!$B$12,Paramètres!$A$1:$I$89,3,0)*0.475*44/12</f>
        <v>17.729604891096464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32.407036740330753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6.8461538461538511</v>
      </c>
      <c r="CT120" s="12">
        <f>IF('Données projet'!$A$140&gt;35,CT119+CS120-DB119,IF(A120&lt;'Données projet'!$A$140,$CQ$205^A120,IF(A120='Données projet'!$A$140,'Données projet'!$B$140,CT119+CS120-DB119)))</f>
        <v>343.64743589743637</v>
      </c>
      <c r="CU120" s="17">
        <f>CT120*VLOOKUP('Données projet'!$B$13,Paramètres!$A$1:$I$89,3,0)*VLOOKUP('Données projet'!$B$13,Paramètres!$A$1:$I$89,5,0)</f>
        <v>310.93220000000042</v>
      </c>
      <c r="CV120" s="13">
        <f t="shared" si="95"/>
        <v>73.463476600811546</v>
      </c>
      <c r="CW120" s="20">
        <f t="shared" si="67"/>
        <v>669.48913674641415</v>
      </c>
      <c r="CX120" s="59">
        <f t="shared" si="68"/>
        <v>962.82247007974752</v>
      </c>
      <c r="CY120" s="59">
        <f ca="1">AVERAGE(OFFSET($CX$3,0,0,'Données projet'!$E$13+1,1))-AVERAGE(OFFSET($H$3,0,0,'Données projet'!$E$13+1,1))</f>
        <v>280.25710840677186</v>
      </c>
      <c r="CZ120" s="59">
        <f t="shared" si="96"/>
        <v>209.65224013288037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51.352267427928609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51.352267427928609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243</v>
      </c>
      <c r="DP120" s="17">
        <f>DO120*VLOOKUP('Données projet'!$B$14,Paramètres!$A$1:$I$89,3,0)*VLOOKUP('Données projet'!$B$14,Paramètres!$A$1:$I$89,5,0)</f>
        <v>253.98360000000002</v>
      </c>
      <c r="DQ120" s="13">
        <f t="shared" si="97"/>
        <v>61.438182405444294</v>
      </c>
      <c r="DR120" s="20">
        <f t="shared" si="70"/>
        <v>549.35960435614891</v>
      </c>
      <c r="DS120" s="59">
        <f t="shared" si="71"/>
        <v>842.69293768948228</v>
      </c>
      <c r="DT120" s="59">
        <f ca="1">AVERAGE(OFFSET($DS$3,0,0,'Données projet'!$E$14+1,1))-AVERAGE(OFFSET($H$3,0,0,'Données projet'!$E$14+1,1))</f>
        <v>330.14201227773452</v>
      </c>
      <c r="DU120" s="59">
        <f t="shared" si="98"/>
        <v>307.07297894926467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23.285078338595138</v>
      </c>
      <c r="EB120" s="21">
        <f>EXP(-LN(2)/25)*EB119+(1-EXP(-LN(2)/25))/(LN(2)/25)*Calculateur!DW120*Calculateur!DY120*VLOOKUP('Données projet'!$B$14,Paramètres!$A$1:$I$89,3,0)*0.475*44/12</f>
        <v>11.119790191417964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34.404868530013104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236.00000000000009</v>
      </c>
      <c r="EK120" s="17">
        <f>EJ120*VLOOKUP('Données projet'!$B$15,Paramètres!$A$1:$I$89,3,0)*VLOOKUP('Données projet'!$B$15,Paramètres!$A$1:$I$89,5,0)</f>
        <v>154.62720000000004</v>
      </c>
      <c r="EL120" s="13">
        <f t="shared" si="99"/>
        <v>39.62826685000794</v>
      </c>
      <c r="EM120" s="20">
        <f t="shared" si="73"/>
        <v>338.32827143043056</v>
      </c>
      <c r="EN120" s="59">
        <f t="shared" si="74"/>
        <v>631.66160476376388</v>
      </c>
      <c r="EO120" s="59">
        <f ca="1">AVERAGE(OFFSET($EN$3,0,0,'Données projet'!$E$15+1,1))-AVERAGE(OFFSET($H$3,0,0,'Données projet'!$E$15+1,1))</f>
        <v>183.30081488041924</v>
      </c>
      <c r="EP120" s="59">
        <f t="shared" si="100"/>
        <v>199.33099759570928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2.1853636436103949</v>
      </c>
      <c r="EW120" s="21">
        <f>EXP(-LN(2)/25)*EW119+(1-EXP(-LN(2)/25))/(LN(2)/25)*Calculateur!ER120*Calculateur!ET120*VLOOKUP('Données projet'!$B$15,Paramètres!$A$1:$I$89,3,0)*0.475*44/12</f>
        <v>6.5858234578106565</v>
      </c>
      <c r="EX120" s="21">
        <f>EXP(-LN(2)/2)*EX119+(1-EXP(-LN(2)/2))/(LN(2)/2)*ER120*EU120*VLOOKUP('Données projet'!$B$15,Paramètres!$A$1:$I$89,3,0)*0.475*44/12</f>
        <v>1.8500283563289741E-4</v>
      </c>
      <c r="EY120" s="22">
        <f t="shared" si="75"/>
        <v>8.7713721042566846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1.5961632016114892E-13</v>
      </c>
      <c r="P121" s="13">
        <f t="shared" si="87"/>
        <v>2.2708641912150958E-12</v>
      </c>
      <c r="Q121" s="20">
        <f t="shared" si="107"/>
        <v>4.2330868906469593E-12</v>
      </c>
      <c r="R121" s="59">
        <f t="shared" si="55"/>
        <v>293.33333333333752</v>
      </c>
      <c r="S121" s="59">
        <f ca="1">AVERAGE(OFFSET($R$3,0,0,'Données projet'!$E$9+1,1))-AVERAGE(OFFSET($H$3,0,0,'Données projet'!$E$9+1,1))</f>
        <v>205.73717397588365</v>
      </c>
      <c r="T121" s="59">
        <f t="shared" si="88"/>
        <v>190.64998698136026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135.44871739466996</v>
      </c>
      <c r="AA121" s="21">
        <f>EXP(-LN(2)/25)*AA120+(1-EXP(-LN(2)/25))/(LN(2)/25)*Calculateur!V121*Calculateur!X121*VLOOKUP('Données projet'!$B$9,Paramètres!$A$1:$I$89,3,0)*0.475*44/12</f>
        <v>30.629396990119083</v>
      </c>
      <c r="AB121" s="21">
        <f>EXP(-LN(2)/2)*AB120+(1-EXP(-LN(2)/2))/(LN(2)/2)*V121*Y121*VLOOKUP('Données projet'!$B$9,Paramètres!$A$1:$I$89,3,0)*0.475*44/12</f>
        <v>0.24513006992958444</v>
      </c>
      <c r="AC121" s="22">
        <f t="shared" si="57"/>
        <v>166.32324445471863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283.73369613548124</v>
      </c>
      <c r="AO121" s="59">
        <f t="shared" si="90"/>
        <v>249.77804091581208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-6.3550942286383367E-14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278.5296012747549</v>
      </c>
      <c r="BJ121" s="59">
        <f t="shared" si="92"/>
        <v>370.55343097937077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65.090154299706612</v>
      </c>
      <c r="BQ121" s="21">
        <f>EXP(-LN(2)/25)*BQ120+(1-EXP(-LN(2)/25))/(LN(2)/25)*Calculateur!BL121*Calculateur!BN121*VLOOKUP('Données projet'!$B$11,Paramètres!$A$1:$I$89,3,0)*0.475*44/12</f>
        <v>10.043493419329515</v>
      </c>
      <c r="BR121" s="21">
        <f>EXP(-LN(2)/2)*BR120+(1-EXP(-LN(2)/2))/(LN(2)/2)*BL121*BO121*VLOOKUP('Données projet'!$B$11,Paramètres!$A$1:$I$89,3,0)*0.475*44/12</f>
        <v>1.1248369568718173E-8</v>
      </c>
      <c r="BS121" s="22">
        <f t="shared" si="63"/>
        <v>75.133647730284508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-3.1036506698001178E-14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159.92263609041913</v>
      </c>
      <c r="CE121" s="59">
        <f t="shared" si="94"/>
        <v>271.78119133009307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14.389616363020259</v>
      </c>
      <c r="CL121" s="21">
        <f>EXP(-LN(2)/25)*CL120+(1-EXP(-LN(2)/25))/(LN(2)/25)*Calculateur!CG121*Calculateur!CI121*VLOOKUP('Données projet'!$B$12,Paramètres!$A$1:$I$89,3,0)*0.475*44/12</f>
        <v>17.244787912990031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31.63440427601029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6.8461538461538511</v>
      </c>
      <c r="CT121" s="12">
        <f>IF('Données projet'!$A$140&gt;35,CT120+CS121-DB120,IF(A121&lt;'Données projet'!$A$140,$CQ$205^A121,IF(A121='Données projet'!$A$140,'Données projet'!$B$140,CT120+CS121-DB120)))</f>
        <v>350.49358974359023</v>
      </c>
      <c r="CU121" s="17">
        <f>CT121*VLOOKUP('Données projet'!$B$13,Paramètres!$A$1:$I$89,3,0)*VLOOKUP('Données projet'!$B$13,Paramètres!$A$1:$I$89,5,0)</f>
        <v>317.12660000000039</v>
      </c>
      <c r="CV121" s="13">
        <f t="shared" si="95"/>
        <v>74.755173417545677</v>
      </c>
      <c r="CW121" s="20">
        <f t="shared" si="67"/>
        <v>682.52742203555931</v>
      </c>
      <c r="CX121" s="59">
        <f t="shared" si="68"/>
        <v>975.86075536889257</v>
      </c>
      <c r="CY121" s="59">
        <f ca="1">AVERAGE(OFFSET($CX$3,0,0,'Données projet'!$E$13+1,1))-AVERAGE(OFFSET($H$3,0,0,'Données projet'!$E$13+1,1))</f>
        <v>280.25710840677186</v>
      </c>
      <c r="CZ121" s="59">
        <f t="shared" si="96"/>
        <v>209.65224013288037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50.345280785457291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50.345280785457291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243</v>
      </c>
      <c r="DP121" s="17">
        <f>DO121*VLOOKUP('Données projet'!$B$14,Paramètres!$A$1:$I$89,3,0)*VLOOKUP('Données projet'!$B$14,Paramètres!$A$1:$I$89,5,0)</f>
        <v>253.98360000000002</v>
      </c>
      <c r="DQ121" s="13">
        <f t="shared" si="97"/>
        <v>61.438182405444294</v>
      </c>
      <c r="DR121" s="20">
        <f t="shared" si="70"/>
        <v>549.35960435614891</v>
      </c>
      <c r="DS121" s="59">
        <f t="shared" si="71"/>
        <v>842.69293768948228</v>
      </c>
      <c r="DT121" s="59">
        <f ca="1">AVERAGE(OFFSET($DS$3,0,0,'Données projet'!$E$14+1,1))-AVERAGE(OFFSET($H$3,0,0,'Données projet'!$E$14+1,1))</f>
        <v>330.14201227773452</v>
      </c>
      <c r="DU121" s="59">
        <f t="shared" si="98"/>
        <v>307.07297894926467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22.828472154870695</v>
      </c>
      <c r="EB121" s="21">
        <f>EXP(-LN(2)/25)*EB120+(1-EXP(-LN(2)/25))/(LN(2)/25)*Calculateur!DW121*Calculateur!DY121*VLOOKUP('Données projet'!$B$14,Paramètres!$A$1:$I$89,3,0)*0.475*44/12</f>
        <v>10.815718943869289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33.644191098739981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236.00000000000009</v>
      </c>
      <c r="EK121" s="17">
        <f>EJ121*VLOOKUP('Données projet'!$B$15,Paramètres!$A$1:$I$89,3,0)*VLOOKUP('Données projet'!$B$15,Paramètres!$A$1:$I$89,5,0)</f>
        <v>154.62720000000004</v>
      </c>
      <c r="EL121" s="13">
        <f t="shared" si="99"/>
        <v>39.62826685000794</v>
      </c>
      <c r="EM121" s="20">
        <f t="shared" si="73"/>
        <v>338.32827143043056</v>
      </c>
      <c r="EN121" s="59">
        <f t="shared" si="74"/>
        <v>631.66160476376388</v>
      </c>
      <c r="EO121" s="59">
        <f ca="1">AVERAGE(OFFSET($EN$3,0,0,'Données projet'!$E$15+1,1))-AVERAGE(OFFSET($H$3,0,0,'Données projet'!$E$15+1,1))</f>
        <v>183.30081488041924</v>
      </c>
      <c r="EP121" s="59">
        <f t="shared" si="100"/>
        <v>199.33099759570928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2.1425099954994007</v>
      </c>
      <c r="EW121" s="21">
        <f>EXP(-LN(2)/25)*EW120+(1-EXP(-LN(2)/25))/(LN(2)/25)*Calculateur!ER121*Calculateur!ET121*VLOOKUP('Données projet'!$B$15,Paramètres!$A$1:$I$89,3,0)*0.475*44/12</f>
        <v>6.4057337690234206</v>
      </c>
      <c r="EX121" s="21">
        <f>EXP(-LN(2)/2)*EX120+(1-EXP(-LN(2)/2))/(LN(2)/2)*ER121*EU121*VLOOKUP('Données projet'!$B$15,Paramètres!$A$1:$I$89,3,0)*0.475*44/12</f>
        <v>1.30816759614762E-4</v>
      </c>
      <c r="EY121" s="22">
        <f t="shared" si="75"/>
        <v>8.5483745812824363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1.5961632016114892E-13</v>
      </c>
      <c r="P122" s="13">
        <f t="shared" si="87"/>
        <v>2.2708641912150958E-12</v>
      </c>
      <c r="Q122" s="20">
        <f t="shared" si="107"/>
        <v>4.2330868906469593E-12</v>
      </c>
      <c r="R122" s="59">
        <f t="shared" si="55"/>
        <v>293.33333333333752</v>
      </c>
      <c r="S122" s="59">
        <f ca="1">AVERAGE(OFFSET($R$3,0,0,'Données projet'!$E$9+1,1))-AVERAGE(OFFSET($H$3,0,0,'Données projet'!$E$9+1,1))</f>
        <v>205.73717397588365</v>
      </c>
      <c r="T122" s="59">
        <f t="shared" si="88"/>
        <v>190.64998698136026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132.79265066212048</v>
      </c>
      <c r="AA122" s="21">
        <f>EXP(-LN(2)/25)*AA121+(1-EXP(-LN(2)/25))/(LN(2)/25)*Calculateur!V122*Calculateur!X122*VLOOKUP('Données projet'!$B$9,Paramètres!$A$1:$I$89,3,0)*0.475*44/12</f>
        <v>29.791834518694294</v>
      </c>
      <c r="AB122" s="21">
        <f>EXP(-LN(2)/2)*AB121+(1-EXP(-LN(2)/2))/(LN(2)/2)*V122*Y122*VLOOKUP('Données projet'!$B$9,Paramètres!$A$1:$I$89,3,0)*0.475*44/12</f>
        <v>0.17333313471994177</v>
      </c>
      <c r="AC122" s="22">
        <f t="shared" si="57"/>
        <v>162.75781831553471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283.73369613548124</v>
      </c>
      <c r="AO122" s="59">
        <f t="shared" si="90"/>
        <v>249.77804091581208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-6.3550942286383367E-14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278.5296012747549</v>
      </c>
      <c r="BJ122" s="59">
        <f t="shared" si="92"/>
        <v>370.55343097937077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63.813776074963336</v>
      </c>
      <c r="BQ122" s="21">
        <f>EXP(-LN(2)/25)*BQ121+(1-EXP(-LN(2)/25))/(LN(2)/25)*Calculateur!BL122*Calculateur!BN122*VLOOKUP('Données projet'!$B$11,Paramètres!$A$1:$I$89,3,0)*0.475*44/12</f>
        <v>9.7688535636135843</v>
      </c>
      <c r="BR122" s="21">
        <f>EXP(-LN(2)/2)*BR121+(1-EXP(-LN(2)/2))/(LN(2)/2)*BL122*BO122*VLOOKUP('Données projet'!$B$11,Paramètres!$A$1:$I$89,3,0)*0.475*44/12</f>
        <v>7.953798399333021E-9</v>
      </c>
      <c r="BS122" s="22">
        <f t="shared" si="63"/>
        <v>73.582629646530719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-3.1036506698001178E-14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159.92263609041913</v>
      </c>
      <c r="CE122" s="59">
        <f t="shared" si="94"/>
        <v>271.78119133009307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14.107444762940776</v>
      </c>
      <c r="CL122" s="21">
        <f>EXP(-LN(2)/25)*CL121+(1-EXP(-LN(2)/25))/(LN(2)/25)*Calculateur!CG122*Calculateur!CI122*VLOOKUP('Données projet'!$B$12,Paramètres!$A$1:$I$89,3,0)*0.475*44/12</f>
        <v>16.773228280645334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30.880673043586111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357.33974358974359</v>
      </c>
      <c r="CR122" s="12">
        <f>VLOOKUP(A122,'Données projet'!$A$139:$I$159,9,0)</f>
        <v>6.8461538461538511</v>
      </c>
      <c r="CS122" s="12">
        <f t="array" ref="CS122">INDEX(CR:CR,MIN(IF(ISNUMBER(CR122:CR318),ROW(CR122:CR318),"")))</f>
        <v>6.8461538461538511</v>
      </c>
      <c r="CT122" s="12">
        <f>IF('Données projet'!$A$140&gt;35,CT121+CS122-DB121,IF(A122&lt;'Données projet'!$A$140,$CQ$205^A122,IF(A122='Données projet'!$A$140,'Données projet'!$B$140,CT121+CS122-DB121)))</f>
        <v>357.3397435897441</v>
      </c>
      <c r="CU122" s="17">
        <f>CT122*VLOOKUP('Données projet'!$B$13,Paramètres!$A$1:$I$89,3,0)*VLOOKUP('Données projet'!$B$13,Paramètres!$A$1:$I$89,5,0)</f>
        <v>323.32100000000048</v>
      </c>
      <c r="CV122" s="13">
        <f t="shared" si="95"/>
        <v>76.043936534151186</v>
      </c>
      <c r="CW122" s="20">
        <f t="shared" si="67"/>
        <v>695.56059779698069</v>
      </c>
      <c r="CX122" s="59">
        <f t="shared" si="68"/>
        <v>988.89393113031406</v>
      </c>
      <c r="CY122" s="59">
        <f ca="1">AVERAGE(OFFSET($CX$3,0,0,'Données projet'!$E$13+1,1))-AVERAGE(OFFSET($H$3,0,0,'Données projet'!$E$13+1,1))</f>
        <v>280.25710840677186</v>
      </c>
      <c r="CZ122" s="59">
        <f t="shared" si="96"/>
        <v>209.65224013288037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150.02564102564102</v>
      </c>
      <c r="DC122" s="16">
        <f>IF(ISNA(VLOOKUP(A122,'Données projet'!$A$139:$I$159,5,0)),0%,VLOOKUP(A122,'Données projet'!$A$139:$I$159,5,0)*VLOOKUP('Données projet'!$B$13,Paramètres!$A$1:$I$89,7,0))</f>
        <v>0.38700000000000001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107.43129413735127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107.43129413735127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243</v>
      </c>
      <c r="DP122" s="17">
        <f>DO122*VLOOKUP('Données projet'!$B$14,Paramètres!$A$1:$I$89,3,0)*VLOOKUP('Données projet'!$B$14,Paramètres!$A$1:$I$89,5,0)</f>
        <v>253.98360000000002</v>
      </c>
      <c r="DQ122" s="13">
        <f t="shared" si="97"/>
        <v>61.438182405444294</v>
      </c>
      <c r="DR122" s="20">
        <f t="shared" si="70"/>
        <v>549.35960435614891</v>
      </c>
      <c r="DS122" s="59">
        <f t="shared" si="71"/>
        <v>842.69293768948228</v>
      </c>
      <c r="DT122" s="59">
        <f ca="1">AVERAGE(OFFSET($DS$3,0,0,'Données projet'!$E$14+1,1))-AVERAGE(OFFSET($H$3,0,0,'Données projet'!$E$14+1,1))</f>
        <v>330.14201227773452</v>
      </c>
      <c r="DU122" s="59">
        <f t="shared" si="98"/>
        <v>307.07297894926467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22.380819739906816</v>
      </c>
      <c r="EB122" s="21">
        <f>EXP(-LN(2)/25)*EB121+(1-EXP(-LN(2)/25))/(LN(2)/25)*Calculateur!DW122*Calculateur!DY122*VLOOKUP('Données projet'!$B$14,Paramètres!$A$1:$I$89,3,0)*0.475*44/12</f>
        <v>10.519962540575243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32.900782280482062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236.00000000000009</v>
      </c>
      <c r="EK122" s="17">
        <f>EJ122*VLOOKUP('Données projet'!$B$15,Paramètres!$A$1:$I$89,3,0)*VLOOKUP('Données projet'!$B$15,Paramètres!$A$1:$I$89,5,0)</f>
        <v>154.62720000000004</v>
      </c>
      <c r="EL122" s="13">
        <f t="shared" si="99"/>
        <v>39.62826685000794</v>
      </c>
      <c r="EM122" s="20">
        <f t="shared" si="73"/>
        <v>338.32827143043056</v>
      </c>
      <c r="EN122" s="59">
        <f t="shared" si="74"/>
        <v>631.66160476376388</v>
      </c>
      <c r="EO122" s="59">
        <f ca="1">AVERAGE(OFFSET($EN$3,0,0,'Données projet'!$E$15+1,1))-AVERAGE(OFFSET($H$3,0,0,'Données projet'!$E$15+1,1))</f>
        <v>183.30081488041924</v>
      </c>
      <c r="EP122" s="59">
        <f t="shared" si="100"/>
        <v>199.33099759570928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2.1004966812897186</v>
      </c>
      <c r="EW122" s="21">
        <f>EXP(-LN(2)/25)*EW121+(1-EXP(-LN(2)/25))/(LN(2)/25)*Calculateur!ER122*Calculateur!ET122*VLOOKUP('Données projet'!$B$15,Paramètres!$A$1:$I$89,3,0)*0.475*44/12</f>
        <v>6.2305686422465767</v>
      </c>
      <c r="EX122" s="21">
        <f>EXP(-LN(2)/2)*EX121+(1-EXP(-LN(2)/2))/(LN(2)/2)*ER122*EU122*VLOOKUP('Données projet'!$B$15,Paramètres!$A$1:$I$89,3,0)*0.475*44/12</f>
        <v>9.2501417816448703E-5</v>
      </c>
      <c r="EY122" s="22">
        <f t="shared" si="75"/>
        <v>8.3311578249541114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1.5961632016114892E-13</v>
      </c>
      <c r="P123" s="13">
        <f t="shared" si="87"/>
        <v>2.2708641912150958E-12</v>
      </c>
      <c r="Q123" s="20">
        <f t="shared" si="107"/>
        <v>4.2330868906469593E-12</v>
      </c>
      <c r="R123" s="59">
        <f t="shared" si="55"/>
        <v>293.33333333333752</v>
      </c>
      <c r="S123" s="59">
        <f ca="1">AVERAGE(OFFSET($R$3,0,0,'Données projet'!$E$9+1,1))-AVERAGE(OFFSET($H$3,0,0,'Données projet'!$E$9+1,1))</f>
        <v>205.73717397588365</v>
      </c>
      <c r="T123" s="59">
        <f t="shared" si="88"/>
        <v>190.64998698136026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130.18866777815555</v>
      </c>
      <c r="AA123" s="21">
        <f>EXP(-LN(2)/25)*AA122+(1-EXP(-LN(2)/25))/(LN(2)/25)*Calculateur!V123*Calculateur!X123*VLOOKUP('Données projet'!$B$9,Paramètres!$A$1:$I$89,3,0)*0.475*44/12</f>
        <v>28.977175237096112</v>
      </c>
      <c r="AB123" s="21">
        <f>EXP(-LN(2)/2)*AB122+(1-EXP(-LN(2)/2))/(LN(2)/2)*V123*Y123*VLOOKUP('Données projet'!$B$9,Paramètres!$A$1:$I$89,3,0)*0.475*44/12</f>
        <v>0.12256503496479224</v>
      </c>
      <c r="AC123" s="22">
        <f t="shared" si="57"/>
        <v>159.28840805021645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283.73369613548124</v>
      </c>
      <c r="AO123" s="59">
        <f t="shared" si="90"/>
        <v>249.77804091581208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-6.3550942286383367E-14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278.5296012747549</v>
      </c>
      <c r="BJ123" s="59">
        <f t="shared" si="92"/>
        <v>370.55343097937077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62.562426848693427</v>
      </c>
      <c r="BQ123" s="21">
        <f>EXP(-LN(2)/25)*BQ122+(1-EXP(-LN(2)/25))/(LN(2)/25)*Calculateur!BL123*Calculateur!BN123*VLOOKUP('Données projet'!$B$11,Paramètres!$A$1:$I$89,3,0)*0.475*44/12</f>
        <v>9.5017237491948894</v>
      </c>
      <c r="BR123" s="21">
        <f>EXP(-LN(2)/2)*BR122+(1-EXP(-LN(2)/2))/(LN(2)/2)*BL123*BO123*VLOOKUP('Données projet'!$B$11,Paramètres!$A$1:$I$89,3,0)*0.475*44/12</f>
        <v>5.6241847843590864E-9</v>
      </c>
      <c r="BS123" s="22">
        <f t="shared" si="63"/>
        <v>72.064150603512502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-3.1036506698001178E-14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159.92263609041913</v>
      </c>
      <c r="CE123" s="59">
        <f t="shared" si="94"/>
        <v>271.78119133009307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13.83080637583117</v>
      </c>
      <c r="CL123" s="21">
        <f>EXP(-LN(2)/25)*CL122+(1-EXP(-LN(2)/25))/(LN(2)/25)*Calculateur!CG123*Calculateur!CI123*VLOOKUP('Données projet'!$B$12,Paramètres!$A$1:$I$89,3,0)*0.475*44/12</f>
        <v>16.314563471245346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30.145369847076516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3.8301282051282044</v>
      </c>
      <c r="CT123" s="12">
        <f>IF('Données projet'!$A$140&gt;35,CT122+CS123-DB122,IF(A123&lt;'Données projet'!$A$140,$CQ$205^A123,IF(A123='Données projet'!$A$140,'Données projet'!$B$140,CT122+CS123-DB122)))</f>
        <v>211.14423076923126</v>
      </c>
      <c r="CU123" s="17">
        <f>CT123*VLOOKUP('Données projet'!$B$13,Paramètres!$A$1:$I$89,3,0)*VLOOKUP('Données projet'!$B$13,Paramètres!$A$1:$I$89,5,0)</f>
        <v>191.04330000000041</v>
      </c>
      <c r="CV123" s="13">
        <f t="shared" si="95"/>
        <v>47.770538104647592</v>
      </c>
      <c r="CW123" s="20">
        <f t="shared" si="67"/>
        <v>415.93410136559527</v>
      </c>
      <c r="CX123" s="59">
        <f t="shared" si="68"/>
        <v>709.26743469892858</v>
      </c>
      <c r="CY123" s="59">
        <f ca="1">AVERAGE(OFFSET($CX$3,0,0,'Données projet'!$E$13+1,1))-AVERAGE(OFFSET($H$3,0,0,'Données projet'!$E$13+1,1))</f>
        <v>280.25710840677186</v>
      </c>
      <c r="CZ123" s="59">
        <f t="shared" si="96"/>
        <v>209.65224013288037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105.32463198593702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105.32463198593702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243</v>
      </c>
      <c r="DP123" s="17">
        <f>DO123*VLOOKUP('Données projet'!$B$14,Paramètres!$A$1:$I$89,3,0)*VLOOKUP('Données projet'!$B$14,Paramètres!$A$1:$I$89,5,0)</f>
        <v>253.98360000000002</v>
      </c>
      <c r="DQ123" s="13">
        <f t="shared" si="97"/>
        <v>61.438182405444294</v>
      </c>
      <c r="DR123" s="20">
        <f t="shared" si="70"/>
        <v>549.35960435614891</v>
      </c>
      <c r="DS123" s="59">
        <f t="shared" si="71"/>
        <v>842.69293768948228</v>
      </c>
      <c r="DT123" s="59">
        <f ca="1">AVERAGE(OFFSET($DS$3,0,0,'Données projet'!$E$14+1,1))-AVERAGE(OFFSET($H$3,0,0,'Données projet'!$E$14+1,1))</f>
        <v>330.14201227773452</v>
      </c>
      <c r="DU123" s="59">
        <f t="shared" si="98"/>
        <v>307.07297894926467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21.941945515759365</v>
      </c>
      <c r="EB123" s="21">
        <f>EXP(-LN(2)/25)*EB122+(1-EXP(-LN(2)/25))/(LN(2)/25)*Calculateur!DW123*Calculateur!DY123*VLOOKUP('Données projet'!$B$14,Paramètres!$A$1:$I$89,3,0)*0.475*44/12</f>
        <v>10.232293611682426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32.174239127441794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236.00000000000009</v>
      </c>
      <c r="EK123" s="17">
        <f>EJ123*VLOOKUP('Données projet'!$B$15,Paramètres!$A$1:$I$89,3,0)*VLOOKUP('Données projet'!$B$15,Paramètres!$A$1:$I$89,5,0)</f>
        <v>154.62720000000004</v>
      </c>
      <c r="EL123" s="13">
        <f t="shared" si="99"/>
        <v>39.62826685000794</v>
      </c>
      <c r="EM123" s="20">
        <f t="shared" si="73"/>
        <v>338.32827143043056</v>
      </c>
      <c r="EN123" s="59">
        <f t="shared" si="74"/>
        <v>631.66160476376388</v>
      </c>
      <c r="EO123" s="59">
        <f ca="1">AVERAGE(OFFSET($EN$3,0,0,'Données projet'!$E$15+1,1))-AVERAGE(OFFSET($H$3,0,0,'Données projet'!$E$15+1,1))</f>
        <v>183.30081488041924</v>
      </c>
      <c r="EP123" s="59">
        <f t="shared" si="100"/>
        <v>199.33099759570928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2.0593072225460971</v>
      </c>
      <c r="EW123" s="21">
        <f>EXP(-LN(2)/25)*EW122+(1-EXP(-LN(2)/25))/(LN(2)/25)*Calculateur!ER123*Calculateur!ET123*VLOOKUP('Données projet'!$B$15,Paramètres!$A$1:$I$89,3,0)*0.475*44/12</f>
        <v>6.0601934150729795</v>
      </c>
      <c r="EX123" s="21">
        <f>EXP(-LN(2)/2)*EX122+(1-EXP(-LN(2)/2))/(LN(2)/2)*ER123*EU123*VLOOKUP('Données projet'!$B$15,Paramètres!$A$1:$I$89,3,0)*0.475*44/12</f>
        <v>6.5408379807381002E-5</v>
      </c>
      <c r="EY123" s="22">
        <f t="shared" si="75"/>
        <v>8.1195660459988837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1.5961632016114892E-13</v>
      </c>
      <c r="P124" s="13">
        <f t="shared" si="87"/>
        <v>2.2708641912150958E-12</v>
      </c>
      <c r="Q124" s="20">
        <f t="shared" si="107"/>
        <v>4.2330868906469593E-12</v>
      </c>
      <c r="R124" s="59">
        <f t="shared" si="55"/>
        <v>293.33333333333752</v>
      </c>
      <c r="S124" s="59">
        <f ca="1">AVERAGE(OFFSET($R$3,0,0,'Données projet'!$E$9+1,1))-AVERAGE(OFFSET($H$3,0,0,'Données projet'!$E$9+1,1))</f>
        <v>205.73717397588365</v>
      </c>
      <c r="T124" s="59">
        <f t="shared" si="88"/>
        <v>190.64998698136026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127.63574741027244</v>
      </c>
      <c r="AA124" s="21">
        <f>EXP(-LN(2)/25)*AA123+(1-EXP(-LN(2)/25))/(LN(2)/25)*Calculateur!V124*Calculateur!X124*VLOOKUP('Données projet'!$B$9,Paramètres!$A$1:$I$89,3,0)*0.475*44/12</f>
        <v>28.184792856394303</v>
      </c>
      <c r="AB124" s="21">
        <f>EXP(-LN(2)/2)*AB123+(1-EXP(-LN(2)/2))/(LN(2)/2)*V124*Y124*VLOOKUP('Données projet'!$B$9,Paramètres!$A$1:$I$89,3,0)*0.475*44/12</f>
        <v>8.66665673599709E-2</v>
      </c>
      <c r="AC124" s="22">
        <f t="shared" si="57"/>
        <v>155.90720683402671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283.73369613548124</v>
      </c>
      <c r="AO124" s="59">
        <f t="shared" si="90"/>
        <v>249.77804091581208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-6.3550942286383367E-14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278.5296012747549</v>
      </c>
      <c r="BJ124" s="59">
        <f t="shared" si="92"/>
        <v>370.55343097937077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61.335615817503005</v>
      </c>
      <c r="BQ124" s="21">
        <f>EXP(-LN(2)/25)*BQ123+(1-EXP(-LN(2)/25))/(LN(2)/25)*Calculateur!BL124*Calculateur!BN124*VLOOKUP('Données projet'!$B$11,Paramètres!$A$1:$I$89,3,0)*0.475*44/12</f>
        <v>9.2418986135992203</v>
      </c>
      <c r="BR124" s="21">
        <f>EXP(-LN(2)/2)*BR123+(1-EXP(-LN(2)/2))/(LN(2)/2)*BL124*BO124*VLOOKUP('Données projet'!$B$11,Paramètres!$A$1:$I$89,3,0)*0.475*44/12</f>
        <v>3.9768991996665105E-9</v>
      </c>
      <c r="BS124" s="22">
        <f t="shared" si="63"/>
        <v>70.577514435079124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-3.1036506698001178E-14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159.92263609041913</v>
      </c>
      <c r="CE124" s="59">
        <f t="shared" si="94"/>
        <v>271.78119133009307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13.559592698760028</v>
      </c>
      <c r="CL124" s="21">
        <f>EXP(-LN(2)/25)*CL123+(1-EXP(-LN(2)/25))/(LN(2)/25)*Calculateur!CG124*Calculateur!CI124*VLOOKUP('Données projet'!$B$12,Paramètres!$A$1:$I$89,3,0)*0.475*44/12</f>
        <v>15.868440875178537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29.428033573938563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3.8301282051282044</v>
      </c>
      <c r="CT124" s="12">
        <f>IF('Données projet'!$A$140&gt;35,CT123+CS124-DB123,IF(A124&lt;'Données projet'!$A$140,$CQ$205^A124,IF(A124='Données projet'!$A$140,'Données projet'!$B$140,CT123+CS124-DB123)))</f>
        <v>214.97435897435946</v>
      </c>
      <c r="CU124" s="17">
        <f>CT124*VLOOKUP('Données projet'!$B$13,Paramètres!$A$1:$I$89,3,0)*VLOOKUP('Données projet'!$B$13,Paramètres!$A$1:$I$89,5,0)</f>
        <v>194.50880000000043</v>
      </c>
      <c r="CV124" s="13">
        <f t="shared" si="95"/>
        <v>48.535419780989194</v>
      </c>
      <c r="CW124" s="20">
        <f t="shared" si="67"/>
        <v>423.30201611855699</v>
      </c>
      <c r="CX124" s="59">
        <f t="shared" si="68"/>
        <v>716.63534945189031</v>
      </c>
      <c r="CY124" s="59">
        <f ca="1">AVERAGE(OFFSET($CX$3,0,0,'Données projet'!$E$13+1,1))-AVERAGE(OFFSET($H$3,0,0,'Données projet'!$E$13+1,1))</f>
        <v>280.25710840677186</v>
      </c>
      <c r="CZ124" s="59">
        <f t="shared" si="96"/>
        <v>209.65224013288037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103.25928019437497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103.25928019437497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243</v>
      </c>
      <c r="DP124" s="17">
        <f>DO124*VLOOKUP('Données projet'!$B$14,Paramètres!$A$1:$I$89,3,0)*VLOOKUP('Données projet'!$B$14,Paramètres!$A$1:$I$89,5,0)</f>
        <v>253.98360000000002</v>
      </c>
      <c r="DQ124" s="13">
        <f t="shared" si="97"/>
        <v>61.438182405444294</v>
      </c>
      <c r="DR124" s="20">
        <f t="shared" si="70"/>
        <v>549.35960435614891</v>
      </c>
      <c r="DS124" s="59">
        <f t="shared" si="71"/>
        <v>842.69293768948228</v>
      </c>
      <c r="DT124" s="59">
        <f ca="1">AVERAGE(OFFSET($DS$3,0,0,'Données projet'!$E$14+1,1))-AVERAGE(OFFSET($H$3,0,0,'Données projet'!$E$14+1,1))</f>
        <v>330.14201227773452</v>
      </c>
      <c r="DU124" s="59">
        <f t="shared" si="98"/>
        <v>307.07297894926467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21.511677347460601</v>
      </c>
      <c r="EB124" s="21">
        <f>EXP(-LN(2)/25)*EB123+(1-EXP(-LN(2)/25))/(LN(2)/25)*Calculateur!DW124*Calculateur!DY124*VLOOKUP('Données projet'!$B$14,Paramètres!$A$1:$I$89,3,0)*0.475*44/12</f>
        <v>9.9524910047780359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31.464168352238637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236.00000000000009</v>
      </c>
      <c r="EK124" s="17">
        <f>EJ124*VLOOKUP('Données projet'!$B$15,Paramètres!$A$1:$I$89,3,0)*VLOOKUP('Données projet'!$B$15,Paramètres!$A$1:$I$89,5,0)</f>
        <v>154.62720000000004</v>
      </c>
      <c r="EL124" s="13">
        <f t="shared" si="99"/>
        <v>39.62826685000794</v>
      </c>
      <c r="EM124" s="20">
        <f t="shared" si="73"/>
        <v>338.32827143043056</v>
      </c>
      <c r="EN124" s="59">
        <f t="shared" si="74"/>
        <v>631.66160476376388</v>
      </c>
      <c r="EO124" s="59">
        <f ca="1">AVERAGE(OFFSET($EN$3,0,0,'Données projet'!$E$15+1,1))-AVERAGE(OFFSET($H$3,0,0,'Données projet'!$E$15+1,1))</f>
        <v>183.30081488041924</v>
      </c>
      <c r="EP124" s="59">
        <f t="shared" si="100"/>
        <v>199.33099759570928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2.0189254639653491</v>
      </c>
      <c r="EW124" s="21">
        <f>EXP(-LN(2)/25)*EW123+(1-EXP(-LN(2)/25))/(LN(2)/25)*Calculateur!ER124*Calculateur!ET124*VLOOKUP('Données projet'!$B$15,Paramètres!$A$1:$I$89,3,0)*0.475*44/12</f>
        <v>5.8944771074460878</v>
      </c>
      <c r="EX124" s="21">
        <f>EXP(-LN(2)/2)*EX123+(1-EXP(-LN(2)/2))/(LN(2)/2)*ER124*EU124*VLOOKUP('Données projet'!$B$15,Paramètres!$A$1:$I$89,3,0)*0.475*44/12</f>
        <v>4.6250708908224352E-5</v>
      </c>
      <c r="EY124" s="22">
        <f t="shared" si="75"/>
        <v>7.9134488221203449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1.5961632016114892E-13</v>
      </c>
      <c r="P125" s="13">
        <f t="shared" si="87"/>
        <v>2.2708641912150958E-12</v>
      </c>
      <c r="Q125" s="20">
        <f t="shared" si="107"/>
        <v>4.2330868906469593E-12</v>
      </c>
      <c r="R125" s="59">
        <f t="shared" si="55"/>
        <v>293.33333333333752</v>
      </c>
      <c r="S125" s="59">
        <f ca="1">AVERAGE(OFFSET($R$3,0,0,'Données projet'!$E$9+1,1))-AVERAGE(OFFSET($H$3,0,0,'Données projet'!$E$9+1,1))</f>
        <v>205.73717397588365</v>
      </c>
      <c r="T125" s="59">
        <f t="shared" si="88"/>
        <v>190.64998698136026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125.13288825367586</v>
      </c>
      <c r="AA125" s="21">
        <f>EXP(-LN(2)/25)*AA124+(1-EXP(-LN(2)/25))/(LN(2)/25)*Calculateur!V125*Calculateur!X125*VLOOKUP('Données projet'!$B$9,Paramètres!$A$1:$I$89,3,0)*0.475*44/12</f>
        <v>27.414078213562362</v>
      </c>
      <c r="AB125" s="21">
        <f>EXP(-LN(2)/2)*AB124+(1-EXP(-LN(2)/2))/(LN(2)/2)*V125*Y125*VLOOKUP('Données projet'!$B$9,Paramètres!$A$1:$I$89,3,0)*0.475*44/12</f>
        <v>6.1282517482396132E-2</v>
      </c>
      <c r="AC125" s="22">
        <f t="shared" si="57"/>
        <v>152.60824898472063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283.73369613548124</v>
      </c>
      <c r="AO125" s="59">
        <f t="shared" si="90"/>
        <v>249.77804091581208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-6.3550942286383367E-14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278.5296012747549</v>
      </c>
      <c r="BJ125" s="59">
        <f t="shared" si="92"/>
        <v>370.55343097937077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60.132861802353389</v>
      </c>
      <c r="BQ125" s="21">
        <f>EXP(-LN(2)/25)*BQ124+(1-EXP(-LN(2)/25))/(LN(2)/25)*Calculateur!BL125*Calculateur!BN125*VLOOKUP('Données projet'!$B$11,Paramètres!$A$1:$I$89,3,0)*0.475*44/12</f>
        <v>8.989178410000024</v>
      </c>
      <c r="BR125" s="21">
        <f>EXP(-LN(2)/2)*BR124+(1-EXP(-LN(2)/2))/(LN(2)/2)*BL125*BO125*VLOOKUP('Données projet'!$B$11,Paramètres!$A$1:$I$89,3,0)*0.475*44/12</f>
        <v>2.8120923921795432E-9</v>
      </c>
      <c r="BS125" s="22">
        <f t="shared" si="63"/>
        <v>69.122040215165498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-3.1036506698001178E-14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159.92263609041913</v>
      </c>
      <c r="CE125" s="59">
        <f t="shared" si="94"/>
        <v>271.78119133009307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13.293697356472242</v>
      </c>
      <c r="CL125" s="21">
        <f>EXP(-LN(2)/25)*CL124+(1-EXP(-LN(2)/25))/(LN(2)/25)*Calculateur!CG125*Calculateur!CI125*VLOOKUP('Données projet'!$B$12,Paramètres!$A$1:$I$89,3,0)*0.475*44/12</f>
        <v>15.434517524961743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28.728214881433985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3.8301282051282044</v>
      </c>
      <c r="CT125" s="12">
        <f>IF('Données projet'!$A$140&gt;35,CT124+CS125-DB124,IF(A125&lt;'Données projet'!$A$140,$CQ$205^A125,IF(A125='Données projet'!$A$140,'Données projet'!$B$140,CT124+CS125-DB124)))</f>
        <v>218.80448717948767</v>
      </c>
      <c r="CU125" s="17">
        <f>CT125*VLOOKUP('Données projet'!$B$13,Paramètres!$A$1:$I$89,3,0)*VLOOKUP('Données projet'!$B$13,Paramètres!$A$1:$I$89,5,0)</f>
        <v>197.97430000000043</v>
      </c>
      <c r="CV125" s="13">
        <f t="shared" si="95"/>
        <v>49.298716754178493</v>
      </c>
      <c r="CW125" s="20">
        <f t="shared" si="67"/>
        <v>430.66717084686161</v>
      </c>
      <c r="CX125" s="59">
        <f t="shared" si="68"/>
        <v>724.00050418019487</v>
      </c>
      <c r="CY125" s="59">
        <f ca="1">AVERAGE(OFFSET($CX$3,0,0,'Données projet'!$E$13+1,1))-AVERAGE(OFFSET($H$3,0,0,'Données projet'!$E$13+1,1))</f>
        <v>280.25710840677186</v>
      </c>
      <c r="CZ125" s="59">
        <f t="shared" si="96"/>
        <v>209.65224013288037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101.23442869170525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101.23442869170525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243</v>
      </c>
      <c r="DP125" s="17">
        <f>DO125*VLOOKUP('Données projet'!$B$14,Paramètres!$A$1:$I$89,3,0)*VLOOKUP('Données projet'!$B$14,Paramètres!$A$1:$I$89,5,0)</f>
        <v>253.98360000000002</v>
      </c>
      <c r="DQ125" s="13">
        <f t="shared" si="97"/>
        <v>61.438182405444294</v>
      </c>
      <c r="DR125" s="20">
        <f t="shared" si="70"/>
        <v>549.35960435614891</v>
      </c>
      <c r="DS125" s="59">
        <f t="shared" si="71"/>
        <v>842.69293768948228</v>
      </c>
      <c r="DT125" s="59">
        <f ca="1">AVERAGE(OFFSET($DS$3,0,0,'Données projet'!$E$14+1,1))-AVERAGE(OFFSET($H$3,0,0,'Données projet'!$E$14+1,1))</f>
        <v>330.14201227773452</v>
      </c>
      <c r="DU125" s="59">
        <f t="shared" si="98"/>
        <v>307.07297894926467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21.089846475504508</v>
      </c>
      <c r="EB125" s="21">
        <f>EXP(-LN(2)/25)*EB124+(1-EXP(-LN(2)/25))/(LN(2)/25)*Calculateur!DW125*Calculateur!DY125*VLOOKUP('Données projet'!$B$14,Paramètres!$A$1:$I$89,3,0)*0.475*44/12</f>
        <v>9.6803396148736258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30.770186090378132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236.00000000000009</v>
      </c>
      <c r="EK125" s="17">
        <f>EJ125*VLOOKUP('Données projet'!$B$15,Paramètres!$A$1:$I$89,3,0)*VLOOKUP('Données projet'!$B$15,Paramètres!$A$1:$I$89,5,0)</f>
        <v>154.62720000000004</v>
      </c>
      <c r="EL125" s="13">
        <f t="shared" si="99"/>
        <v>39.62826685000794</v>
      </c>
      <c r="EM125" s="20">
        <f t="shared" si="73"/>
        <v>338.32827143043056</v>
      </c>
      <c r="EN125" s="59">
        <f t="shared" si="74"/>
        <v>631.66160476376388</v>
      </c>
      <c r="EO125" s="59">
        <f ca="1">AVERAGE(OFFSET($EN$3,0,0,'Données projet'!$E$15+1,1))-AVERAGE(OFFSET($H$3,0,0,'Données projet'!$E$15+1,1))</f>
        <v>183.30081488041924</v>
      </c>
      <c r="EP125" s="59">
        <f t="shared" si="100"/>
        <v>199.33099759570928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1.9793355670399286</v>
      </c>
      <c r="EW125" s="21">
        <f>EXP(-LN(2)/25)*EW124+(1-EXP(-LN(2)/25))/(LN(2)/25)*Calculateur!ER125*Calculateur!ET125*VLOOKUP('Données projet'!$B$15,Paramètres!$A$1:$I$89,3,0)*0.475*44/12</f>
        <v>5.7332923209658953</v>
      </c>
      <c r="EX125" s="21">
        <f>EXP(-LN(2)/2)*EX124+(1-EXP(-LN(2)/2))/(LN(2)/2)*ER125*EU125*VLOOKUP('Données projet'!$B$15,Paramètres!$A$1:$I$89,3,0)*0.475*44/12</f>
        <v>3.2704189903690501E-5</v>
      </c>
      <c r="EY125" s="22">
        <f t="shared" si="75"/>
        <v>7.7126605921957276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1.5961632016114892E-13</v>
      </c>
      <c r="P126" s="13">
        <f t="shared" si="87"/>
        <v>2.2708641912150958E-12</v>
      </c>
      <c r="Q126" s="20">
        <f t="shared" si="107"/>
        <v>4.2330868906469593E-12</v>
      </c>
      <c r="R126" s="59">
        <f t="shared" si="55"/>
        <v>293.33333333333752</v>
      </c>
      <c r="S126" s="59">
        <f ca="1">AVERAGE(OFFSET($R$3,0,0,'Données projet'!$E$9+1,1))-AVERAGE(OFFSET($H$3,0,0,'Données projet'!$E$9+1,1))</f>
        <v>205.73717397588365</v>
      </c>
      <c r="T126" s="59">
        <f t="shared" si="88"/>
        <v>190.64998698136026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122.67910863854679</v>
      </c>
      <c r="AA126" s="21">
        <f>EXP(-LN(2)/25)*AA125+(1-EXP(-LN(2)/25))/(LN(2)/25)*Calculateur!V126*Calculateur!X126*VLOOKUP('Données projet'!$B$9,Paramètres!$A$1:$I$89,3,0)*0.475*44/12</f>
        <v>26.664438803168782</v>
      </c>
      <c r="AB126" s="21">
        <f>EXP(-LN(2)/2)*AB125+(1-EXP(-LN(2)/2))/(LN(2)/2)*V126*Y126*VLOOKUP('Données projet'!$B$9,Paramètres!$A$1:$I$89,3,0)*0.475*44/12</f>
        <v>4.3333283679985457E-2</v>
      </c>
      <c r="AC126" s="22">
        <f t="shared" si="57"/>
        <v>149.38688072539557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283.73369613548124</v>
      </c>
      <c r="AO126" s="59">
        <f t="shared" si="90"/>
        <v>249.77804091581208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-6.3550942286383367E-14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278.5296012747549</v>
      </c>
      <c r="BJ126" s="59">
        <f t="shared" si="92"/>
        <v>370.55343097937077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58.953693059833341</v>
      </c>
      <c r="BQ126" s="21">
        <f>EXP(-LN(2)/25)*BQ125+(1-EXP(-LN(2)/25))/(LN(2)/25)*Calculateur!BL126*Calculateur!BN126*VLOOKUP('Données projet'!$B$11,Paramètres!$A$1:$I$89,3,0)*0.475*44/12</f>
        <v>8.7433688536582252</v>
      </c>
      <c r="BR126" s="21">
        <f>EXP(-LN(2)/2)*BR125+(1-EXP(-LN(2)/2))/(LN(2)/2)*BL126*BO126*VLOOKUP('Données projet'!$B$11,Paramètres!$A$1:$I$89,3,0)*0.475*44/12</f>
        <v>1.9884495998332552E-9</v>
      </c>
      <c r="BS126" s="22">
        <f t="shared" si="63"/>
        <v>67.69706191548002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-3.1036506698001178E-14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159.92263609041913</v>
      </c>
      <c r="CE126" s="59">
        <f t="shared" si="94"/>
        <v>271.78119133009307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13.033016059666576</v>
      </c>
      <c r="CL126" s="21">
        <f>EXP(-LN(2)/25)*CL125+(1-EXP(-LN(2)/25))/(LN(2)/25)*Calculateur!CG126*Calculateur!CI126*VLOOKUP('Données projet'!$B$12,Paramètres!$A$1:$I$89,3,0)*0.475*44/12</f>
        <v>15.012459831575663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28.045475891242241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222.63461538461539</v>
      </c>
      <c r="CR126" s="12">
        <f>VLOOKUP(A126,'Données projet'!$A$139:$I$159,9,0)</f>
        <v>3.8301282051282044</v>
      </c>
      <c r="CS126" s="12">
        <f t="array" ref="CS126">INDEX(CR:CR,MIN(IF(ISNUMBER(CR126:CR322),ROW(CR126:CR322),"")))</f>
        <v>3.8301282051282044</v>
      </c>
      <c r="CT126" s="12">
        <f>IF('Données projet'!$A$140&gt;35,CT125+CS126-DB125,IF(A126&lt;'Données projet'!$A$140,$CQ$205^A126,IF(A126='Données projet'!$A$140,'Données projet'!$B$140,CT125+CS126-DB125)))</f>
        <v>222.63461538461587</v>
      </c>
      <c r="CU126" s="17">
        <f>CT126*VLOOKUP('Données projet'!$B$13,Paramètres!$A$1:$I$89,3,0)*VLOOKUP('Données projet'!$B$13,Paramètres!$A$1:$I$89,5,0)</f>
        <v>201.43980000000045</v>
      </c>
      <c r="CV126" s="13">
        <f t="shared" si="95"/>
        <v>50.06045996470462</v>
      </c>
      <c r="CW126" s="20">
        <f t="shared" si="67"/>
        <v>438.02961943852802</v>
      </c>
      <c r="CX126" s="59">
        <f t="shared" si="68"/>
        <v>731.36295277186127</v>
      </c>
      <c r="CY126" s="59">
        <f ca="1">AVERAGE(OFFSET($CX$3,0,0,'Données projet'!$E$13+1,1))-AVERAGE(OFFSET($H$3,0,0,'Données projet'!$E$13+1,1))</f>
        <v>280.25710840677186</v>
      </c>
      <c r="CZ126" s="59">
        <f t="shared" si="96"/>
        <v>209.65224013288037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77.17307692307692</v>
      </c>
      <c r="DC126" s="16">
        <f>IF(ISNA(VLOOKUP(A126,'Données projet'!$A$139:$I$159,5,0)),0%,VLOOKUP(A126,'Données projet'!$A$139:$I$159,5,0)*VLOOKUP('Données projet'!$B$13,Paramètres!$A$1:$I$89,7,0))</f>
        <v>0.38700000000000001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129.12212127250342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129.12212127250342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243</v>
      </c>
      <c r="DP126" s="17">
        <f>DO126*VLOOKUP('Données projet'!$B$14,Paramètres!$A$1:$I$89,3,0)*VLOOKUP('Données projet'!$B$14,Paramètres!$A$1:$I$89,5,0)</f>
        <v>253.98360000000002</v>
      </c>
      <c r="DQ126" s="13">
        <f t="shared" si="97"/>
        <v>61.438182405444294</v>
      </c>
      <c r="DR126" s="20">
        <f t="shared" si="70"/>
        <v>549.35960435614891</v>
      </c>
      <c r="DS126" s="59">
        <f t="shared" si="71"/>
        <v>842.69293768948228</v>
      </c>
      <c r="DT126" s="59">
        <f ca="1">AVERAGE(OFFSET($DS$3,0,0,'Données projet'!$E$14+1,1))-AVERAGE(OFFSET($H$3,0,0,'Données projet'!$E$14+1,1))</f>
        <v>330.14201227773452</v>
      </c>
      <c r="DU126" s="59">
        <f t="shared" si="98"/>
        <v>307.07297894926467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20.676287449656048</v>
      </c>
      <c r="EB126" s="21">
        <f>EXP(-LN(2)/25)*EB125+(1-EXP(-LN(2)/25))/(LN(2)/25)*Calculateur!DW126*Calculateur!DY126*VLOOKUP('Données projet'!$B$14,Paramètres!$A$1:$I$89,3,0)*0.475*44/12</f>
        <v>9.4156302190379701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30.091917668694016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236.00000000000009</v>
      </c>
      <c r="EK126" s="17">
        <f>EJ126*VLOOKUP('Données projet'!$B$15,Paramètres!$A$1:$I$89,3,0)*VLOOKUP('Données projet'!$B$15,Paramètres!$A$1:$I$89,5,0)</f>
        <v>154.62720000000004</v>
      </c>
      <c r="EL126" s="13">
        <f t="shared" si="99"/>
        <v>39.62826685000794</v>
      </c>
      <c r="EM126" s="20">
        <f t="shared" si="73"/>
        <v>338.32827143043056</v>
      </c>
      <c r="EN126" s="59">
        <f t="shared" si="74"/>
        <v>631.66160476376388</v>
      </c>
      <c r="EO126" s="59">
        <f ca="1">AVERAGE(OFFSET($EN$3,0,0,'Données projet'!$E$15+1,1))-AVERAGE(OFFSET($H$3,0,0,'Données projet'!$E$15+1,1))</f>
        <v>183.30081488041924</v>
      </c>
      <c r="EP126" s="59">
        <f t="shared" si="100"/>
        <v>199.33099759570928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1.9405220038457629</v>
      </c>
      <c r="EW126" s="21">
        <f>EXP(-LN(2)/25)*EW125+(1-EXP(-LN(2)/25))/(LN(2)/25)*Calculateur!ER126*Calculateur!ET126*VLOOKUP('Données projet'!$B$15,Paramètres!$A$1:$I$89,3,0)*0.475*44/12</f>
        <v>5.5765151409483433</v>
      </c>
      <c r="EX126" s="21">
        <f>EXP(-LN(2)/2)*EX125+(1-EXP(-LN(2)/2))/(LN(2)/2)*ER126*EU126*VLOOKUP('Données projet'!$B$15,Paramètres!$A$1:$I$89,3,0)*0.475*44/12</f>
        <v>2.3125354454112176E-5</v>
      </c>
      <c r="EY126" s="22">
        <f t="shared" si="75"/>
        <v>7.5170602701485603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1.5961632016114892E-13</v>
      </c>
      <c r="P127" s="13">
        <f t="shared" si="87"/>
        <v>2.2708641912150958E-12</v>
      </c>
      <c r="Q127" s="20">
        <f t="shared" si="107"/>
        <v>4.2330868906469593E-12</v>
      </c>
      <c r="R127" s="59">
        <f t="shared" si="55"/>
        <v>293.33333333333752</v>
      </c>
      <c r="S127" s="59">
        <f ca="1">AVERAGE(OFFSET($R$3,0,0,'Données projet'!$E$9+1,1))-AVERAGE(OFFSET($H$3,0,0,'Données projet'!$E$9+1,1))</f>
        <v>205.73717397588365</v>
      </c>
      <c r="T127" s="59">
        <f t="shared" si="88"/>
        <v>190.64998698136026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120.27344614501263</v>
      </c>
      <c r="AA127" s="21">
        <f>EXP(-LN(2)/25)*AA126+(1-EXP(-LN(2)/25))/(LN(2)/25)*Calculateur!V127*Calculateur!X127*VLOOKUP('Données projet'!$B$9,Paramètres!$A$1:$I$89,3,0)*0.475*44/12</f>
        <v>25.935298321874239</v>
      </c>
      <c r="AB127" s="21">
        <f>EXP(-LN(2)/2)*AB126+(1-EXP(-LN(2)/2))/(LN(2)/2)*V127*Y127*VLOOKUP('Données projet'!$B$9,Paramètres!$A$1:$I$89,3,0)*0.475*44/12</f>
        <v>3.0641258741198069E-2</v>
      </c>
      <c r="AC127" s="22">
        <f t="shared" si="57"/>
        <v>146.23938572562804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283.73369613548124</v>
      </c>
      <c r="AO127" s="59">
        <f t="shared" si="90"/>
        <v>249.77804091581208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-6.3550942286383367E-14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278.5296012747549</v>
      </c>
      <c r="BJ127" s="59">
        <f t="shared" si="92"/>
        <v>370.55343097937077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57.797647097132199</v>
      </c>
      <c r="BQ127" s="21">
        <f>EXP(-LN(2)/25)*BQ126+(1-EXP(-LN(2)/25))/(LN(2)/25)*Calculateur!BL127*Calculateur!BN127*VLOOKUP('Données projet'!$B$11,Paramètres!$A$1:$I$89,3,0)*0.475*44/12</f>
        <v>8.5042809725611566</v>
      </c>
      <c r="BR127" s="21">
        <f>EXP(-LN(2)/2)*BR126+(1-EXP(-LN(2)/2))/(LN(2)/2)*BL127*BO127*VLOOKUP('Données projet'!$B$11,Paramètres!$A$1:$I$89,3,0)*0.475*44/12</f>
        <v>1.4060461960897716E-9</v>
      </c>
      <c r="BS127" s="22">
        <f t="shared" si="63"/>
        <v>66.301928071099411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-3.1036506698001178E-14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159.92263609041913</v>
      </c>
      <c r="CE127" s="59">
        <f t="shared" si="94"/>
        <v>271.78119133009307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12.777446564091377</v>
      </c>
      <c r="CL127" s="21">
        <f>EXP(-LN(2)/25)*CL126+(1-EXP(-LN(2)/25))/(LN(2)/25)*Calculateur!CG127*Calculateur!CI127*VLOOKUP('Données projet'!$B$12,Paramètres!$A$1:$I$89,3,0)*0.475*44/12</f>
        <v>14.601943328010275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27.379389892101653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2.3349358974358978</v>
      </c>
      <c r="CT127" s="12">
        <f>IF('Données projet'!$A$140&gt;35,CT126+CS127-DB126,IF(A127&lt;'Données projet'!$A$140,$CQ$205^A127,IF(A127='Données projet'!$A$140,'Données projet'!$B$140,CT126+CS127-DB126)))</f>
        <v>147.79647435897488</v>
      </c>
      <c r="CU127" s="17">
        <f>CT127*VLOOKUP('Données projet'!$B$13,Paramètres!$A$1:$I$89,3,0)*VLOOKUP('Données projet'!$B$13,Paramètres!$A$1:$I$89,5,0)</f>
        <v>133.72625000000048</v>
      </c>
      <c r="CV127" s="13">
        <f t="shared" si="95"/>
        <v>34.855965018185749</v>
      </c>
      <c r="CW127" s="20">
        <f t="shared" si="67"/>
        <v>293.61402449000764</v>
      </c>
      <c r="CX127" s="59">
        <f t="shared" si="68"/>
        <v>586.94735782334101</v>
      </c>
      <c r="CY127" s="59">
        <f ca="1">AVERAGE(OFFSET($CX$3,0,0,'Données projet'!$E$13+1,1))-AVERAGE(OFFSET($H$3,0,0,'Données projet'!$E$13+1,1))</f>
        <v>280.25710840677186</v>
      </c>
      <c r="CZ127" s="59">
        <f t="shared" si="96"/>
        <v>209.65224013288037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126.59011523106703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126.59011523106703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243</v>
      </c>
      <c r="DP127" s="17">
        <f>DO127*VLOOKUP('Données projet'!$B$14,Paramètres!$A$1:$I$89,3,0)*VLOOKUP('Données projet'!$B$14,Paramètres!$A$1:$I$89,5,0)</f>
        <v>253.98360000000002</v>
      </c>
      <c r="DQ127" s="13">
        <f t="shared" si="97"/>
        <v>61.438182405444294</v>
      </c>
      <c r="DR127" s="20">
        <f t="shared" si="70"/>
        <v>549.35960435614891</v>
      </c>
      <c r="DS127" s="59">
        <f t="shared" si="71"/>
        <v>842.69293768948228</v>
      </c>
      <c r="DT127" s="59">
        <f ca="1">AVERAGE(OFFSET($DS$3,0,0,'Données projet'!$E$14+1,1))-AVERAGE(OFFSET($H$3,0,0,'Données projet'!$E$14+1,1))</f>
        <v>330.14201227773452</v>
      </c>
      <c r="DU127" s="59">
        <f t="shared" si="98"/>
        <v>307.07297894926467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20.270838064058374</v>
      </c>
      <c r="EB127" s="21">
        <f>EXP(-LN(2)/25)*EB126+(1-EXP(-LN(2)/25))/(LN(2)/25)*Calculateur!DW127*Calculateur!DY127*VLOOKUP('Données projet'!$B$14,Paramètres!$A$1:$I$89,3,0)*0.475*44/12</f>
        <v>9.1581593155519041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29.42899737961028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236.00000000000009</v>
      </c>
      <c r="EK127" s="17">
        <f>EJ127*VLOOKUP('Données projet'!$B$15,Paramètres!$A$1:$I$89,3,0)*VLOOKUP('Données projet'!$B$15,Paramètres!$A$1:$I$89,5,0)</f>
        <v>154.62720000000004</v>
      </c>
      <c r="EL127" s="13">
        <f t="shared" si="99"/>
        <v>39.62826685000794</v>
      </c>
      <c r="EM127" s="20">
        <f t="shared" si="73"/>
        <v>338.32827143043056</v>
      </c>
      <c r="EN127" s="59">
        <f t="shared" si="74"/>
        <v>631.66160476376388</v>
      </c>
      <c r="EO127" s="59">
        <f ca="1">AVERAGE(OFFSET($EN$3,0,0,'Données projet'!$E$15+1,1))-AVERAGE(OFFSET($H$3,0,0,'Données projet'!$E$15+1,1))</f>
        <v>183.30081488041924</v>
      </c>
      <c r="EP127" s="59">
        <f t="shared" si="100"/>
        <v>199.33099759570928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1.902469550951899</v>
      </c>
      <c r="EW127" s="21">
        <f>EXP(-LN(2)/25)*EW126+(1-EXP(-LN(2)/25))/(LN(2)/25)*Calculateur!ER127*Calculateur!ET127*VLOOKUP('Données projet'!$B$15,Paramètres!$A$1:$I$89,3,0)*0.475*44/12</f>
        <v>5.4240250411629249</v>
      </c>
      <c r="EX127" s="21">
        <f>EXP(-LN(2)/2)*EX126+(1-EXP(-LN(2)/2))/(LN(2)/2)*ER127*EU127*VLOOKUP('Données projet'!$B$15,Paramètres!$A$1:$I$89,3,0)*0.475*44/12</f>
        <v>1.635209495184525E-5</v>
      </c>
      <c r="EY127" s="22">
        <f t="shared" si="75"/>
        <v>7.326510944209776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1.5961632016114892E-13</v>
      </c>
      <c r="P128" s="13">
        <f t="shared" si="87"/>
        <v>2.2708641912150958E-12</v>
      </c>
      <c r="Q128" s="20">
        <f t="shared" si="107"/>
        <v>4.2330868906469593E-12</v>
      </c>
      <c r="R128" s="59">
        <f t="shared" si="55"/>
        <v>293.33333333333752</v>
      </c>
      <c r="S128" s="59">
        <f ca="1">AVERAGE(OFFSET($R$3,0,0,'Données projet'!$E$9+1,1))-AVERAGE(OFFSET($H$3,0,0,'Données projet'!$E$9+1,1))</f>
        <v>205.73717397588365</v>
      </c>
      <c r="T128" s="59">
        <f t="shared" si="88"/>
        <v>190.64998698136026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117.91495722566742</v>
      </c>
      <c r="AA128" s="21">
        <f>EXP(-LN(2)/25)*AA127+(1-EXP(-LN(2)/25))/(LN(2)/25)*Calculateur!V128*Calculateur!X128*VLOOKUP('Données projet'!$B$9,Paramètres!$A$1:$I$89,3,0)*0.475*44/12</f>
        <v>25.226096225384524</v>
      </c>
      <c r="AB128" s="21">
        <f>EXP(-LN(2)/2)*AB127+(1-EXP(-LN(2)/2))/(LN(2)/2)*V128*Y128*VLOOKUP('Données projet'!$B$9,Paramètres!$A$1:$I$89,3,0)*0.475*44/12</f>
        <v>2.1666641839992732E-2</v>
      </c>
      <c r="AC128" s="22">
        <f t="shared" si="57"/>
        <v>143.16272009289196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283.73369613548124</v>
      </c>
      <c r="AO128" s="59">
        <f t="shared" si="90"/>
        <v>249.77804091581208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-6.3550942286383367E-14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278.5296012747549</v>
      </c>
      <c r="BJ128" s="59">
        <f t="shared" si="92"/>
        <v>370.55343097937077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56.664270490641215</v>
      </c>
      <c r="BQ128" s="21">
        <f>EXP(-LN(2)/25)*BQ127+(1-EXP(-LN(2)/25))/(LN(2)/25)*Calculateur!BL128*Calculateur!BN128*VLOOKUP('Données projet'!$B$11,Paramètres!$A$1:$I$89,3,0)*0.475*44/12</f>
        <v>8.2717309621457726</v>
      </c>
      <c r="BR128" s="21">
        <f>EXP(-LN(2)/2)*BR127+(1-EXP(-LN(2)/2))/(LN(2)/2)*BL128*BO128*VLOOKUP('Données projet'!$B$11,Paramètres!$A$1:$I$89,3,0)*0.475*44/12</f>
        <v>9.9422479991662762E-10</v>
      </c>
      <c r="BS128" s="22">
        <f t="shared" si="63"/>
        <v>64.936001453781202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-3.1036506698001178E-14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159.92263609041913</v>
      </c>
      <c r="CE128" s="59">
        <f t="shared" si="94"/>
        <v>271.78119133009307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12.526888630442409</v>
      </c>
      <c r="CL128" s="21">
        <f>EXP(-LN(2)/25)*CL127+(1-EXP(-LN(2)/25))/(LN(2)/25)*Calculateur!CG128*Calculateur!CI128*VLOOKUP('Données projet'!$B$12,Paramètres!$A$1:$I$89,3,0)*0.475*44/12</f>
        <v>14.202652419823007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26.729541050265418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2.3349358974358978</v>
      </c>
      <c r="CT128" s="12">
        <f>IF('Données projet'!$A$140&gt;35,CT127+CS128-DB127,IF(A128&lt;'Données projet'!$A$140,$CQ$205^A128,IF(A128='Données projet'!$A$140,'Données projet'!$B$140,CT127+CS128-DB127)))</f>
        <v>150.13141025641079</v>
      </c>
      <c r="CU128" s="17">
        <f>CT128*VLOOKUP('Données projet'!$B$13,Paramètres!$A$1:$I$89,3,0)*VLOOKUP('Données projet'!$B$13,Paramètres!$A$1:$I$89,5,0)</f>
        <v>135.83890000000048</v>
      </c>
      <c r="CV128" s="13">
        <f t="shared" si="95"/>
        <v>35.342088427890417</v>
      </c>
      <c r="CW128" s="20">
        <f t="shared" si="67"/>
        <v>298.14022151190994</v>
      </c>
      <c r="CX128" s="59">
        <f t="shared" si="68"/>
        <v>591.47355484524326</v>
      </c>
      <c r="CY128" s="59">
        <f ca="1">AVERAGE(OFFSET($CX$3,0,0,'Données projet'!$E$13+1,1))-AVERAGE(OFFSET($H$3,0,0,'Données projet'!$E$13+1,1))</f>
        <v>280.25710840677186</v>
      </c>
      <c r="CZ128" s="59">
        <f t="shared" si="96"/>
        <v>209.65224013288037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124.10776028373201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124.10776028373201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243</v>
      </c>
      <c r="DP128" s="17">
        <f>DO128*VLOOKUP('Données projet'!$B$14,Paramètres!$A$1:$I$89,3,0)*VLOOKUP('Données projet'!$B$14,Paramètres!$A$1:$I$89,5,0)</f>
        <v>253.98360000000002</v>
      </c>
      <c r="DQ128" s="13">
        <f t="shared" si="97"/>
        <v>61.438182405444294</v>
      </c>
      <c r="DR128" s="20">
        <f t="shared" si="70"/>
        <v>549.35960435614891</v>
      </c>
      <c r="DS128" s="59">
        <f t="shared" si="71"/>
        <v>842.69293768948228</v>
      </c>
      <c r="DT128" s="59">
        <f ca="1">AVERAGE(OFFSET($DS$3,0,0,'Données projet'!$E$14+1,1))-AVERAGE(OFFSET($H$3,0,0,'Données projet'!$E$14+1,1))</f>
        <v>330.14201227773452</v>
      </c>
      <c r="DU128" s="59">
        <f t="shared" si="98"/>
        <v>307.07297894926467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19.873339293612567</v>
      </c>
      <c r="EB128" s="21">
        <f>EXP(-LN(2)/25)*EB127+(1-EXP(-LN(2)/25))/(LN(2)/25)*Calculateur!DW128*Calculateur!DY128*VLOOKUP('Données projet'!$B$14,Paramètres!$A$1:$I$89,3,0)*0.475*44/12</f>
        <v>8.9077289674614697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28.781068261074036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236.00000000000009</v>
      </c>
      <c r="EK128" s="17">
        <f>EJ128*VLOOKUP('Données projet'!$B$15,Paramètres!$A$1:$I$89,3,0)*VLOOKUP('Données projet'!$B$15,Paramètres!$A$1:$I$89,5,0)</f>
        <v>154.62720000000004</v>
      </c>
      <c r="EL128" s="13">
        <f t="shared" si="99"/>
        <v>39.62826685000794</v>
      </c>
      <c r="EM128" s="20">
        <f t="shared" si="73"/>
        <v>338.32827143043056</v>
      </c>
      <c r="EN128" s="59">
        <f t="shared" si="74"/>
        <v>631.66160476376388</v>
      </c>
      <c r="EO128" s="59">
        <f ca="1">AVERAGE(OFFSET($EN$3,0,0,'Données projet'!$E$15+1,1))-AVERAGE(OFFSET($H$3,0,0,'Données projet'!$E$15+1,1))</f>
        <v>183.30081488041924</v>
      </c>
      <c r="EP128" s="59">
        <f t="shared" si="100"/>
        <v>199.33099759570928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1.865163283449579</v>
      </c>
      <c r="EW128" s="21">
        <f>EXP(-LN(2)/25)*EW127+(1-EXP(-LN(2)/25))/(LN(2)/25)*Calculateur!ER128*Calculateur!ET128*VLOOKUP('Données projet'!$B$15,Paramètres!$A$1:$I$89,3,0)*0.475*44/12</f>
        <v>5.2757047911752446</v>
      </c>
      <c r="EX128" s="21">
        <f>EXP(-LN(2)/2)*EX127+(1-EXP(-LN(2)/2))/(LN(2)/2)*ER128*EU128*VLOOKUP('Données projet'!$B$15,Paramètres!$A$1:$I$89,3,0)*0.475*44/12</f>
        <v>1.1562677227056088E-5</v>
      </c>
      <c r="EY128" s="22">
        <f t="shared" si="75"/>
        <v>7.1408796373020511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1.5961632016114892E-13</v>
      </c>
      <c r="P129" s="13">
        <f t="shared" si="87"/>
        <v>2.2708641912150958E-12</v>
      </c>
      <c r="Q129" s="20">
        <f t="shared" si="107"/>
        <v>4.2330868906469593E-12</v>
      </c>
      <c r="R129" s="59">
        <f t="shared" si="55"/>
        <v>293.33333333333752</v>
      </c>
      <c r="S129" s="59">
        <f ca="1">AVERAGE(OFFSET($R$3,0,0,'Données projet'!$E$9+1,1))-AVERAGE(OFFSET($H$3,0,0,'Données projet'!$E$9+1,1))</f>
        <v>205.73717397588365</v>
      </c>
      <c r="T129" s="59">
        <f t="shared" si="88"/>
        <v>190.64998698136026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115.60271683549438</v>
      </c>
      <c r="AA129" s="21">
        <f>EXP(-LN(2)/25)*AA128+(1-EXP(-LN(2)/25))/(LN(2)/25)*Calculateur!V129*Calculateur!X129*VLOOKUP('Données projet'!$B$9,Paramètres!$A$1:$I$89,3,0)*0.475*44/12</f>
        <v>24.536287297518637</v>
      </c>
      <c r="AB129" s="21">
        <f>EXP(-LN(2)/2)*AB128+(1-EXP(-LN(2)/2))/(LN(2)/2)*V129*Y129*VLOOKUP('Données projet'!$B$9,Paramètres!$A$1:$I$89,3,0)*0.475*44/12</f>
        <v>1.5320629370599036E-2</v>
      </c>
      <c r="AC129" s="22">
        <f t="shared" si="57"/>
        <v>140.1543247623836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283.73369613548124</v>
      </c>
      <c r="AO129" s="59">
        <f t="shared" si="90"/>
        <v>249.77804091581208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-6.3550942286383367E-14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278.5296012747549</v>
      </c>
      <c r="BJ129" s="59">
        <f t="shared" si="92"/>
        <v>370.55343097937077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55.553118708112045</v>
      </c>
      <c r="BQ129" s="21">
        <f>EXP(-LN(2)/25)*BQ128+(1-EXP(-LN(2)/25))/(LN(2)/25)*Calculateur!BL129*Calculateur!BN129*VLOOKUP('Données projet'!$B$11,Paramètres!$A$1:$I$89,3,0)*0.475*44/12</f>
        <v>8.0455400439944711</v>
      </c>
      <c r="BR129" s="21">
        <f>EXP(-LN(2)/2)*BR128+(1-EXP(-LN(2)/2))/(LN(2)/2)*BL129*BO129*VLOOKUP('Données projet'!$B$11,Paramètres!$A$1:$I$89,3,0)*0.475*44/12</f>
        <v>7.030230980448858E-10</v>
      </c>
      <c r="BS129" s="22">
        <f t="shared" si="63"/>
        <v>63.598658752809541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-3.1036506698001178E-14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159.92263609041913</v>
      </c>
      <c r="CE129" s="59">
        <f t="shared" si="94"/>
        <v>271.78119133009307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12.281243985047047</v>
      </c>
      <c r="CL129" s="21">
        <f>EXP(-LN(2)/25)*CL128+(1-EXP(-LN(2)/25))/(LN(2)/25)*Calculateur!CG129*Calculateur!CI129*VLOOKUP('Données projet'!$B$12,Paramètres!$A$1:$I$89,3,0)*0.475*44/12</f>
        <v>13.814280142517918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26.095524127564964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2.3349358974358978</v>
      </c>
      <c r="CT129" s="12">
        <f>IF('Données projet'!$A$140&gt;35,CT128+CS129-DB128,IF(A129&lt;'Données projet'!$A$140,$CQ$205^A129,IF(A129='Données projet'!$A$140,'Données projet'!$B$140,CT128+CS129-DB128)))</f>
        <v>152.4663461538467</v>
      </c>
      <c r="CU129" s="17">
        <f>CT129*VLOOKUP('Données projet'!$B$13,Paramètres!$A$1:$I$89,3,0)*VLOOKUP('Données projet'!$B$13,Paramètres!$A$1:$I$89,5,0)</f>
        <v>137.95155000000048</v>
      </c>
      <c r="CV129" s="13">
        <f t="shared" si="95"/>
        <v>35.827332555199952</v>
      </c>
      <c r="CW129" s="20">
        <f t="shared" si="67"/>
        <v>302.66488711697406</v>
      </c>
      <c r="CX129" s="59">
        <f t="shared" si="68"/>
        <v>595.99822045030737</v>
      </c>
      <c r="CY129" s="59">
        <f ca="1">AVERAGE(OFFSET($CX$3,0,0,'Données projet'!$E$13+1,1))-AVERAGE(OFFSET($H$3,0,0,'Données projet'!$E$13+1,1))</f>
        <v>280.25710840677186</v>
      </c>
      <c r="CZ129" s="59">
        <f t="shared" si="96"/>
        <v>209.65224013288037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121.67408280282721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121.67408280282721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243</v>
      </c>
      <c r="DP129" s="17">
        <f>DO129*VLOOKUP('Données projet'!$B$14,Paramètres!$A$1:$I$89,3,0)*VLOOKUP('Données projet'!$B$14,Paramètres!$A$1:$I$89,5,0)</f>
        <v>253.98360000000002</v>
      </c>
      <c r="DQ129" s="13">
        <f t="shared" si="97"/>
        <v>61.438182405444294</v>
      </c>
      <c r="DR129" s="20">
        <f t="shared" si="70"/>
        <v>549.35960435614891</v>
      </c>
      <c r="DS129" s="59">
        <f t="shared" si="71"/>
        <v>842.69293768948228</v>
      </c>
      <c r="DT129" s="59">
        <f ca="1">AVERAGE(OFFSET($DS$3,0,0,'Données projet'!$E$14+1,1))-AVERAGE(OFFSET($H$3,0,0,'Données projet'!$E$14+1,1))</f>
        <v>330.14201227773452</v>
      </c>
      <c r="DU129" s="59">
        <f t="shared" si="98"/>
        <v>307.07297894926467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19.48363523160489</v>
      </c>
      <c r="EB129" s="21">
        <f>EXP(-LN(2)/25)*EB128+(1-EXP(-LN(2)/25))/(LN(2)/25)*Calculateur!DW129*Calculateur!DY129*VLOOKUP('Données projet'!$B$14,Paramètres!$A$1:$I$89,3,0)*0.475*44/12</f>
        <v>8.664146650409128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28.147781882014016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236.00000000000009</v>
      </c>
      <c r="EK129" s="17">
        <f>EJ129*VLOOKUP('Données projet'!$B$15,Paramètres!$A$1:$I$89,3,0)*VLOOKUP('Données projet'!$B$15,Paramètres!$A$1:$I$89,5,0)</f>
        <v>154.62720000000004</v>
      </c>
      <c r="EL129" s="13">
        <f t="shared" si="99"/>
        <v>39.62826685000794</v>
      </c>
      <c r="EM129" s="20">
        <f t="shared" si="73"/>
        <v>338.32827143043056</v>
      </c>
      <c r="EN129" s="59">
        <f t="shared" si="74"/>
        <v>631.66160476376388</v>
      </c>
      <c r="EO129" s="59">
        <f ca="1">AVERAGE(OFFSET($EN$3,0,0,'Données projet'!$E$15+1,1))-AVERAGE(OFFSET($H$3,0,0,'Données projet'!$E$15+1,1))</f>
        <v>183.30081488041924</v>
      </c>
      <c r="EP129" s="59">
        <f t="shared" si="100"/>
        <v>199.33099759570928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1.8285885690984034</v>
      </c>
      <c r="EW129" s="21">
        <f>EXP(-LN(2)/25)*EW128+(1-EXP(-LN(2)/25))/(LN(2)/25)*Calculateur!ER129*Calculateur!ET129*VLOOKUP('Données projet'!$B$15,Paramètres!$A$1:$I$89,3,0)*0.475*44/12</f>
        <v>5.1314403662233001</v>
      </c>
      <c r="EX129" s="21">
        <f>EXP(-LN(2)/2)*EX128+(1-EXP(-LN(2)/2))/(LN(2)/2)*ER129*EU129*VLOOKUP('Données projet'!$B$15,Paramètres!$A$1:$I$89,3,0)*0.475*44/12</f>
        <v>8.1760474759226252E-6</v>
      </c>
      <c r="EY129" s="22">
        <f t="shared" si="75"/>
        <v>6.9600371113691795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1.5961632016114892E-13</v>
      </c>
      <c r="P130" s="13">
        <f t="shared" si="87"/>
        <v>2.2708641912150958E-12</v>
      </c>
      <c r="Q130" s="20">
        <f t="shared" si="107"/>
        <v>4.2330868906469593E-12</v>
      </c>
      <c r="R130" s="59">
        <f t="shared" si="55"/>
        <v>293.33333333333752</v>
      </c>
      <c r="S130" s="59">
        <f ca="1">AVERAGE(OFFSET($R$3,0,0,'Données projet'!$E$9+1,1))-AVERAGE(OFFSET($H$3,0,0,'Données projet'!$E$9+1,1))</f>
        <v>205.73717397588365</v>
      </c>
      <c r="T130" s="59">
        <f t="shared" si="88"/>
        <v>190.64998698136026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113.33581806904525</v>
      </c>
      <c r="AA130" s="21">
        <f>EXP(-LN(2)/25)*AA129+(1-EXP(-LN(2)/25))/(LN(2)/25)*Calculateur!V130*Calculateur!X130*VLOOKUP('Données projet'!$B$9,Paramètres!$A$1:$I$89,3,0)*0.475*44/12</f>
        <v>23.865341231060718</v>
      </c>
      <c r="AB130" s="21">
        <f>EXP(-LN(2)/2)*AB129+(1-EXP(-LN(2)/2))/(LN(2)/2)*V130*Y130*VLOOKUP('Données projet'!$B$9,Paramètres!$A$1:$I$89,3,0)*0.475*44/12</f>
        <v>1.0833320919996368E-2</v>
      </c>
      <c r="AC130" s="22">
        <f t="shared" si="57"/>
        <v>137.21199262102596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283.73369613548124</v>
      </c>
      <c r="AO130" s="59">
        <f t="shared" si="90"/>
        <v>249.77804091581208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-6.3550942286383367E-14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278.5296012747549</v>
      </c>
      <c r="BJ130" s="59">
        <f t="shared" si="92"/>
        <v>370.55343097937077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54.463755934302604</v>
      </c>
      <c r="BQ130" s="21">
        <f>EXP(-LN(2)/25)*BQ129+(1-EXP(-LN(2)/25))/(LN(2)/25)*Calculateur!BL130*Calculateur!BN130*VLOOKUP('Données projet'!$B$11,Paramètres!$A$1:$I$89,3,0)*0.475*44/12</f>
        <v>7.8255343283948795</v>
      </c>
      <c r="BR130" s="21">
        <f>EXP(-LN(2)/2)*BR129+(1-EXP(-LN(2)/2))/(LN(2)/2)*BL130*BO130*VLOOKUP('Données projet'!$B$11,Paramètres!$A$1:$I$89,3,0)*0.475*44/12</f>
        <v>4.9711239995831381E-10</v>
      </c>
      <c r="BS130" s="22">
        <f t="shared" si="63"/>
        <v>62.289290263194594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-3.1036506698001178E-14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159.92263609041913</v>
      </c>
      <c r="CE130" s="59">
        <f t="shared" si="94"/>
        <v>271.78119133009307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12.040416281319448</v>
      </c>
      <c r="CL130" s="21">
        <f>EXP(-LN(2)/25)*CL129+(1-EXP(-LN(2)/25))/(LN(2)/25)*Calculateur!CG130*Calculateur!CI130*VLOOKUP('Données projet'!$B$12,Paramètres!$A$1:$I$89,3,0)*0.475*44/12</f>
        <v>13.436527925559345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25.476944206878791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154.80128205128204</v>
      </c>
      <c r="CR130" s="12">
        <f>VLOOKUP(A130,'Données projet'!$A$139:$I$159,9,0)</f>
        <v>2.3349358974358978</v>
      </c>
      <c r="CS130" s="12">
        <f t="array" ref="CS130">INDEX(CR:CR,MIN(IF(ISNUMBER(CR130:CR326),ROW(CR130:CR326),"")))</f>
        <v>2.3349358974358978</v>
      </c>
      <c r="CT130" s="12">
        <f>IF('Données projet'!$A$140&gt;35,CT129+CS130-DB129,IF(A130&lt;'Données projet'!$A$140,$CQ$205^A130,IF(A130='Données projet'!$A$140,'Données projet'!$B$140,CT129+CS130-DB129)))</f>
        <v>154.80128205128261</v>
      </c>
      <c r="CU130" s="17">
        <f>CT130*VLOOKUP('Données projet'!$B$13,Paramètres!$A$1:$I$89,3,0)*VLOOKUP('Données projet'!$B$13,Paramètres!$A$1:$I$89,5,0)</f>
        <v>140.06420000000051</v>
      </c>
      <c r="CV130" s="13">
        <f t="shared" si="95"/>
        <v>36.311712421027522</v>
      </c>
      <c r="CW130" s="20">
        <f t="shared" si="67"/>
        <v>307.1880474666238</v>
      </c>
      <c r="CX130" s="59">
        <f t="shared" si="68"/>
        <v>600.52138079995711</v>
      </c>
      <c r="CY130" s="59">
        <f ca="1">AVERAGE(OFFSET($CX$3,0,0,'Données projet'!$E$13+1,1))-AVERAGE(OFFSET($H$3,0,0,'Données projet'!$E$13+1,1))</f>
        <v>280.25710840677186</v>
      </c>
      <c r="CZ130" s="59">
        <f t="shared" si="96"/>
        <v>209.65224013288037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49.916666666666671</v>
      </c>
      <c r="DC130" s="16">
        <f>IF(ISNA(VLOOKUP(A130,'Données projet'!$A$139:$I$159,5,0)),0%,VLOOKUP(A130,'Données projet'!$A$139:$I$159,5,0)*VLOOKUP('Données projet'!$B$13,Paramètres!$A$1:$I$89,7,0))</f>
        <v>0.38700000000000001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138.61031359676292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138.61031359676292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243</v>
      </c>
      <c r="DP130" s="17">
        <f>DO130*VLOOKUP('Données projet'!$B$14,Paramètres!$A$1:$I$89,3,0)*VLOOKUP('Données projet'!$B$14,Paramètres!$A$1:$I$89,5,0)</f>
        <v>253.98360000000002</v>
      </c>
      <c r="DQ130" s="13">
        <f t="shared" si="97"/>
        <v>61.438182405444294</v>
      </c>
      <c r="DR130" s="20">
        <f t="shared" si="70"/>
        <v>549.35960435614891</v>
      </c>
      <c r="DS130" s="59">
        <f t="shared" si="71"/>
        <v>842.69293768948228</v>
      </c>
      <c r="DT130" s="59">
        <f ca="1">AVERAGE(OFFSET($DS$3,0,0,'Données projet'!$E$14+1,1))-AVERAGE(OFFSET($H$3,0,0,'Données projet'!$E$14+1,1))</f>
        <v>330.14201227773452</v>
      </c>
      <c r="DU130" s="59">
        <f t="shared" si="98"/>
        <v>307.07297894926467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19.101573028557176</v>
      </c>
      <c r="EB130" s="21">
        <f>EXP(-LN(2)/25)*EB129+(1-EXP(-LN(2)/25))/(LN(2)/25)*Calculateur!DW130*Calculateur!DY130*VLOOKUP('Données projet'!$B$14,Paramètres!$A$1:$I$89,3,0)*0.475*44/12</f>
        <v>8.4272251046260198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27.528798133183194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236.00000000000009</v>
      </c>
      <c r="EK130" s="17">
        <f>EJ130*VLOOKUP('Données projet'!$B$15,Paramètres!$A$1:$I$89,3,0)*VLOOKUP('Données projet'!$B$15,Paramètres!$A$1:$I$89,5,0)</f>
        <v>154.62720000000004</v>
      </c>
      <c r="EL130" s="13">
        <f t="shared" si="99"/>
        <v>39.62826685000794</v>
      </c>
      <c r="EM130" s="20">
        <f t="shared" si="73"/>
        <v>338.32827143043056</v>
      </c>
      <c r="EN130" s="59">
        <f t="shared" si="74"/>
        <v>631.66160476376388</v>
      </c>
      <c r="EO130" s="59">
        <f ca="1">AVERAGE(OFFSET($EN$3,0,0,'Données projet'!$E$15+1,1))-AVERAGE(OFFSET($H$3,0,0,'Données projet'!$E$15+1,1))</f>
        <v>183.30081488041924</v>
      </c>
      <c r="EP130" s="59">
        <f t="shared" si="100"/>
        <v>199.33099759570928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1.7927310625872812</v>
      </c>
      <c r="EW130" s="21">
        <f>EXP(-LN(2)/25)*EW129+(1-EXP(-LN(2)/25))/(LN(2)/25)*Calculateur!ER130*Calculateur!ET130*VLOOKUP('Données projet'!$B$15,Paramètres!$A$1:$I$89,3,0)*0.475*44/12</f>
        <v>4.9911208595582028</v>
      </c>
      <c r="EX130" s="21">
        <f>EXP(-LN(2)/2)*EX129+(1-EXP(-LN(2)/2))/(LN(2)/2)*ER130*EU130*VLOOKUP('Données projet'!$B$15,Paramètres!$A$1:$I$89,3,0)*0.475*44/12</f>
        <v>5.781338613528044E-6</v>
      </c>
      <c r="EY130" s="22">
        <f t="shared" si="75"/>
        <v>6.783857703484097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1.5961632016114892E-13</v>
      </c>
      <c r="P131" s="13">
        <f t="shared" si="87"/>
        <v>2.2708641912150958E-12</v>
      </c>
      <c r="Q131" s="20">
        <f t="shared" ref="Q131:Q153" si="108">(O131+P131)*0.475*44/12</f>
        <v>4.2330868906469593E-12</v>
      </c>
      <c r="R131" s="59">
        <f t="shared" ref="R131:R194" si="109">Q131+(I131+J131)*44/12</f>
        <v>293.33333333333752</v>
      </c>
      <c r="S131" s="59">
        <f ca="1">AVERAGE(OFFSET($R$3,0,0,'Données projet'!$E$9+1,1))-AVERAGE(OFFSET($H$3,0,0,'Données projet'!$E$9+1,1))</f>
        <v>205.73717397588365</v>
      </c>
      <c r="T131" s="59">
        <f t="shared" si="88"/>
        <v>190.64998698136026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111.11337180473447</v>
      </c>
      <c r="AA131" s="21">
        <f>EXP(-LN(2)/25)*AA130+(1-EXP(-LN(2)/25))/(LN(2)/25)*Calculateur!V131*Calculateur!X131*VLOOKUP('Données projet'!$B$9,Paramètres!$A$1:$I$89,3,0)*0.475*44/12</f>
        <v>23.212742220073611</v>
      </c>
      <c r="AB131" s="21">
        <f>EXP(-LN(2)/2)*AB130+(1-EXP(-LN(2)/2))/(LN(2)/2)*V131*Y131*VLOOKUP('Données projet'!$B$9,Paramètres!$A$1:$I$89,3,0)*0.475*44/12</f>
        <v>7.6603146852995199E-3</v>
      </c>
      <c r="AC131" s="22">
        <f t="shared" si="57"/>
        <v>134.33377433949337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283.73369613548124</v>
      </c>
      <c r="AO131" s="59">
        <f t="shared" si="90"/>
        <v>249.77804091581208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-6.3550942286383367E-14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278.5296012747549</v>
      </c>
      <c r="BJ131" s="59">
        <f t="shared" si="92"/>
        <v>370.55343097937077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53.395754900041887</v>
      </c>
      <c r="BQ131" s="21">
        <f>EXP(-LN(2)/25)*BQ130+(1-EXP(-LN(2)/25))/(LN(2)/25)*Calculateur!BL131*Calculateur!BN131*VLOOKUP('Données projet'!$B$11,Paramètres!$A$1:$I$89,3,0)*0.475*44/12</f>
        <v>7.611544680657957</v>
      </c>
      <c r="BR131" s="21">
        <f>EXP(-LN(2)/2)*BR130+(1-EXP(-LN(2)/2))/(LN(2)/2)*BL131*BO131*VLOOKUP('Données projet'!$B$11,Paramètres!$A$1:$I$89,3,0)*0.475*44/12</f>
        <v>3.515115490224429E-10</v>
      </c>
      <c r="BS131" s="22">
        <f t="shared" si="63"/>
        <v>61.007299581051356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-3.1036506698001178E-14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159.92263609041913</v>
      </c>
      <c r="CE131" s="59">
        <f t="shared" si="94"/>
        <v>271.78119133009307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11.804311061971553</v>
      </c>
      <c r="CL131" s="21">
        <f>EXP(-LN(2)/25)*CL130+(1-EXP(-LN(2)/25))/(LN(2)/25)*Calculateur!CG131*Calculateur!CI131*VLOOKUP('Données projet'!$B$12,Paramètres!$A$1:$I$89,3,0)*0.475*44/12</f>
        <v>13.069105362838631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24.873416424810184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1.5064102564102591</v>
      </c>
      <c r="CT131" s="12">
        <f>IF('Données projet'!$A$140&gt;35,CT130+CS131-DB130,IF(A131&lt;'Données projet'!$A$140,$CQ$205^A131,IF(A131='Données projet'!$A$140,'Données projet'!$B$140,CT130+CS131-DB130)))</f>
        <v>106.39102564102619</v>
      </c>
      <c r="CU131" s="17">
        <f>CT131*VLOOKUP('Données projet'!$B$13,Paramètres!$A$1:$I$89,3,0)*VLOOKUP('Données projet'!$B$13,Paramètres!$A$1:$I$89,5,0)</f>
        <v>96.262600000000489</v>
      </c>
      <c r="CV131" s="13">
        <f t="shared" si="95"/>
        <v>26.069649320395936</v>
      </c>
      <c r="CW131" s="20">
        <f t="shared" si="67"/>
        <v>213.06200089969045</v>
      </c>
      <c r="CX131" s="59">
        <f t="shared" si="68"/>
        <v>506.39533423302373</v>
      </c>
      <c r="CY131" s="59">
        <f ca="1">AVERAGE(OFFSET($CX$3,0,0,'Données projet'!$E$13+1,1))-AVERAGE(OFFSET($H$3,0,0,'Données projet'!$E$13+1,1))</f>
        <v>280.25710840677186</v>
      </c>
      <c r="CZ131" s="59">
        <f t="shared" si="96"/>
        <v>209.65224013288037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135.89224989107367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135.89224989107367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243</v>
      </c>
      <c r="DP131" s="17">
        <f>DO131*VLOOKUP('Données projet'!$B$14,Paramètres!$A$1:$I$89,3,0)*VLOOKUP('Données projet'!$B$14,Paramètres!$A$1:$I$89,5,0)</f>
        <v>253.98360000000002</v>
      </c>
      <c r="DQ131" s="13">
        <f t="shared" si="97"/>
        <v>61.438182405444294</v>
      </c>
      <c r="DR131" s="20">
        <f t="shared" si="70"/>
        <v>549.35960435614891</v>
      </c>
      <c r="DS131" s="59">
        <f t="shared" si="71"/>
        <v>842.69293768948228</v>
      </c>
      <c r="DT131" s="59">
        <f ca="1">AVERAGE(OFFSET($DS$3,0,0,'Données projet'!$E$14+1,1))-AVERAGE(OFFSET($H$3,0,0,'Données projet'!$E$14+1,1))</f>
        <v>330.14201227773452</v>
      </c>
      <c r="DU131" s="59">
        <f t="shared" si="98"/>
        <v>307.07297894926467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18.727002832276295</v>
      </c>
      <c r="EB131" s="21">
        <f>EXP(-LN(2)/25)*EB130+(1-EXP(-LN(2)/25))/(LN(2)/25)*Calculateur!DW131*Calculateur!DY131*VLOOKUP('Données projet'!$B$14,Paramètres!$A$1:$I$89,3,0)*0.475*44/12</f>
        <v>8.1967821909715131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26.92378502324781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236.00000000000009</v>
      </c>
      <c r="EK131" s="17">
        <f>EJ131*VLOOKUP('Données projet'!$B$15,Paramètres!$A$1:$I$89,3,0)*VLOOKUP('Données projet'!$B$15,Paramètres!$A$1:$I$89,5,0)</f>
        <v>154.62720000000004</v>
      </c>
      <c r="EL131" s="13">
        <f t="shared" si="99"/>
        <v>39.62826685000794</v>
      </c>
      <c r="EM131" s="20">
        <f t="shared" si="73"/>
        <v>338.32827143043056</v>
      </c>
      <c r="EN131" s="59">
        <f t="shared" si="74"/>
        <v>631.66160476376388</v>
      </c>
      <c r="EO131" s="59">
        <f ca="1">AVERAGE(OFFSET($EN$3,0,0,'Données projet'!$E$15+1,1))-AVERAGE(OFFSET($H$3,0,0,'Données projet'!$E$15+1,1))</f>
        <v>183.30081488041924</v>
      </c>
      <c r="EP131" s="59">
        <f t="shared" si="100"/>
        <v>199.33099759570928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1.7575766999079228</v>
      </c>
      <c r="EW131" s="21">
        <f>EXP(-LN(2)/25)*EW130+(1-EXP(-LN(2)/25))/(LN(2)/25)*Calculateur!ER131*Calculateur!ET131*VLOOKUP('Données projet'!$B$15,Paramètres!$A$1:$I$89,3,0)*0.475*44/12</f>
        <v>4.8546383971819456</v>
      </c>
      <c r="EX131" s="21">
        <f>EXP(-LN(2)/2)*EX130+(1-EXP(-LN(2)/2))/(LN(2)/2)*ER131*EU131*VLOOKUP('Données projet'!$B$15,Paramètres!$A$1:$I$89,3,0)*0.475*44/12</f>
        <v>4.0880237379613126E-6</v>
      </c>
      <c r="EY131" s="22">
        <f t="shared" si="75"/>
        <v>6.6122191851136067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1.5961632016114892E-13</v>
      </c>
      <c r="P132" s="13">
        <f t="shared" si="87"/>
        <v>2.2708641912150958E-12</v>
      </c>
      <c r="Q132" s="20">
        <f t="shared" si="108"/>
        <v>4.2330868906469593E-12</v>
      </c>
      <c r="R132" s="59">
        <f t="shared" si="109"/>
        <v>293.33333333333752</v>
      </c>
      <c r="S132" s="59">
        <f ca="1">AVERAGE(OFFSET($R$3,0,0,'Données projet'!$E$9+1,1))-AVERAGE(OFFSET($H$3,0,0,'Données projet'!$E$9+1,1))</f>
        <v>205.73717397588365</v>
      </c>
      <c r="T132" s="59">
        <f t="shared" si="88"/>
        <v>190.64998698136026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108.93450635610846</v>
      </c>
      <c r="AA132" s="21">
        <f>EXP(-LN(2)/25)*AA131+(1-EXP(-LN(2)/25))/(LN(2)/25)*Calculateur!V132*Calculateur!X132*VLOOKUP('Données projet'!$B$9,Paramètres!$A$1:$I$89,3,0)*0.475*44/12</f>
        <v>22.577988563360638</v>
      </c>
      <c r="AB132" s="21">
        <f>EXP(-LN(2)/2)*AB131+(1-EXP(-LN(2)/2))/(LN(2)/2)*V132*Y132*VLOOKUP('Données projet'!$B$9,Paramètres!$A$1:$I$89,3,0)*0.475*44/12</f>
        <v>5.4166604599981847E-3</v>
      </c>
      <c r="AC132" s="22">
        <f t="shared" ref="AC132:AC153" si="111">SUM(Z132:AB132)</f>
        <v>131.51791157992909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283.73369613548124</v>
      </c>
      <c r="AO132" s="59">
        <f t="shared" si="90"/>
        <v>249.77804091581208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-6.3550942286383367E-14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278.5296012747549</v>
      </c>
      <c r="BJ132" s="59">
        <f t="shared" si="92"/>
        <v>370.55343097937077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52.348696714646714</v>
      </c>
      <c r="BQ132" s="21">
        <f>EXP(-LN(2)/25)*BQ131+(1-EXP(-LN(2)/25))/(LN(2)/25)*Calculateur!BL132*Calculateur!BN132*VLOOKUP('Données projet'!$B$11,Paramètres!$A$1:$I$89,3,0)*0.475*44/12</f>
        <v>7.4034065910916267</v>
      </c>
      <c r="BR132" s="21">
        <f>EXP(-LN(2)/2)*BR131+(1-EXP(-LN(2)/2))/(LN(2)/2)*BL132*BO132*VLOOKUP('Données projet'!$B$11,Paramètres!$A$1:$I$89,3,0)*0.475*44/12</f>
        <v>2.4855619997915691E-10</v>
      </c>
      <c r="BS132" s="22">
        <f t="shared" ref="BS132:BS153" si="117">SUM(BP132:BR132)</f>
        <v>59.752103305986893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-3.1036506698001178E-14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159.92263609041913</v>
      </c>
      <c r="CE132" s="59">
        <f t="shared" si="94"/>
        <v>271.78119133009307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11.572835721965106</v>
      </c>
      <c r="CL132" s="21">
        <f>EXP(-LN(2)/25)*CL131+(1-EXP(-LN(2)/25))/(LN(2)/25)*Calculateur!CG132*Calculateur!CI132*VLOOKUP('Données projet'!$B$12,Paramètres!$A$1:$I$89,3,0)*0.475*44/12</f>
        <v>12.711729989417426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24.284565711382534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1.5064102564102591</v>
      </c>
      <c r="CT132" s="12">
        <f>IF('Données projet'!$A$140&gt;35,CT131+CS132-DB131,IF(A132&lt;'Données projet'!$A$140,$CQ$205^A132,IF(A132='Données projet'!$A$140,'Données projet'!$B$140,CT131+CS132-DB131)))</f>
        <v>107.89743589743645</v>
      </c>
      <c r="CU132" s="17">
        <f>CT132*VLOOKUP('Données projet'!$B$13,Paramètres!$A$1:$I$89,3,0)*VLOOKUP('Données projet'!$B$13,Paramètres!$A$1:$I$89,5,0)</f>
        <v>97.625600000000489</v>
      </c>
      <c r="CV132" s="13">
        <f t="shared" si="95"/>
        <v>26.395540798282454</v>
      </c>
      <c r="CW132" s="20">
        <f t="shared" ref="CW132:CW153" si="121">(CU132+CV132)*0.475*44/12</f>
        <v>216.00348689034277</v>
      </c>
      <c r="CX132" s="59">
        <f t="shared" ref="CX132:CX195" si="122">CW132+(CO132+CP132)*44/12</f>
        <v>509.33682022367611</v>
      </c>
      <c r="CY132" s="59">
        <f ca="1">AVERAGE(OFFSET($CX$3,0,0,'Données projet'!$E$13+1,1))-AVERAGE(OFFSET($H$3,0,0,'Données projet'!$E$13+1,1))</f>
        <v>280.25710840677186</v>
      </c>
      <c r="CZ132" s="59">
        <f t="shared" si="96"/>
        <v>209.65224013288037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133.22748575679782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133.22748575679782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243</v>
      </c>
      <c r="DP132" s="17">
        <f>DO132*VLOOKUP('Données projet'!$B$14,Paramètres!$A$1:$I$89,3,0)*VLOOKUP('Données projet'!$B$14,Paramètres!$A$1:$I$89,5,0)</f>
        <v>253.98360000000002</v>
      </c>
      <c r="DQ132" s="13">
        <f t="shared" si="97"/>
        <v>61.438182405444294</v>
      </c>
      <c r="DR132" s="20">
        <f t="shared" ref="DR132:DR153" si="124">(DP132+DQ132)*0.475*44/12</f>
        <v>549.35960435614891</v>
      </c>
      <c r="DS132" s="59">
        <f t="shared" ref="DS132:DS195" si="125">DR132+(DJ132+DK132)*44/12</f>
        <v>842.69293768948228</v>
      </c>
      <c r="DT132" s="59">
        <f ca="1">AVERAGE(OFFSET($DS$3,0,0,'Données projet'!$E$14+1,1))-AVERAGE(OFFSET($H$3,0,0,'Données projet'!$E$14+1,1))</f>
        <v>330.14201227773452</v>
      </c>
      <c r="DU132" s="59">
        <f t="shared" si="98"/>
        <v>307.07297894926467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18.359777729079223</v>
      </c>
      <c r="EB132" s="21">
        <f>EXP(-LN(2)/25)*EB131+(1-EXP(-LN(2)/25))/(LN(2)/25)*Calculateur!DW132*Calculateur!DY132*VLOOKUP('Données projet'!$B$14,Paramètres!$A$1:$I$89,3,0)*0.475*44/12</f>
        <v>7.9726407509093553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26.332418479988579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236.00000000000009</v>
      </c>
      <c r="EK132" s="17">
        <f>EJ132*VLOOKUP('Données projet'!$B$15,Paramètres!$A$1:$I$89,3,0)*VLOOKUP('Données projet'!$B$15,Paramètres!$A$1:$I$89,5,0)</f>
        <v>154.62720000000004</v>
      </c>
      <c r="EL132" s="13">
        <f t="shared" si="99"/>
        <v>39.62826685000794</v>
      </c>
      <c r="EM132" s="20">
        <f t="shared" ref="EM132:EM153" si="127">(EK132+EL132)*0.475*44/12</f>
        <v>338.32827143043056</v>
      </c>
      <c r="EN132" s="59">
        <f t="shared" ref="EN132:EN195" si="128">EM132+(EE132+EF132)*44/12</f>
        <v>631.66160476376388</v>
      </c>
      <c r="EO132" s="59">
        <f ca="1">AVERAGE(OFFSET($EN$3,0,0,'Données projet'!$E$15+1,1))-AVERAGE(OFFSET($H$3,0,0,'Données projet'!$E$15+1,1))</f>
        <v>183.30081488041924</v>
      </c>
      <c r="EP132" s="59">
        <f t="shared" si="100"/>
        <v>199.33099759570928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1.7231116928386625</v>
      </c>
      <c r="EW132" s="21">
        <f>EXP(-LN(2)/25)*EW131+(1-EXP(-LN(2)/25))/(LN(2)/25)*Calculateur!ER132*Calculateur!ET132*VLOOKUP('Données projet'!$B$15,Paramètres!$A$1:$I$89,3,0)*0.475*44/12</f>
        <v>4.7218880549166675</v>
      </c>
      <c r="EX132" s="21">
        <f>EXP(-LN(2)/2)*EX131+(1-EXP(-LN(2)/2))/(LN(2)/2)*ER132*EU132*VLOOKUP('Données projet'!$B$15,Paramètres!$A$1:$I$89,3,0)*0.475*44/12</f>
        <v>2.890669306764022E-6</v>
      </c>
      <c r="EY132" s="22">
        <f t="shared" ref="EY132:EY153" si="129">SUM(EV132:EX132)</f>
        <v>6.4450026384246364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1.5961632016114892E-13</v>
      </c>
      <c r="P133" s="13">
        <f t="shared" ref="P133:P196" si="141">EXP(-1.0587+0.8836*LN(O133)+0.284)</f>
        <v>2.2708641912150958E-12</v>
      </c>
      <c r="Q133" s="20">
        <f t="shared" si="108"/>
        <v>4.2330868906469593E-12</v>
      </c>
      <c r="R133" s="59">
        <f t="shared" si="109"/>
        <v>293.33333333333752</v>
      </c>
      <c r="S133" s="59">
        <f ca="1">AVERAGE(OFFSET($R$3,0,0,'Données projet'!$E$9+1,1))-AVERAGE(OFFSET($H$3,0,0,'Données projet'!$E$9+1,1))</f>
        <v>205.73717397588365</v>
      </c>
      <c r="T133" s="59">
        <f t="shared" ref="T133:T196" si="142">$T$3</f>
        <v>190.64998698136026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106.79836712995329</v>
      </c>
      <c r="AA133" s="21">
        <f>EXP(-LN(2)/25)*AA132+(1-EXP(-LN(2)/25))/(LN(2)/25)*Calculateur!V133*Calculateur!X133*VLOOKUP('Données projet'!$B$9,Paramètres!$A$1:$I$89,3,0)*0.475*44/12</f>
        <v>21.960592278770726</v>
      </c>
      <c r="AB133" s="21">
        <f>EXP(-LN(2)/2)*AB132+(1-EXP(-LN(2)/2))/(LN(2)/2)*V133*Y133*VLOOKUP('Données projet'!$B$9,Paramètres!$A$1:$I$89,3,0)*0.475*44/12</f>
        <v>3.8301573426497604E-3</v>
      </c>
      <c r="AC133" s="22">
        <f t="shared" si="111"/>
        <v>128.76278956606669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283.73369613548124</v>
      </c>
      <c r="AO133" s="59">
        <f t="shared" ref="AO133:AO196" si="144">$AO$3</f>
        <v>249.77804091581208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-6.3550942286383367E-14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278.5296012747549</v>
      </c>
      <c r="BJ133" s="59">
        <f t="shared" ref="BJ133:BJ196" si="146">$BJ$3</f>
        <v>370.55343097937077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51.322170701624707</v>
      </c>
      <c r="BQ133" s="21">
        <f>EXP(-LN(2)/25)*BQ132+(1-EXP(-LN(2)/25))/(LN(2)/25)*Calculateur!BL133*Calculateur!BN133*VLOOKUP('Données projet'!$B$11,Paramètres!$A$1:$I$89,3,0)*0.475*44/12</f>
        <v>7.2009600485299945</v>
      </c>
      <c r="BR133" s="21">
        <f>EXP(-LN(2)/2)*BR132+(1-EXP(-LN(2)/2))/(LN(2)/2)*BL133*BO133*VLOOKUP('Données projet'!$B$11,Paramètres!$A$1:$I$89,3,0)*0.475*44/12</f>
        <v>1.7575577451122145E-10</v>
      </c>
      <c r="BS133" s="22">
        <f t="shared" si="117"/>
        <v>58.523130750330452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-3.1036506698001178E-14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159.92263609041913</v>
      </c>
      <c r="CE133" s="59">
        <f t="shared" ref="CE133:CE196" si="148">$CE$3</f>
        <v>271.78119133009307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11.345899472190169</v>
      </c>
      <c r="CL133" s="21">
        <f>EXP(-LN(2)/25)*CL132+(1-EXP(-LN(2)/25))/(LN(2)/25)*Calculateur!CG133*Calculateur!CI133*VLOOKUP('Données projet'!$B$12,Paramètres!$A$1:$I$89,3,0)*0.475*44/12</f>
        <v>12.36412706437598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23.710026536566147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1.5064102564102591</v>
      </c>
      <c r="CT133" s="12">
        <f>IF('Données projet'!$A$140&gt;35,CT132+CS133-DB132,IF(A133&lt;'Données projet'!$A$140,$CQ$205^A133,IF(A133='Données projet'!$A$140,'Données projet'!$B$140,CT132+CS133-DB132)))</f>
        <v>109.40384615384671</v>
      </c>
      <c r="CU133" s="17">
        <f>CT133*VLOOKUP('Données projet'!$B$13,Paramètres!$A$1:$I$89,3,0)*VLOOKUP('Données projet'!$B$13,Paramètres!$A$1:$I$89,5,0)</f>
        <v>98.988600000000503</v>
      </c>
      <c r="CV133" s="13">
        <f t="shared" ref="CV133:CV153" si="149">EXP(-1.0587+0.8836*LN(CU133)+0.284)</f>
        <v>26.720903075724102</v>
      </c>
      <c r="CW133" s="20">
        <f t="shared" si="121"/>
        <v>218.94405119022034</v>
      </c>
      <c r="CX133" s="59">
        <f t="shared" si="122"/>
        <v>512.27738452355368</v>
      </c>
      <c r="CY133" s="59">
        <f ca="1">AVERAGE(OFFSET($CX$3,0,0,'Données projet'!$E$13+1,1))-AVERAGE(OFFSET($H$3,0,0,'Données projet'!$E$13+1,1))</f>
        <v>280.25710840677186</v>
      </c>
      <c r="CZ133" s="59">
        <f t="shared" ref="CZ133:CZ196" si="150">$CZ$3</f>
        <v>209.65224013288037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130.61497602184949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130.61497602184949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243</v>
      </c>
      <c r="DP133" s="17">
        <f>DO133*VLOOKUP('Données projet'!$B$14,Paramètres!$A$1:$I$89,3,0)*VLOOKUP('Données projet'!$B$14,Paramètres!$A$1:$I$89,5,0)</f>
        <v>253.98360000000002</v>
      </c>
      <c r="DQ133" s="13">
        <f t="shared" ref="DQ133:DQ153" si="151">EXP(-1.0587+0.8836*LN(DP133)+0.284)</f>
        <v>61.438182405444294</v>
      </c>
      <c r="DR133" s="20">
        <f t="shared" si="124"/>
        <v>549.35960435614891</v>
      </c>
      <c r="DS133" s="59">
        <f t="shared" si="125"/>
        <v>842.69293768948228</v>
      </c>
      <c r="DT133" s="59">
        <f ca="1">AVERAGE(OFFSET($DS$3,0,0,'Données projet'!$E$14+1,1))-AVERAGE(OFFSET($H$3,0,0,'Données projet'!$E$14+1,1))</f>
        <v>330.14201227773452</v>
      </c>
      <c r="DU133" s="59">
        <f t="shared" ref="DU133:DU196" si="152">$DU$3</f>
        <v>307.07297894926467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17.999753686170649</v>
      </c>
      <c r="EB133" s="21">
        <f>EXP(-LN(2)/25)*EB132+(1-EXP(-LN(2)/25))/(LN(2)/25)*Calculateur!DW133*Calculateur!DY133*VLOOKUP('Données projet'!$B$14,Paramètres!$A$1:$I$89,3,0)*0.475*44/12</f>
        <v>7.7546284703127837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25.754382156483434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236.00000000000009</v>
      </c>
      <c r="EK133" s="17">
        <f>EJ133*VLOOKUP('Données projet'!$B$15,Paramètres!$A$1:$I$89,3,0)*VLOOKUP('Données projet'!$B$15,Paramètres!$A$1:$I$89,5,0)</f>
        <v>154.62720000000004</v>
      </c>
      <c r="EL133" s="13">
        <f t="shared" ref="EL133:EL153" si="153">EXP(-1.0587+0.8836*LN(EK133)+0.284)</f>
        <v>39.62826685000794</v>
      </c>
      <c r="EM133" s="20">
        <f t="shared" si="127"/>
        <v>338.32827143043056</v>
      </c>
      <c r="EN133" s="59">
        <f t="shared" si="128"/>
        <v>631.66160476376388</v>
      </c>
      <c r="EO133" s="59">
        <f ca="1">AVERAGE(OFFSET($EN$3,0,0,'Données projet'!$E$15+1,1))-AVERAGE(OFFSET($H$3,0,0,'Données projet'!$E$15+1,1))</f>
        <v>183.30081488041924</v>
      </c>
      <c r="EP133" s="59">
        <f t="shared" ref="EP133:EP196" si="154">$EP$3</f>
        <v>199.33099759570928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1.689322523536452</v>
      </c>
      <c r="EW133" s="21">
        <f>EXP(-LN(2)/25)*EW132+(1-EXP(-LN(2)/25))/(LN(2)/25)*Calculateur!ER133*Calculateur!ET133*VLOOKUP('Données projet'!$B$15,Paramètres!$A$1:$I$89,3,0)*0.475*44/12</f>
        <v>4.5927677777416704</v>
      </c>
      <c r="EX133" s="21">
        <f>EXP(-LN(2)/2)*EX132+(1-EXP(-LN(2)/2))/(LN(2)/2)*ER133*EU133*VLOOKUP('Données projet'!$B$15,Paramètres!$A$1:$I$89,3,0)*0.475*44/12</f>
        <v>2.0440118689806563E-6</v>
      </c>
      <c r="EY133" s="22">
        <f t="shared" si="129"/>
        <v>6.2820923452899917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1.5961632016114892E-13</v>
      </c>
      <c r="P134" s="13">
        <f t="shared" si="141"/>
        <v>2.2708641912150958E-12</v>
      </c>
      <c r="Q134" s="20">
        <f t="shared" si="108"/>
        <v>4.2330868906469593E-12</v>
      </c>
      <c r="R134" s="59">
        <f t="shared" si="109"/>
        <v>293.33333333333752</v>
      </c>
      <c r="S134" s="59">
        <f ca="1">AVERAGE(OFFSET($R$3,0,0,'Données projet'!$E$9+1,1))-AVERAGE(OFFSET($H$3,0,0,'Données projet'!$E$9+1,1))</f>
        <v>205.73717397588365</v>
      </c>
      <c r="T134" s="59">
        <f t="shared" si="142"/>
        <v>190.64998698136026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104.70411629110676</v>
      </c>
      <c r="AA134" s="21">
        <f>EXP(-LN(2)/25)*AA133+(1-EXP(-LN(2)/25))/(LN(2)/25)*Calculateur!V134*Calculateur!X134*VLOOKUP('Données projet'!$B$9,Paramètres!$A$1:$I$89,3,0)*0.475*44/12</f>
        <v>21.360078728050382</v>
      </c>
      <c r="AB134" s="21">
        <f>EXP(-LN(2)/2)*AB133+(1-EXP(-LN(2)/2))/(LN(2)/2)*V134*Y134*VLOOKUP('Données projet'!$B$9,Paramètres!$A$1:$I$89,3,0)*0.475*44/12</f>
        <v>2.7083302299990928E-3</v>
      </c>
      <c r="AC134" s="22">
        <f t="shared" si="111"/>
        <v>126.06690334938713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283.73369613548124</v>
      </c>
      <c r="AO134" s="59">
        <f t="shared" si="144"/>
        <v>249.77804091581208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-6.3550942286383367E-14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278.5296012747549</v>
      </c>
      <c r="BJ134" s="59">
        <f t="shared" si="146"/>
        <v>370.55343097937077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50.315774237599015</v>
      </c>
      <c r="BQ134" s="21">
        <f>EXP(-LN(2)/25)*BQ133+(1-EXP(-LN(2)/25))/(LN(2)/25)*Calculateur!BL134*Calculateur!BN134*VLOOKUP('Données projet'!$B$11,Paramètres!$A$1:$I$89,3,0)*0.475*44/12</f>
        <v>7.0040494173209105</v>
      </c>
      <c r="BR134" s="21">
        <f>EXP(-LN(2)/2)*BR133+(1-EXP(-LN(2)/2))/(LN(2)/2)*BL134*BO134*VLOOKUP('Données projet'!$B$11,Paramètres!$A$1:$I$89,3,0)*0.475*44/12</f>
        <v>1.2427809998957845E-10</v>
      </c>
      <c r="BS134" s="22">
        <f t="shared" si="117"/>
        <v>57.31982365504421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-3.1036506698001178E-14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159.92263609041913</v>
      </c>
      <c r="CE134" s="59">
        <f t="shared" si="148"/>
        <v>271.78119133009307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11.123413303855873</v>
      </c>
      <c r="CL134" s="21">
        <f>EXP(-LN(2)/25)*CL133+(1-EXP(-LN(2)/25))/(LN(2)/25)*Calculateur!CG134*Calculateur!CI134*VLOOKUP('Données projet'!$B$12,Paramètres!$A$1:$I$89,3,0)*0.475*44/12</f>
        <v>12.026029359599436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23.149442663455311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110.91025641025641</v>
      </c>
      <c r="CR134" s="12">
        <f>VLOOKUP(A134,'Données projet'!$A$139:$I$159,9,0)</f>
        <v>1.5064102564102591</v>
      </c>
      <c r="CS134" s="12">
        <f t="array" ref="CS134">INDEX(CR:CR,MIN(IF(ISNUMBER(CR134:CR330),ROW(CR134:CR330),"")))</f>
        <v>1.5064102564102591</v>
      </c>
      <c r="CT134" s="12">
        <f>IF('Données projet'!$A$140&gt;35,CT133+CS134-DB133,IF(A134&lt;'Données projet'!$A$140,$CQ$205^A134,IF(A134='Données projet'!$A$140,'Données projet'!$B$140,CT133+CS134-DB133)))</f>
        <v>110.91025641025698</v>
      </c>
      <c r="CU134" s="17">
        <f>CT134*VLOOKUP('Données projet'!$B$13,Paramètres!$A$1:$I$89,3,0)*VLOOKUP('Données projet'!$B$13,Paramètres!$A$1:$I$89,5,0)</f>
        <v>100.3516000000005</v>
      </c>
      <c r="CV134" s="13">
        <f t="shared" si="149"/>
        <v>27.045744281593826</v>
      </c>
      <c r="CW134" s="20">
        <f t="shared" si="121"/>
        <v>221.88370795711012</v>
      </c>
      <c r="CX134" s="59">
        <f t="shared" si="122"/>
        <v>515.21704129044338</v>
      </c>
      <c r="CY134" s="59">
        <f ca="1">AVERAGE(OFFSET($CX$3,0,0,'Données projet'!$E$13+1,1))-AVERAGE(OFFSET($H$3,0,0,'Données projet'!$E$13+1,1))</f>
        <v>280.25710840677186</v>
      </c>
      <c r="CZ134" s="59">
        <f t="shared" si="150"/>
        <v>209.65224013288037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110.91025641025641</v>
      </c>
      <c r="DC134" s="16">
        <f>IF(ISNA(VLOOKUP(A134,'Données projet'!$A$139:$I$159,5,0)),0%,VLOOKUP(A134,'Données projet'!$A$139:$I$159,5,0)*VLOOKUP('Données projet'!$B$13,Paramètres!$A$1:$I$89,7,0))</f>
        <v>0.38700000000000001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170.98582016742182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170.98582016742182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243</v>
      </c>
      <c r="DP134" s="17">
        <f>DO134*VLOOKUP('Données projet'!$B$14,Paramètres!$A$1:$I$89,3,0)*VLOOKUP('Données projet'!$B$14,Paramètres!$A$1:$I$89,5,0)</f>
        <v>253.98360000000002</v>
      </c>
      <c r="DQ134" s="13">
        <f t="shared" si="151"/>
        <v>61.438182405444294</v>
      </c>
      <c r="DR134" s="20">
        <f t="shared" si="124"/>
        <v>549.35960435614891</v>
      </c>
      <c r="DS134" s="59">
        <f t="shared" si="125"/>
        <v>842.69293768948228</v>
      </c>
      <c r="DT134" s="59">
        <f ca="1">AVERAGE(OFFSET($DS$3,0,0,'Données projet'!$E$14+1,1))-AVERAGE(OFFSET($H$3,0,0,'Données projet'!$E$14+1,1))</f>
        <v>330.14201227773452</v>
      </c>
      <c r="DU134" s="59">
        <f t="shared" si="152"/>
        <v>307.07297894926467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17.646789495150529</v>
      </c>
      <c r="EB134" s="21">
        <f>EXP(-LN(2)/25)*EB133+(1-EXP(-LN(2)/25))/(LN(2)/25)*Calculateur!DW134*Calculateur!DY134*VLOOKUP('Données projet'!$B$14,Paramètres!$A$1:$I$89,3,0)*0.475*44/12</f>
        <v>7.5425777469938931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25.189367242144421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236.00000000000009</v>
      </c>
      <c r="EK134" s="17">
        <f>EJ134*VLOOKUP('Données projet'!$B$15,Paramètres!$A$1:$I$89,3,0)*VLOOKUP('Données projet'!$B$15,Paramètres!$A$1:$I$89,5,0)</f>
        <v>154.62720000000004</v>
      </c>
      <c r="EL134" s="13">
        <f t="shared" si="153"/>
        <v>39.62826685000794</v>
      </c>
      <c r="EM134" s="20">
        <f t="shared" si="127"/>
        <v>338.32827143043056</v>
      </c>
      <c r="EN134" s="59">
        <f t="shared" si="128"/>
        <v>631.66160476376388</v>
      </c>
      <c r="EO134" s="59">
        <f ca="1">AVERAGE(OFFSET($EN$3,0,0,'Données projet'!$E$15+1,1))-AVERAGE(OFFSET($H$3,0,0,'Données projet'!$E$15+1,1))</f>
        <v>183.30081488041924</v>
      </c>
      <c r="EP134" s="59">
        <f t="shared" si="154"/>
        <v>199.33099759570928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1.6561959392348995</v>
      </c>
      <c r="EW134" s="21">
        <f>EXP(-LN(2)/25)*EW133+(1-EXP(-LN(2)/25))/(LN(2)/25)*Calculateur!ER134*Calculateur!ET134*VLOOKUP('Données projet'!$B$15,Paramètres!$A$1:$I$89,3,0)*0.475*44/12</f>
        <v>4.4671783013361637</v>
      </c>
      <c r="EX134" s="21">
        <f>EXP(-LN(2)/2)*EX133+(1-EXP(-LN(2)/2))/(LN(2)/2)*ER134*EU134*VLOOKUP('Données projet'!$B$15,Paramètres!$A$1:$I$89,3,0)*0.475*44/12</f>
        <v>1.445334653382011E-6</v>
      </c>
      <c r="EY134" s="22">
        <f t="shared" si="129"/>
        <v>6.1233756859057173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1.5961632016114892E-13</v>
      </c>
      <c r="P135" s="13">
        <f t="shared" si="141"/>
        <v>2.2708641912150958E-12</v>
      </c>
      <c r="Q135" s="20">
        <f t="shared" si="108"/>
        <v>4.2330868906469593E-12</v>
      </c>
      <c r="R135" s="59">
        <f t="shared" si="109"/>
        <v>293.33333333333752</v>
      </c>
      <c r="S135" s="59">
        <f ca="1">AVERAGE(OFFSET($R$3,0,0,'Données projet'!$E$9+1,1))-AVERAGE(OFFSET($H$3,0,0,'Données projet'!$E$9+1,1))</f>
        <v>205.73717397588365</v>
      </c>
      <c r="T135" s="59">
        <f t="shared" si="142"/>
        <v>190.64998698136026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102.65093243384312</v>
      </c>
      <c r="AA135" s="21">
        <f>EXP(-LN(2)/25)*AA134+(1-EXP(-LN(2)/25))/(LN(2)/25)*Calculateur!V135*Calculateur!X135*VLOOKUP('Données projet'!$B$9,Paramètres!$A$1:$I$89,3,0)*0.475*44/12</f>
        <v>20.775986251954123</v>
      </c>
      <c r="AB135" s="21">
        <f>EXP(-LN(2)/2)*AB134+(1-EXP(-LN(2)/2))/(LN(2)/2)*V135*Y135*VLOOKUP('Données projet'!$B$9,Paramètres!$A$1:$I$89,3,0)*0.475*44/12</f>
        <v>1.9150786713248806E-3</v>
      </c>
      <c r="AC135" s="22">
        <f t="shared" si="111"/>
        <v>123.42883376446858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283.73369613548124</v>
      </c>
      <c r="AO135" s="59">
        <f t="shared" si="144"/>
        <v>249.77804091581208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-6.3550942286383367E-14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278.5296012747549</v>
      </c>
      <c r="BJ135" s="59">
        <f t="shared" si="146"/>
        <v>370.55343097937077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49.329112594391638</v>
      </c>
      <c r="BQ135" s="21">
        <f>EXP(-LN(2)/25)*BQ134+(1-EXP(-LN(2)/25))/(LN(2)/25)*Calculateur!BL135*Calculateur!BN135*VLOOKUP('Données projet'!$B$11,Paramètres!$A$1:$I$89,3,0)*0.475*44/12</f>
        <v>6.8125233176773197</v>
      </c>
      <c r="BR135" s="21">
        <f>EXP(-LN(2)/2)*BR134+(1-EXP(-LN(2)/2))/(LN(2)/2)*BL135*BO135*VLOOKUP('Données projet'!$B$11,Paramètres!$A$1:$I$89,3,0)*0.475*44/12</f>
        <v>8.7877887255610725E-11</v>
      </c>
      <c r="BS135" s="22">
        <f t="shared" si="117"/>
        <v>56.141635912156836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-3.1036506698001178E-14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159.92263609041913</v>
      </c>
      <c r="CE135" s="59">
        <f t="shared" si="148"/>
        <v>271.78119133009307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10.90528995357945</v>
      </c>
      <c r="CL135" s="21">
        <f>EXP(-LN(2)/25)*CL134+(1-EXP(-LN(2)/25))/(LN(2)/25)*Calculateur!CG135*Calculateur!CI135*VLOOKUP('Données projet'!$B$12,Paramètres!$A$1:$I$89,3,0)*0.475*44/12</f>
        <v>11.697176954339792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22.602466907919244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5.6843418860808015E-13</v>
      </c>
      <c r="CU135" s="17">
        <f>CT135*VLOOKUP('Données projet'!$B$13,Paramètres!$A$1:$I$89,3,0)*VLOOKUP('Données projet'!$B$13,Paramètres!$A$1:$I$89,5,0)</f>
        <v>5.1431925385259092E-13</v>
      </c>
      <c r="CV135" s="13">
        <f t="shared" si="149"/>
        <v>6.3855359115685756E-12</v>
      </c>
      <c r="CW135" s="20">
        <f t="shared" si="121"/>
        <v>1.2017247746441865E-11</v>
      </c>
      <c r="CX135" s="59">
        <f t="shared" si="122"/>
        <v>293.33333333334531</v>
      </c>
      <c r="CY135" s="59">
        <f ca="1">AVERAGE(OFFSET($CX$3,0,0,'Données projet'!$E$13+1,1))-AVERAGE(OFFSET($H$3,0,0,'Données projet'!$E$13+1,1))</f>
        <v>280.25710840677186</v>
      </c>
      <c r="CZ135" s="59">
        <f t="shared" si="150"/>
        <v>209.65224013288037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167.63289252499109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167.63289252499109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243</v>
      </c>
      <c r="DP135" s="17">
        <f>DO135*VLOOKUP('Données projet'!$B$14,Paramètres!$A$1:$I$89,3,0)*VLOOKUP('Données projet'!$B$14,Paramètres!$A$1:$I$89,5,0)</f>
        <v>253.98360000000002</v>
      </c>
      <c r="DQ135" s="13">
        <f t="shared" si="151"/>
        <v>61.438182405444294</v>
      </c>
      <c r="DR135" s="20">
        <f t="shared" si="124"/>
        <v>549.35960435614891</v>
      </c>
      <c r="DS135" s="59">
        <f t="shared" si="125"/>
        <v>842.69293768948228</v>
      </c>
      <c r="DT135" s="59">
        <f ca="1">AVERAGE(OFFSET($DS$3,0,0,'Données projet'!$E$14+1,1))-AVERAGE(OFFSET($H$3,0,0,'Données projet'!$E$14+1,1))</f>
        <v>330.14201227773452</v>
      </c>
      <c r="DU135" s="59">
        <f t="shared" si="152"/>
        <v>307.07297894926467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17.300746716629412</v>
      </c>
      <c r="EB135" s="21">
        <f>EXP(-LN(2)/25)*EB134+(1-EXP(-LN(2)/25))/(LN(2)/25)*Calculateur!DW135*Calculateur!DY135*VLOOKUP('Données projet'!$B$14,Paramètres!$A$1:$I$89,3,0)*0.475*44/12</f>
        <v>7.3363255618554204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24.637072278484833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236.00000000000009</v>
      </c>
      <c r="EK135" s="17">
        <f>EJ135*VLOOKUP('Données projet'!$B$15,Paramètres!$A$1:$I$89,3,0)*VLOOKUP('Données projet'!$B$15,Paramètres!$A$1:$I$89,5,0)</f>
        <v>154.62720000000004</v>
      </c>
      <c r="EL135" s="13">
        <f t="shared" si="153"/>
        <v>39.62826685000794</v>
      </c>
      <c r="EM135" s="20">
        <f t="shared" si="127"/>
        <v>338.32827143043056</v>
      </c>
      <c r="EN135" s="59">
        <f t="shared" si="128"/>
        <v>631.66160476376388</v>
      </c>
      <c r="EO135" s="59">
        <f ca="1">AVERAGE(OFFSET($EN$3,0,0,'Données projet'!$E$15+1,1))-AVERAGE(OFFSET($H$3,0,0,'Données projet'!$E$15+1,1))</f>
        <v>183.30081488041924</v>
      </c>
      <c r="EP135" s="59">
        <f t="shared" si="154"/>
        <v>199.33099759570928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1.6237189470462792</v>
      </c>
      <c r="EW135" s="21">
        <f>EXP(-LN(2)/25)*EW134+(1-EXP(-LN(2)/25))/(LN(2)/25)*Calculateur!ER135*Calculateur!ET135*VLOOKUP('Données projet'!$B$15,Paramètres!$A$1:$I$89,3,0)*0.475*44/12</f>
        <v>4.3450230757674291</v>
      </c>
      <c r="EX135" s="21">
        <f>EXP(-LN(2)/2)*EX134+(1-EXP(-LN(2)/2))/(LN(2)/2)*ER135*EU135*VLOOKUP('Données projet'!$B$15,Paramètres!$A$1:$I$89,3,0)*0.475*44/12</f>
        <v>1.0220059344903282E-6</v>
      </c>
      <c r="EY135" s="22">
        <f t="shared" si="129"/>
        <v>5.9687430448196421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1.5961632016114892E-13</v>
      </c>
      <c r="P136" s="13">
        <f t="shared" si="141"/>
        <v>2.2708641912150958E-12</v>
      </c>
      <c r="Q136" s="20">
        <f t="shared" si="108"/>
        <v>4.2330868906469593E-12</v>
      </c>
      <c r="R136" s="59">
        <f t="shared" si="109"/>
        <v>293.33333333333752</v>
      </c>
      <c r="S136" s="59">
        <f ca="1">AVERAGE(OFFSET($R$3,0,0,'Données projet'!$E$9+1,1))-AVERAGE(OFFSET($H$3,0,0,'Données projet'!$E$9+1,1))</f>
        <v>205.73717397588365</v>
      </c>
      <c r="T136" s="59">
        <f t="shared" si="142"/>
        <v>190.64998698136026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100.63801025970193</v>
      </c>
      <c r="AA136" s="21">
        <f>EXP(-LN(2)/25)*AA135+(1-EXP(-LN(2)/25))/(LN(2)/25)*Calculateur!V136*Calculateur!X136*VLOOKUP('Données projet'!$B$9,Paramètres!$A$1:$I$89,3,0)*0.475*44/12</f>
        <v>20.207865815332806</v>
      </c>
      <c r="AB136" s="21">
        <f>EXP(-LN(2)/2)*AB135+(1-EXP(-LN(2)/2))/(LN(2)/2)*V136*Y136*VLOOKUP('Données projet'!$B$9,Paramètres!$A$1:$I$89,3,0)*0.475*44/12</f>
        <v>1.3541651149995466E-3</v>
      </c>
      <c r="AC136" s="22">
        <f t="shared" si="111"/>
        <v>120.84723024014974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283.73369613548124</v>
      </c>
      <c r="AO136" s="59">
        <f t="shared" si="144"/>
        <v>249.77804091581208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-6.3550942286383367E-14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278.5296012747549</v>
      </c>
      <c r="BJ136" s="59">
        <f t="shared" si="146"/>
        <v>370.55343097937077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48.36179878420338</v>
      </c>
      <c r="BQ136" s="21">
        <f>EXP(-LN(2)/25)*BQ135+(1-EXP(-LN(2)/25))/(LN(2)/25)*Calculateur!BL136*Calculateur!BN136*VLOOKUP('Données projet'!$B$11,Paramètres!$A$1:$I$89,3,0)*0.475*44/12</f>
        <v>6.626234509300402</v>
      </c>
      <c r="BR136" s="21">
        <f>EXP(-LN(2)/2)*BR135+(1-EXP(-LN(2)/2))/(LN(2)/2)*BL136*BO136*VLOOKUP('Données projet'!$B$11,Paramètres!$A$1:$I$89,3,0)*0.475*44/12</f>
        <v>6.2139049994789226E-11</v>
      </c>
      <c r="BS136" s="22">
        <f t="shared" si="117"/>
        <v>54.98803329356592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-3.1036506698001178E-14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159.92263609041913</v>
      </c>
      <c r="CE136" s="59">
        <f t="shared" si="148"/>
        <v>271.78119133009307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10.691443869159841</v>
      </c>
      <c r="CL136" s="21">
        <f>EXP(-LN(2)/25)*CL135+(1-EXP(-LN(2)/25))/(LN(2)/25)*Calculateur!CG136*Calculateur!CI136*VLOOKUP('Données projet'!$B$12,Paramètres!$A$1:$I$89,3,0)*0.475*44/12</f>
        <v>11.377317035395569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22.068760904555411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5.6843418860808015E-13</v>
      </c>
      <c r="CU136" s="17">
        <f>CT136*VLOOKUP('Données projet'!$B$13,Paramètres!$A$1:$I$89,3,0)*VLOOKUP('Données projet'!$B$13,Paramètres!$A$1:$I$89,5,0)</f>
        <v>5.1431925385259092E-13</v>
      </c>
      <c r="CV136" s="13">
        <f t="shared" si="149"/>
        <v>6.3855359115685756E-12</v>
      </c>
      <c r="CW136" s="20">
        <f t="shared" si="121"/>
        <v>1.2017247746441865E-11</v>
      </c>
      <c r="CX136" s="59">
        <f t="shared" si="122"/>
        <v>293.33333333334531</v>
      </c>
      <c r="CY136" s="59">
        <f ca="1">AVERAGE(OFFSET($CX$3,0,0,'Données projet'!$E$13+1,1))-AVERAGE(OFFSET($H$3,0,0,'Données projet'!$E$13+1,1))</f>
        <v>280.25710840677186</v>
      </c>
      <c r="CZ136" s="59">
        <f t="shared" si="150"/>
        <v>209.65224013288037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164.34571374854451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164.34571374854451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243</v>
      </c>
      <c r="DP136" s="17">
        <f>DO136*VLOOKUP('Données projet'!$B$14,Paramètres!$A$1:$I$89,3,0)*VLOOKUP('Données projet'!$B$14,Paramètres!$A$1:$I$89,5,0)</f>
        <v>253.98360000000002</v>
      </c>
      <c r="DQ136" s="13">
        <f t="shared" si="151"/>
        <v>61.438182405444294</v>
      </c>
      <c r="DR136" s="20">
        <f t="shared" si="124"/>
        <v>549.35960435614891</v>
      </c>
      <c r="DS136" s="59">
        <f t="shared" si="125"/>
        <v>842.69293768948228</v>
      </c>
      <c r="DT136" s="59">
        <f ca="1">AVERAGE(OFFSET($DS$3,0,0,'Données projet'!$E$14+1,1))-AVERAGE(OFFSET($H$3,0,0,'Données projet'!$E$14+1,1))</f>
        <v>330.14201227773452</v>
      </c>
      <c r="DU136" s="59">
        <f t="shared" si="152"/>
        <v>307.07297894926467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16.961489625929843</v>
      </c>
      <c r="EB136" s="21">
        <f>EXP(-LN(2)/25)*EB135+(1-EXP(-LN(2)/25))/(LN(2)/25)*Calculateur!DW136*Calculateur!DY136*VLOOKUP('Données projet'!$B$14,Paramètres!$A$1:$I$89,3,0)*0.475*44/12</f>
        <v>7.1357133535658903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24.097202979495734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236.00000000000009</v>
      </c>
      <c r="EK136" s="17">
        <f>EJ136*VLOOKUP('Données projet'!$B$15,Paramètres!$A$1:$I$89,3,0)*VLOOKUP('Données projet'!$B$15,Paramètres!$A$1:$I$89,5,0)</f>
        <v>154.62720000000004</v>
      </c>
      <c r="EL136" s="13">
        <f t="shared" si="153"/>
        <v>39.62826685000794</v>
      </c>
      <c r="EM136" s="20">
        <f t="shared" si="127"/>
        <v>338.32827143043056</v>
      </c>
      <c r="EN136" s="59">
        <f t="shared" si="128"/>
        <v>631.66160476376388</v>
      </c>
      <c r="EO136" s="59">
        <f ca="1">AVERAGE(OFFSET($EN$3,0,0,'Données projet'!$E$15+1,1))-AVERAGE(OFFSET($H$3,0,0,'Données projet'!$E$15+1,1))</f>
        <v>183.30081488041924</v>
      </c>
      <c r="EP136" s="59">
        <f t="shared" si="154"/>
        <v>199.33099759570928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1.5918788088654683</v>
      </c>
      <c r="EW136" s="21">
        <f>EXP(-LN(2)/25)*EW135+(1-EXP(-LN(2)/25))/(LN(2)/25)*Calculateur!ER136*Calculateur!ET136*VLOOKUP('Données projet'!$B$15,Paramètres!$A$1:$I$89,3,0)*0.475*44/12</f>
        <v>4.2262081912657354</v>
      </c>
      <c r="EX136" s="21">
        <f>EXP(-LN(2)/2)*EX135+(1-EXP(-LN(2)/2))/(LN(2)/2)*ER136*EU136*VLOOKUP('Données projet'!$B$15,Paramètres!$A$1:$I$89,3,0)*0.475*44/12</f>
        <v>7.2266732669100549E-7</v>
      </c>
      <c r="EY136" s="22">
        <f t="shared" si="129"/>
        <v>5.8180877227985306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1.5961632016114892E-13</v>
      </c>
      <c r="P137" s="13">
        <f t="shared" si="141"/>
        <v>2.2708641912150958E-12</v>
      </c>
      <c r="Q137" s="20">
        <f t="shared" si="108"/>
        <v>4.2330868906469593E-12</v>
      </c>
      <c r="R137" s="59">
        <f t="shared" si="109"/>
        <v>293.33333333333752</v>
      </c>
      <c r="S137" s="59">
        <f ca="1">AVERAGE(OFFSET($R$3,0,0,'Données projet'!$E$9+1,1))-AVERAGE(OFFSET($H$3,0,0,'Données projet'!$E$9+1,1))</f>
        <v>205.73717397588365</v>
      </c>
      <c r="T137" s="59">
        <f t="shared" si="142"/>
        <v>190.64998698136026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98.66456026163435</v>
      </c>
      <c r="AA137" s="21">
        <f>EXP(-LN(2)/25)*AA136+(1-EXP(-LN(2)/25))/(LN(2)/25)*Calculateur!V137*Calculateur!X137*VLOOKUP('Données projet'!$B$9,Paramètres!$A$1:$I$89,3,0)*0.475*44/12</f>
        <v>19.655280661927051</v>
      </c>
      <c r="AB137" s="21">
        <f>EXP(-LN(2)/2)*AB136+(1-EXP(-LN(2)/2))/(LN(2)/2)*V137*Y137*VLOOKUP('Données projet'!$B$9,Paramètres!$A$1:$I$89,3,0)*0.475*44/12</f>
        <v>9.5753933566244042E-4</v>
      </c>
      <c r="AC137" s="22">
        <f t="shared" si="111"/>
        <v>118.32079846289706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283.73369613548124</v>
      </c>
      <c r="AO137" s="59">
        <f t="shared" si="144"/>
        <v>249.77804091581208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-6.3550942286383367E-14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278.5296012747549</v>
      </c>
      <c r="BJ137" s="59">
        <f t="shared" si="146"/>
        <v>370.55343097937077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47.413453407829749</v>
      </c>
      <c r="BQ137" s="21">
        <f>EXP(-LN(2)/25)*BQ136+(1-EXP(-LN(2)/25))/(LN(2)/25)*Calculateur!BL137*Calculateur!BN137*VLOOKUP('Données projet'!$B$11,Paramètres!$A$1:$I$89,3,0)*0.475*44/12</f>
        <v>6.4450397781850546</v>
      </c>
      <c r="BR137" s="21">
        <f>EXP(-LN(2)/2)*BR136+(1-EXP(-LN(2)/2))/(LN(2)/2)*BL137*BO137*VLOOKUP('Données projet'!$B$11,Paramètres!$A$1:$I$89,3,0)*0.475*44/12</f>
        <v>4.3938943627805363E-11</v>
      </c>
      <c r="BS137" s="22">
        <f t="shared" si="117"/>
        <v>53.858493186058745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-3.1036506698001178E-14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159.92263609041913</v>
      </c>
      <c r="CE137" s="59">
        <f t="shared" si="148"/>
        <v>271.78119133009307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10.481791176022467</v>
      </c>
      <c r="CL137" s="21">
        <f>EXP(-LN(2)/25)*CL136+(1-EXP(-LN(2)/25))/(LN(2)/25)*Calculateur!CG137*Calculateur!CI137*VLOOKUP('Données projet'!$B$12,Paramètres!$A$1:$I$89,3,0)*0.475*44/12</f>
        <v>11.066203702755578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21.547994878778045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5.6843418860808015E-13</v>
      </c>
      <c r="CU137" s="17">
        <f>CT137*VLOOKUP('Données projet'!$B$13,Paramètres!$A$1:$I$89,3,0)*VLOOKUP('Données projet'!$B$13,Paramètres!$A$1:$I$89,5,0)</f>
        <v>5.1431925385259092E-13</v>
      </c>
      <c r="CV137" s="13">
        <f t="shared" si="149"/>
        <v>6.3855359115685756E-12</v>
      </c>
      <c r="CW137" s="20">
        <f t="shared" si="121"/>
        <v>1.2017247746441865E-11</v>
      </c>
      <c r="CX137" s="59">
        <f t="shared" si="122"/>
        <v>293.33333333334531</v>
      </c>
      <c r="CY137" s="59">
        <f ca="1">AVERAGE(OFFSET($CX$3,0,0,'Données projet'!$E$13+1,1))-AVERAGE(OFFSET($H$3,0,0,'Données projet'!$E$13+1,1))</f>
        <v>280.25710840677186</v>
      </c>
      <c r="CZ137" s="59">
        <f t="shared" si="150"/>
        <v>209.65224013288037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161.12299454292295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161.12299454292295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243</v>
      </c>
      <c r="DP137" s="17">
        <f>DO137*VLOOKUP('Données projet'!$B$14,Paramètres!$A$1:$I$89,3,0)*VLOOKUP('Données projet'!$B$14,Paramètres!$A$1:$I$89,5,0)</f>
        <v>253.98360000000002</v>
      </c>
      <c r="DQ137" s="13">
        <f t="shared" si="151"/>
        <v>61.438182405444294</v>
      </c>
      <c r="DR137" s="20">
        <f t="shared" si="124"/>
        <v>549.35960435614891</v>
      </c>
      <c r="DS137" s="59">
        <f t="shared" si="125"/>
        <v>842.69293768948228</v>
      </c>
      <c r="DT137" s="59">
        <f ca="1">AVERAGE(OFFSET($DS$3,0,0,'Données projet'!$E$14+1,1))-AVERAGE(OFFSET($H$3,0,0,'Données projet'!$E$14+1,1))</f>
        <v>330.14201227773452</v>
      </c>
      <c r="DU137" s="59">
        <f t="shared" si="152"/>
        <v>307.07297894926467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16.628885159852498</v>
      </c>
      <c r="EB137" s="21">
        <f>EXP(-LN(2)/25)*EB136+(1-EXP(-LN(2)/25))/(LN(2)/25)*Calculateur!DW137*Calculateur!DY137*VLOOKUP('Données projet'!$B$14,Paramètres!$A$1:$I$89,3,0)*0.475*44/12</f>
        <v>6.9405868966617748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23.569472056514272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236.00000000000009</v>
      </c>
      <c r="EK137" s="17">
        <f>EJ137*VLOOKUP('Données projet'!$B$15,Paramètres!$A$1:$I$89,3,0)*VLOOKUP('Données projet'!$B$15,Paramètres!$A$1:$I$89,5,0)</f>
        <v>154.62720000000004</v>
      </c>
      <c r="EL137" s="13">
        <f t="shared" si="153"/>
        <v>39.62826685000794</v>
      </c>
      <c r="EM137" s="20">
        <f t="shared" si="127"/>
        <v>338.32827143043056</v>
      </c>
      <c r="EN137" s="59">
        <f t="shared" si="128"/>
        <v>631.66160476376388</v>
      </c>
      <c r="EO137" s="59">
        <f ca="1">AVERAGE(OFFSET($EN$3,0,0,'Données projet'!$E$15+1,1))-AVERAGE(OFFSET($H$3,0,0,'Données projet'!$E$15+1,1))</f>
        <v>183.30081488041924</v>
      </c>
      <c r="EP137" s="59">
        <f t="shared" si="154"/>
        <v>199.33099759570928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1.5606630363738165</v>
      </c>
      <c r="EW137" s="21">
        <f>EXP(-LN(2)/25)*EW136+(1-EXP(-LN(2)/25))/(LN(2)/25)*Calculateur!ER137*Calculateur!ET137*VLOOKUP('Données projet'!$B$15,Paramètres!$A$1:$I$89,3,0)*0.475*44/12</f>
        <v>4.1106423060289439</v>
      </c>
      <c r="EX137" s="21">
        <f>EXP(-LN(2)/2)*EX136+(1-EXP(-LN(2)/2))/(LN(2)/2)*ER137*EU137*VLOOKUP('Données projet'!$B$15,Paramètres!$A$1:$I$89,3,0)*0.475*44/12</f>
        <v>5.1100296724516408E-7</v>
      </c>
      <c r="EY137" s="22">
        <f t="shared" si="129"/>
        <v>5.6713058534057277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1.5961632016114892E-13</v>
      </c>
      <c r="P138" s="13">
        <f t="shared" si="141"/>
        <v>2.2708641912150958E-12</v>
      </c>
      <c r="Q138" s="20">
        <f t="shared" si="108"/>
        <v>4.2330868906469593E-12</v>
      </c>
      <c r="R138" s="59">
        <f t="shared" si="109"/>
        <v>293.33333333333752</v>
      </c>
      <c r="S138" s="59">
        <f ca="1">AVERAGE(OFFSET($R$3,0,0,'Données projet'!$E$9+1,1))-AVERAGE(OFFSET($H$3,0,0,'Données projet'!$E$9+1,1))</f>
        <v>205.73717397588365</v>
      </c>
      <c r="T138" s="59">
        <f t="shared" si="142"/>
        <v>190.64998698136026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96.729808414343239</v>
      </c>
      <c r="AA138" s="21">
        <f>EXP(-LN(2)/25)*AA137+(1-EXP(-LN(2)/25))/(LN(2)/25)*Calculateur!V138*Calculateur!X138*VLOOKUP('Données projet'!$B$9,Paramètres!$A$1:$I$89,3,0)*0.475*44/12</f>
        <v>19.117805978600369</v>
      </c>
      <c r="AB138" s="21">
        <f>EXP(-LN(2)/2)*AB137+(1-EXP(-LN(2)/2))/(LN(2)/2)*V138*Y138*VLOOKUP('Données projet'!$B$9,Paramètres!$A$1:$I$89,3,0)*0.475*44/12</f>
        <v>6.7708255749977342E-4</v>
      </c>
      <c r="AC138" s="22">
        <f t="shared" si="111"/>
        <v>115.84829147550111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283.73369613548124</v>
      </c>
      <c r="AO138" s="59">
        <f t="shared" si="144"/>
        <v>249.77804091581208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-6.3550942286383367E-14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278.5296012747549</v>
      </c>
      <c r="BJ138" s="59">
        <f t="shared" si="146"/>
        <v>370.55343097937077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46.48370450585324</v>
      </c>
      <c r="BQ138" s="21">
        <f>EXP(-LN(2)/25)*BQ137+(1-EXP(-LN(2)/25))/(LN(2)/25)*Calculateur!BL138*Calculateur!BN138*VLOOKUP('Données projet'!$B$11,Paramètres!$A$1:$I$89,3,0)*0.475*44/12</f>
        <v>6.2687998265206728</v>
      </c>
      <c r="BR138" s="21">
        <f>EXP(-LN(2)/2)*BR137+(1-EXP(-LN(2)/2))/(LN(2)/2)*BL138*BO138*VLOOKUP('Données projet'!$B$11,Paramètres!$A$1:$I$89,3,0)*0.475*44/12</f>
        <v>3.1069524997394613E-11</v>
      </c>
      <c r="BS138" s="22">
        <f t="shared" si="117"/>
        <v>52.752504332404982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-3.1036506698001178E-14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159.92263609041913</v>
      </c>
      <c r="CE138" s="59">
        <f t="shared" si="148"/>
        <v>271.78119133009307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10.276249644322002</v>
      </c>
      <c r="CL138" s="21">
        <f>EXP(-LN(2)/25)*CL137+(1-EXP(-LN(2)/25))/(LN(2)/25)*Calculateur!CG138*Calculateur!CI138*VLOOKUP('Données projet'!$B$12,Paramètres!$A$1:$I$89,3,0)*0.475*44/12</f>
        <v>10.763597780557365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21.039847424879369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5.6843418860808015E-13</v>
      </c>
      <c r="CU138" s="17">
        <f>CT138*VLOOKUP('Données projet'!$B$13,Paramètres!$A$1:$I$89,3,0)*VLOOKUP('Données projet'!$B$13,Paramètres!$A$1:$I$89,5,0)</f>
        <v>5.1431925385259092E-13</v>
      </c>
      <c r="CV138" s="13">
        <f t="shared" si="149"/>
        <v>6.3855359115685756E-12</v>
      </c>
      <c r="CW138" s="20">
        <f t="shared" si="121"/>
        <v>1.2017247746441865E-11</v>
      </c>
      <c r="CX138" s="59">
        <f t="shared" si="122"/>
        <v>293.33333333334531</v>
      </c>
      <c r="CY138" s="59">
        <f ca="1">AVERAGE(OFFSET($CX$3,0,0,'Données projet'!$E$13+1,1))-AVERAGE(OFFSET($H$3,0,0,'Données projet'!$E$13+1,1))</f>
        <v>280.25710840677186</v>
      </c>
      <c r="CZ138" s="59">
        <f t="shared" si="150"/>
        <v>209.65224013288037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157.96347089525904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157.96347089525904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243</v>
      </c>
      <c r="DP138" s="17">
        <f>DO138*VLOOKUP('Données projet'!$B$14,Paramètres!$A$1:$I$89,3,0)*VLOOKUP('Données projet'!$B$14,Paramètres!$A$1:$I$89,5,0)</f>
        <v>253.98360000000002</v>
      </c>
      <c r="DQ138" s="13">
        <f t="shared" si="151"/>
        <v>61.438182405444294</v>
      </c>
      <c r="DR138" s="20">
        <f t="shared" si="124"/>
        <v>549.35960435614891</v>
      </c>
      <c r="DS138" s="59">
        <f t="shared" si="125"/>
        <v>842.69293768948228</v>
      </c>
      <c r="DT138" s="59">
        <f ca="1">AVERAGE(OFFSET($DS$3,0,0,'Données projet'!$E$14+1,1))-AVERAGE(OFFSET($H$3,0,0,'Données projet'!$E$14+1,1))</f>
        <v>330.14201227773452</v>
      </c>
      <c r="DU138" s="59">
        <f t="shared" si="152"/>
        <v>307.07297894926467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16.302802864486239</v>
      </c>
      <c r="EB138" s="21">
        <f>EXP(-LN(2)/25)*EB137+(1-EXP(-LN(2)/25))/(LN(2)/25)*Calculateur!DW138*Calculateur!DY138*VLOOKUP('Données projet'!$B$14,Paramètres!$A$1:$I$89,3,0)*0.475*44/12</f>
        <v>6.7507961829829561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23.053599047469195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236.00000000000009</v>
      </c>
      <c r="EK138" s="17">
        <f>EJ138*VLOOKUP('Données projet'!$B$15,Paramètres!$A$1:$I$89,3,0)*VLOOKUP('Données projet'!$B$15,Paramètres!$A$1:$I$89,5,0)</f>
        <v>154.62720000000004</v>
      </c>
      <c r="EL138" s="13">
        <f t="shared" si="153"/>
        <v>39.62826685000794</v>
      </c>
      <c r="EM138" s="20">
        <f t="shared" si="127"/>
        <v>338.32827143043056</v>
      </c>
      <c r="EN138" s="59">
        <f t="shared" si="128"/>
        <v>631.66160476376388</v>
      </c>
      <c r="EO138" s="59">
        <f ca="1">AVERAGE(OFFSET($EN$3,0,0,'Données projet'!$E$15+1,1))-AVERAGE(OFFSET($H$3,0,0,'Données projet'!$E$15+1,1))</f>
        <v>183.30081488041924</v>
      </c>
      <c r="EP138" s="59">
        <f t="shared" si="154"/>
        <v>199.33099759570928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1.5300593861409848</v>
      </c>
      <c r="EW138" s="21">
        <f>EXP(-LN(2)/25)*EW137+(1-EXP(-LN(2)/25))/(LN(2)/25)*Calculateur!ER138*Calculateur!ET138*VLOOKUP('Données projet'!$B$15,Paramètres!$A$1:$I$89,3,0)*0.475*44/12</f>
        <v>3.9982365760012986</v>
      </c>
      <c r="EX138" s="21">
        <f>EXP(-LN(2)/2)*EX137+(1-EXP(-LN(2)/2))/(LN(2)/2)*ER138*EU138*VLOOKUP('Données projet'!$B$15,Paramètres!$A$1:$I$89,3,0)*0.475*44/12</f>
        <v>3.6133366334550275E-7</v>
      </c>
      <c r="EY138" s="22">
        <f t="shared" si="129"/>
        <v>5.5282963234759466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1.5961632016114892E-13</v>
      </c>
      <c r="P139" s="13">
        <f t="shared" si="141"/>
        <v>2.2708641912150958E-12</v>
      </c>
      <c r="Q139" s="20">
        <f t="shared" si="108"/>
        <v>4.2330868906469593E-12</v>
      </c>
      <c r="R139" s="59">
        <f t="shared" si="109"/>
        <v>293.33333333333752</v>
      </c>
      <c r="S139" s="59">
        <f ca="1">AVERAGE(OFFSET($R$3,0,0,'Données projet'!$E$9+1,1))-AVERAGE(OFFSET($H$3,0,0,'Données projet'!$E$9+1,1))</f>
        <v>205.73717397588365</v>
      </c>
      <c r="T139" s="59">
        <f t="shared" si="142"/>
        <v>190.64998698136026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94.832995870695399</v>
      </c>
      <c r="AA139" s="21">
        <f>EXP(-LN(2)/25)*AA138+(1-EXP(-LN(2)/25))/(LN(2)/25)*Calculateur!V139*Calculateur!X139*VLOOKUP('Données projet'!$B$9,Paramètres!$A$1:$I$89,3,0)*0.475*44/12</f>
        <v>18.595028568753822</v>
      </c>
      <c r="AB139" s="21">
        <f>EXP(-LN(2)/2)*AB138+(1-EXP(-LN(2)/2))/(LN(2)/2)*V139*Y139*VLOOKUP('Données projet'!$B$9,Paramètres!$A$1:$I$89,3,0)*0.475*44/12</f>
        <v>4.7876966783122032E-4</v>
      </c>
      <c r="AC139" s="22">
        <f t="shared" si="111"/>
        <v>113.42850320911705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283.73369613548124</v>
      </c>
      <c r="AO139" s="59">
        <f t="shared" si="144"/>
        <v>249.77804091581208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-6.3550942286383367E-14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278.5296012747549</v>
      </c>
      <c r="BJ139" s="59">
        <f t="shared" si="146"/>
        <v>370.55343097937077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45.572187412753649</v>
      </c>
      <c r="BQ139" s="21">
        <f>EXP(-LN(2)/25)*BQ138+(1-EXP(-LN(2)/25))/(LN(2)/25)*Calculateur!BL139*Calculateur!BN139*VLOOKUP('Données projet'!$B$11,Paramètres!$A$1:$I$89,3,0)*0.475*44/12</f>
        <v>6.09737916560261</v>
      </c>
      <c r="BR139" s="21">
        <f>EXP(-LN(2)/2)*BR138+(1-EXP(-LN(2)/2))/(LN(2)/2)*BL139*BO139*VLOOKUP('Données projet'!$B$11,Paramètres!$A$1:$I$89,3,0)*0.475*44/12</f>
        <v>2.1969471813902681E-11</v>
      </c>
      <c r="BS139" s="22">
        <f t="shared" si="117"/>
        <v>51.66956657837823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-3.1036506698001178E-14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159.92263609041913</v>
      </c>
      <c r="CE139" s="59">
        <f t="shared" si="148"/>
        <v>271.78119133009307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10.074738656690228</v>
      </c>
      <c r="CL139" s="21">
        <f>EXP(-LN(2)/25)*CL138+(1-EXP(-LN(2)/25))/(LN(2)/25)*Calculateur!CG139*Calculateur!CI139*VLOOKUP('Données projet'!$B$12,Paramètres!$A$1:$I$89,3,0)*0.475*44/12</f>
        <v>10.469266633215017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20.544005289905243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5.6843418860808015E-13</v>
      </c>
      <c r="CU139" s="17">
        <f>CT139*VLOOKUP('Données projet'!$B$13,Paramètres!$A$1:$I$89,3,0)*VLOOKUP('Données projet'!$B$13,Paramètres!$A$1:$I$89,5,0)</f>
        <v>5.1431925385259092E-13</v>
      </c>
      <c r="CV139" s="13">
        <f t="shared" si="149"/>
        <v>6.3855359115685756E-12</v>
      </c>
      <c r="CW139" s="20">
        <f t="shared" si="121"/>
        <v>1.2017247746441865E-11</v>
      </c>
      <c r="CX139" s="59">
        <f t="shared" si="122"/>
        <v>293.33333333334531</v>
      </c>
      <c r="CY139" s="59">
        <f ca="1">AVERAGE(OFFSET($CX$3,0,0,'Données projet'!$E$13+1,1))-AVERAGE(OFFSET($H$3,0,0,'Données projet'!$E$13+1,1))</f>
        <v>280.25710840677186</v>
      </c>
      <c r="CZ139" s="59">
        <f t="shared" si="150"/>
        <v>209.65224013288037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154.86590357920664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154.86590357920664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243</v>
      </c>
      <c r="DP139" s="17">
        <f>DO139*VLOOKUP('Données projet'!$B$14,Paramètres!$A$1:$I$89,3,0)*VLOOKUP('Données projet'!$B$14,Paramètres!$A$1:$I$89,5,0)</f>
        <v>253.98360000000002</v>
      </c>
      <c r="DQ139" s="13">
        <f t="shared" si="151"/>
        <v>61.438182405444294</v>
      </c>
      <c r="DR139" s="20">
        <f t="shared" si="124"/>
        <v>549.35960435614891</v>
      </c>
      <c r="DS139" s="59">
        <f t="shared" si="125"/>
        <v>842.69293768948228</v>
      </c>
      <c r="DT139" s="59">
        <f ca="1">AVERAGE(OFFSET($DS$3,0,0,'Données projet'!$E$14+1,1))-AVERAGE(OFFSET($H$3,0,0,'Données projet'!$E$14+1,1))</f>
        <v>330.14201227773452</v>
      </c>
      <c r="DU139" s="59">
        <f t="shared" si="152"/>
        <v>307.07297894926467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15.98311484404155</v>
      </c>
      <c r="EB139" s="21">
        <f>EXP(-LN(2)/25)*EB138+(1-EXP(-LN(2)/25))/(LN(2)/25)*Calculateur!DW139*Calculateur!DY139*VLOOKUP('Données projet'!$B$14,Paramètres!$A$1:$I$89,3,0)*0.475*44/12</f>
        <v>6.5661953063503447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22.549310150391896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236.00000000000009</v>
      </c>
      <c r="EK139" s="17">
        <f>EJ139*VLOOKUP('Données projet'!$B$15,Paramètres!$A$1:$I$89,3,0)*VLOOKUP('Données projet'!$B$15,Paramètres!$A$1:$I$89,5,0)</f>
        <v>154.62720000000004</v>
      </c>
      <c r="EL139" s="13">
        <f t="shared" si="153"/>
        <v>39.62826685000794</v>
      </c>
      <c r="EM139" s="20">
        <f t="shared" si="127"/>
        <v>338.32827143043056</v>
      </c>
      <c r="EN139" s="59">
        <f t="shared" si="128"/>
        <v>631.66160476376388</v>
      </c>
      <c r="EO139" s="59">
        <f ca="1">AVERAGE(OFFSET($EN$3,0,0,'Données projet'!$E$15+1,1))-AVERAGE(OFFSET($H$3,0,0,'Données projet'!$E$15+1,1))</f>
        <v>183.30081488041924</v>
      </c>
      <c r="EP139" s="59">
        <f t="shared" si="154"/>
        <v>199.33099759570928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1.5000558548228355</v>
      </c>
      <c r="EW139" s="21">
        <f>EXP(-LN(2)/25)*EW138+(1-EXP(-LN(2)/25))/(LN(2)/25)*Calculateur!ER139*Calculateur!ET139*VLOOKUP('Données projet'!$B$15,Paramètres!$A$1:$I$89,3,0)*0.475*44/12</f>
        <v>3.8889045865724197</v>
      </c>
      <c r="EX139" s="21">
        <f>EXP(-LN(2)/2)*EX138+(1-EXP(-LN(2)/2))/(LN(2)/2)*ER139*EU139*VLOOKUP('Données projet'!$B$15,Paramètres!$A$1:$I$89,3,0)*0.475*44/12</f>
        <v>2.5550148362258204E-7</v>
      </c>
      <c r="EY139" s="22">
        <f t="shared" si="129"/>
        <v>5.3889606968967394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1.5961632016114892E-13</v>
      </c>
      <c r="P140" s="13">
        <f t="shared" si="141"/>
        <v>2.2708641912150958E-12</v>
      </c>
      <c r="Q140" s="20">
        <f t="shared" si="108"/>
        <v>4.2330868906469593E-12</v>
      </c>
      <c r="R140" s="59">
        <f t="shared" si="109"/>
        <v>293.33333333333752</v>
      </c>
      <c r="S140" s="59">
        <f ca="1">AVERAGE(OFFSET($R$3,0,0,'Données projet'!$E$9+1,1))-AVERAGE(OFFSET($H$3,0,0,'Données projet'!$E$9+1,1))</f>
        <v>205.73717397588365</v>
      </c>
      <c r="T140" s="59">
        <f t="shared" si="142"/>
        <v>190.64998698136026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92.973378664087079</v>
      </c>
      <c r="AA140" s="21">
        <f>EXP(-LN(2)/25)*AA139+(1-EXP(-LN(2)/25))/(LN(2)/25)*Calculateur!V140*Calculateur!X140*VLOOKUP('Données projet'!$B$9,Paramètres!$A$1:$I$89,3,0)*0.475*44/12</f>
        <v>18.086546534671196</v>
      </c>
      <c r="AB140" s="21">
        <f>EXP(-LN(2)/2)*AB139+(1-EXP(-LN(2)/2))/(LN(2)/2)*V140*Y140*VLOOKUP('Données projet'!$B$9,Paramètres!$A$1:$I$89,3,0)*0.475*44/12</f>
        <v>3.3854127874988676E-4</v>
      </c>
      <c r="AC140" s="22">
        <f t="shared" si="111"/>
        <v>111.06026374003703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283.73369613548124</v>
      </c>
      <c r="AO140" s="59">
        <f t="shared" si="144"/>
        <v>249.77804091581208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-6.3550942286383367E-14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278.5296012747549</v>
      </c>
      <c r="BJ140" s="59">
        <f t="shared" si="146"/>
        <v>370.55343097937077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44.678544613879218</v>
      </c>
      <c r="BQ140" s="21">
        <f>EXP(-LN(2)/25)*BQ139+(1-EXP(-LN(2)/25))/(LN(2)/25)*Calculateur!BL140*Calculateur!BN140*VLOOKUP('Données projet'!$B$11,Paramètres!$A$1:$I$89,3,0)*0.475*44/12</f>
        <v>5.9306460116719721</v>
      </c>
      <c r="BR140" s="21">
        <f>EXP(-LN(2)/2)*BR139+(1-EXP(-LN(2)/2))/(LN(2)/2)*BL140*BO140*VLOOKUP('Données projet'!$B$11,Paramètres!$A$1:$I$89,3,0)*0.475*44/12</f>
        <v>1.5534762498697307E-11</v>
      </c>
      <c r="BS140" s="22">
        <f t="shared" si="117"/>
        <v>50.609190625566725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-3.1036506698001178E-14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159.92263609041913</v>
      </c>
      <c r="CE140" s="59">
        <f t="shared" si="148"/>
        <v>271.78119133009307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9.8771791766163464</v>
      </c>
      <c r="CL140" s="21">
        <f>EXP(-LN(2)/25)*CL139+(1-EXP(-LN(2)/25))/(LN(2)/25)*Calculateur!CG140*Calculateur!CI140*VLOOKUP('Données projet'!$B$12,Paramètres!$A$1:$I$89,3,0)*0.475*44/12</f>
        <v>10.182983986574948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20.060163163191294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5.6843418860808015E-13</v>
      </c>
      <c r="CU140" s="17">
        <f>CT140*VLOOKUP('Données projet'!$B$13,Paramètres!$A$1:$I$89,3,0)*VLOOKUP('Données projet'!$B$13,Paramètres!$A$1:$I$89,5,0)</f>
        <v>5.1431925385259092E-13</v>
      </c>
      <c r="CV140" s="13">
        <f t="shared" si="149"/>
        <v>6.3855359115685756E-12</v>
      </c>
      <c r="CW140" s="20">
        <f t="shared" si="121"/>
        <v>1.2017247746441865E-11</v>
      </c>
      <c r="CX140" s="59">
        <f t="shared" si="122"/>
        <v>293.33333333334531</v>
      </c>
      <c r="CY140" s="59">
        <f ca="1">AVERAGE(OFFSET($CX$3,0,0,'Données projet'!$E$13+1,1))-AVERAGE(OFFSET($H$3,0,0,'Données projet'!$E$13+1,1))</f>
        <v>280.25710840677186</v>
      </c>
      <c r="CZ140" s="59">
        <f t="shared" si="150"/>
        <v>209.65224013288037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151.82907766889255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151.82907766889255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243</v>
      </c>
      <c r="DP140" s="17">
        <f>DO140*VLOOKUP('Données projet'!$B$14,Paramètres!$A$1:$I$89,3,0)*VLOOKUP('Données projet'!$B$14,Paramètres!$A$1:$I$89,5,0)</f>
        <v>253.98360000000002</v>
      </c>
      <c r="DQ140" s="13">
        <f t="shared" si="151"/>
        <v>61.438182405444294</v>
      </c>
      <c r="DR140" s="20">
        <f t="shared" si="124"/>
        <v>549.35960435614891</v>
      </c>
      <c r="DS140" s="59">
        <f t="shared" si="125"/>
        <v>842.69293768948228</v>
      </c>
      <c r="DT140" s="59">
        <f ca="1">AVERAGE(OFFSET($DS$3,0,0,'Données projet'!$E$14+1,1))-AVERAGE(OFFSET($H$3,0,0,'Données projet'!$E$14+1,1))</f>
        <v>330.14201227773452</v>
      </c>
      <c r="DU140" s="59">
        <f t="shared" si="152"/>
        <v>307.07297894926467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15.669695710687343</v>
      </c>
      <c r="EB140" s="21">
        <f>EXP(-LN(2)/25)*EB139+(1-EXP(-LN(2)/25))/(LN(2)/25)*Calculateur!DW140*Calculateur!DY140*VLOOKUP('Données projet'!$B$14,Paramètres!$A$1:$I$89,3,0)*0.475*44/12</f>
        <v>6.3866423503969907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22.056338061084332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236.00000000000009</v>
      </c>
      <c r="EK140" s="17">
        <f>EJ140*VLOOKUP('Données projet'!$B$15,Paramètres!$A$1:$I$89,3,0)*VLOOKUP('Données projet'!$B$15,Paramètres!$A$1:$I$89,5,0)</f>
        <v>154.62720000000004</v>
      </c>
      <c r="EL140" s="13">
        <f t="shared" si="153"/>
        <v>39.62826685000794</v>
      </c>
      <c r="EM140" s="20">
        <f t="shared" si="127"/>
        <v>338.32827143043056</v>
      </c>
      <c r="EN140" s="59">
        <f t="shared" si="128"/>
        <v>631.66160476376388</v>
      </c>
      <c r="EO140" s="59">
        <f ca="1">AVERAGE(OFFSET($EN$3,0,0,'Données projet'!$E$15+1,1))-AVERAGE(OFFSET($H$3,0,0,'Données projet'!$E$15+1,1))</f>
        <v>183.30081488041924</v>
      </c>
      <c r="EP140" s="59">
        <f t="shared" si="154"/>
        <v>199.33099759570928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1.4706406744534879</v>
      </c>
      <c r="EW140" s="21">
        <f>EXP(-LN(2)/25)*EW139+(1-EXP(-LN(2)/25))/(LN(2)/25)*Calculateur!ER140*Calculateur!ET140*VLOOKUP('Données projet'!$B$15,Paramètres!$A$1:$I$89,3,0)*0.475*44/12</f>
        <v>3.7825622861439929</v>
      </c>
      <c r="EX140" s="21">
        <f>EXP(-LN(2)/2)*EX139+(1-EXP(-LN(2)/2))/(LN(2)/2)*ER140*EU140*VLOOKUP('Données projet'!$B$15,Paramètres!$A$1:$I$89,3,0)*0.475*44/12</f>
        <v>1.8066683167275137E-7</v>
      </c>
      <c r="EY140" s="22">
        <f t="shared" si="129"/>
        <v>5.2532031412643123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1.5961632016114892E-13</v>
      </c>
      <c r="P141" s="13">
        <f t="shared" si="141"/>
        <v>2.2708641912150958E-12</v>
      </c>
      <c r="Q141" s="20">
        <f t="shared" si="108"/>
        <v>4.2330868906469593E-12</v>
      </c>
      <c r="R141" s="59">
        <f t="shared" si="109"/>
        <v>293.33333333333752</v>
      </c>
      <c r="S141" s="59">
        <f ca="1">AVERAGE(OFFSET($R$3,0,0,'Données projet'!$E$9+1,1))-AVERAGE(OFFSET($H$3,0,0,'Données projet'!$E$9+1,1))</f>
        <v>205.73717397588365</v>
      </c>
      <c r="T141" s="59">
        <f t="shared" si="142"/>
        <v>190.64998698136026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91.150227416645848</v>
      </c>
      <c r="AA141" s="21">
        <f>EXP(-LN(2)/25)*AA140+(1-EXP(-LN(2)/25))/(LN(2)/25)*Calculateur!V141*Calculateur!X141*VLOOKUP('Données projet'!$B$9,Paramètres!$A$1:$I$89,3,0)*0.475*44/12</f>
        <v>17.591968968550468</v>
      </c>
      <c r="AB141" s="21">
        <f>EXP(-LN(2)/2)*AB140+(1-EXP(-LN(2)/2))/(LN(2)/2)*V141*Y141*VLOOKUP('Données projet'!$B$9,Paramètres!$A$1:$I$89,3,0)*0.475*44/12</f>
        <v>2.3938483391561019E-4</v>
      </c>
      <c r="AC141" s="22">
        <f t="shared" si="111"/>
        <v>108.74243577003023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283.73369613548124</v>
      </c>
      <c r="AO141" s="59">
        <f t="shared" si="144"/>
        <v>249.77804091581208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-6.3550942286383367E-14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278.5296012747549</v>
      </c>
      <c r="BJ141" s="59">
        <f t="shared" si="146"/>
        <v>370.55343097937077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43.802425605222425</v>
      </c>
      <c r="BQ141" s="21">
        <f>EXP(-LN(2)/25)*BQ140+(1-EXP(-LN(2)/25))/(LN(2)/25)*Calculateur!BL141*Calculateur!BN141*VLOOKUP('Données projet'!$B$11,Paramètres!$A$1:$I$89,3,0)*0.475*44/12</f>
        <v>5.7684721846036826</v>
      </c>
      <c r="BR141" s="21">
        <f>EXP(-LN(2)/2)*BR140+(1-EXP(-LN(2)/2))/(LN(2)/2)*BL141*BO141*VLOOKUP('Données projet'!$B$11,Paramètres!$A$1:$I$89,3,0)*0.475*44/12</f>
        <v>1.0984735906951341E-11</v>
      </c>
      <c r="BS141" s="22">
        <f t="shared" si="117"/>
        <v>49.57089778983709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-3.1036506698001178E-14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159.92263609041913</v>
      </c>
      <c r="CE141" s="59">
        <f t="shared" si="148"/>
        <v>271.78119133009307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9.6834937174473286</v>
      </c>
      <c r="CL141" s="21">
        <f>EXP(-LN(2)/25)*CL140+(1-EXP(-LN(2)/25))/(LN(2)/25)*Calculateur!CG141*Calculateur!CI141*VLOOKUP('Données projet'!$B$12,Paramètres!$A$1:$I$89,3,0)*0.475*44/12</f>
        <v>9.9045297539622013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19.588023471409528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5.6843418860808015E-13</v>
      </c>
      <c r="CU141" s="17">
        <f>CT141*VLOOKUP('Données projet'!$B$13,Paramètres!$A$1:$I$89,3,0)*VLOOKUP('Données projet'!$B$13,Paramètres!$A$1:$I$89,5,0)</f>
        <v>5.1431925385259092E-13</v>
      </c>
      <c r="CV141" s="13">
        <f t="shared" si="149"/>
        <v>6.3855359115685756E-12</v>
      </c>
      <c r="CW141" s="20">
        <f t="shared" si="121"/>
        <v>1.2017247746441865E-11</v>
      </c>
      <c r="CX141" s="59">
        <f t="shared" si="122"/>
        <v>293.33333333334531</v>
      </c>
      <c r="CY141" s="59">
        <f ca="1">AVERAGE(OFFSET($CX$3,0,0,'Données projet'!$E$13+1,1))-AVERAGE(OFFSET($H$3,0,0,'Données projet'!$E$13+1,1))</f>
        <v>280.25710840677186</v>
      </c>
      <c r="CZ141" s="59">
        <f t="shared" si="150"/>
        <v>209.65224013288037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148.8518020623988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148.8518020623988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243</v>
      </c>
      <c r="DP141" s="17">
        <f>DO141*VLOOKUP('Données projet'!$B$14,Paramètres!$A$1:$I$89,3,0)*VLOOKUP('Données projet'!$B$14,Paramètres!$A$1:$I$89,5,0)</f>
        <v>253.98360000000002</v>
      </c>
      <c r="DQ141" s="13">
        <f t="shared" si="151"/>
        <v>61.438182405444294</v>
      </c>
      <c r="DR141" s="20">
        <f t="shared" si="124"/>
        <v>549.35960435614891</v>
      </c>
      <c r="DS141" s="59">
        <f t="shared" si="125"/>
        <v>842.69293768948228</v>
      </c>
      <c r="DT141" s="59">
        <f ca="1">AVERAGE(OFFSET($DS$3,0,0,'Données projet'!$E$14+1,1))-AVERAGE(OFFSET($H$3,0,0,'Données projet'!$E$14+1,1))</f>
        <v>330.14201227773452</v>
      </c>
      <c r="DU141" s="59">
        <f t="shared" si="152"/>
        <v>307.07297894926467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15.362422535371415</v>
      </c>
      <c r="EB141" s="21">
        <f>EXP(-LN(2)/25)*EB140+(1-EXP(-LN(2)/25))/(LN(2)/25)*Calculateur!DW141*Calculateur!DY141*VLOOKUP('Données projet'!$B$14,Paramètres!$A$1:$I$89,3,0)*0.475*44/12</f>
        <v>6.2119992794664602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21.574421814837876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236.00000000000009</v>
      </c>
      <c r="EK141" s="17">
        <f>EJ141*VLOOKUP('Données projet'!$B$15,Paramètres!$A$1:$I$89,3,0)*VLOOKUP('Données projet'!$B$15,Paramètres!$A$1:$I$89,5,0)</f>
        <v>154.62720000000004</v>
      </c>
      <c r="EL141" s="13">
        <f t="shared" si="153"/>
        <v>39.62826685000794</v>
      </c>
      <c r="EM141" s="20">
        <f t="shared" si="127"/>
        <v>338.32827143043056</v>
      </c>
      <c r="EN141" s="59">
        <f t="shared" si="128"/>
        <v>631.66160476376388</v>
      </c>
      <c r="EO141" s="59">
        <f ca="1">AVERAGE(OFFSET($EN$3,0,0,'Données projet'!$E$15+1,1))-AVERAGE(OFFSET($H$3,0,0,'Données projet'!$E$15+1,1))</f>
        <v>183.30081488041924</v>
      </c>
      <c r="EP141" s="59">
        <f t="shared" si="154"/>
        <v>199.33099759570928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1.4418023078296949</v>
      </c>
      <c r="EW141" s="21">
        <f>EXP(-LN(2)/25)*EW140+(1-EXP(-LN(2)/25))/(LN(2)/25)*Calculateur!ER141*Calculateur!ET141*VLOOKUP('Données projet'!$B$15,Paramètres!$A$1:$I$89,3,0)*0.475*44/12</f>
        <v>3.6791279215130799</v>
      </c>
      <c r="EX141" s="21">
        <f>EXP(-LN(2)/2)*EX140+(1-EXP(-LN(2)/2))/(LN(2)/2)*ER141*EU141*VLOOKUP('Données projet'!$B$15,Paramètres!$A$1:$I$89,3,0)*0.475*44/12</f>
        <v>1.2775074181129102E-7</v>
      </c>
      <c r="EY141" s="22">
        <f t="shared" si="129"/>
        <v>5.1209303570935161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1.5961632016114892E-13</v>
      </c>
      <c r="P142" s="13">
        <f t="shared" si="141"/>
        <v>2.2708641912150958E-12</v>
      </c>
      <c r="Q142" s="20">
        <f t="shared" si="108"/>
        <v>4.2330868906469593E-12</v>
      </c>
      <c r="R142" s="59">
        <f t="shared" si="109"/>
        <v>293.33333333333752</v>
      </c>
      <c r="S142" s="59">
        <f ca="1">AVERAGE(OFFSET($R$3,0,0,'Données projet'!$E$9+1,1))-AVERAGE(OFFSET($H$3,0,0,'Données projet'!$E$9+1,1))</f>
        <v>205.73717397588365</v>
      </c>
      <c r="T142" s="59">
        <f t="shared" si="142"/>
        <v>190.64998698136026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89.36282705315449</v>
      </c>
      <c r="AA142" s="21">
        <f>EXP(-LN(2)/25)*AA141+(1-EXP(-LN(2)/25))/(LN(2)/25)*Calculateur!V142*Calculateur!X142*VLOOKUP('Données projet'!$B$9,Paramètres!$A$1:$I$89,3,0)*0.475*44/12</f>
        <v>17.110915651984016</v>
      </c>
      <c r="AB142" s="21">
        <f>EXP(-LN(2)/2)*AB141+(1-EXP(-LN(2)/2))/(LN(2)/2)*V142*Y142*VLOOKUP('Données projet'!$B$9,Paramètres!$A$1:$I$89,3,0)*0.475*44/12</f>
        <v>1.6927063937494341E-4</v>
      </c>
      <c r="AC142" s="22">
        <f t="shared" si="111"/>
        <v>106.47391197577788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283.73369613548124</v>
      </c>
      <c r="AO142" s="59">
        <f t="shared" si="144"/>
        <v>249.77804091581208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-6.3550942286383367E-14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278.5296012747549</v>
      </c>
      <c r="BJ142" s="59">
        <f t="shared" si="146"/>
        <v>370.55343097937077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42.943486755945564</v>
      </c>
      <c r="BQ142" s="21">
        <f>EXP(-LN(2)/25)*BQ141+(1-EXP(-LN(2)/25))/(LN(2)/25)*Calculateur!BL142*Calculateur!BN142*VLOOKUP('Données projet'!$B$11,Paramètres!$A$1:$I$89,3,0)*0.475*44/12</f>
        <v>5.6107330093649264</v>
      </c>
      <c r="BR142" s="21">
        <f>EXP(-LN(2)/2)*BR141+(1-EXP(-LN(2)/2))/(LN(2)/2)*BL142*BO142*VLOOKUP('Données projet'!$B$11,Paramètres!$A$1:$I$89,3,0)*0.475*44/12</f>
        <v>7.7673812493486533E-12</v>
      </c>
      <c r="BS142" s="22">
        <f t="shared" si="117"/>
        <v>48.554219765318258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-3.1036506698001178E-14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159.92263609041913</v>
      </c>
      <c r="CE142" s="59">
        <f t="shared" si="148"/>
        <v>271.78119133009307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9.4936063119961513</v>
      </c>
      <c r="CL142" s="21">
        <f>EXP(-LN(2)/25)*CL141+(1-EXP(-LN(2)/25))/(LN(2)/25)*Calculateur!CG142*Calculateur!CI142*VLOOKUP('Données projet'!$B$12,Paramètres!$A$1:$I$89,3,0)*0.475*44/12</f>
        <v>9.6336898669835218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19.127296178979673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5.6843418860808015E-13</v>
      </c>
      <c r="CU142" s="17">
        <f>CT142*VLOOKUP('Données projet'!$B$13,Paramètres!$A$1:$I$89,3,0)*VLOOKUP('Données projet'!$B$13,Paramètres!$A$1:$I$89,5,0)</f>
        <v>5.1431925385259092E-13</v>
      </c>
      <c r="CV142" s="13">
        <f t="shared" si="149"/>
        <v>6.3855359115685756E-12</v>
      </c>
      <c r="CW142" s="20">
        <f t="shared" si="121"/>
        <v>1.2017247746441865E-11</v>
      </c>
      <c r="CX142" s="59">
        <f t="shared" si="122"/>
        <v>293.33333333334531</v>
      </c>
      <c r="CY142" s="59">
        <f ca="1">AVERAGE(OFFSET($CX$3,0,0,'Données projet'!$E$13+1,1))-AVERAGE(OFFSET($H$3,0,0,'Données projet'!$E$13+1,1))</f>
        <v>280.25710840677186</v>
      </c>
      <c r="CZ142" s="59">
        <f t="shared" si="150"/>
        <v>209.65224013288037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145.9329090145896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145.9329090145896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243</v>
      </c>
      <c r="DP142" s="17">
        <f>DO142*VLOOKUP('Données projet'!$B$14,Paramètres!$A$1:$I$89,3,0)*VLOOKUP('Données projet'!$B$14,Paramètres!$A$1:$I$89,5,0)</f>
        <v>253.98360000000002</v>
      </c>
      <c r="DQ142" s="13">
        <f t="shared" si="151"/>
        <v>61.438182405444294</v>
      </c>
      <c r="DR142" s="20">
        <f t="shared" si="124"/>
        <v>549.35960435614891</v>
      </c>
      <c r="DS142" s="59">
        <f t="shared" si="125"/>
        <v>842.69293768948228</v>
      </c>
      <c r="DT142" s="59">
        <f ca="1">AVERAGE(OFFSET($DS$3,0,0,'Données projet'!$E$14+1,1))-AVERAGE(OFFSET($H$3,0,0,'Données projet'!$E$14+1,1))</f>
        <v>330.14201227773452</v>
      </c>
      <c r="DU142" s="59">
        <f t="shared" si="152"/>
        <v>307.07297894926467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15.061174799605302</v>
      </c>
      <c r="EB142" s="21">
        <f>EXP(-LN(2)/25)*EB141+(1-EXP(-LN(2)/25))/(LN(2)/25)*Calculateur!DW142*Calculateur!DY142*VLOOKUP('Données projet'!$B$14,Paramètres!$A$1:$I$89,3,0)*0.475*44/12</f>
        <v>6.0421318324946052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21.103306632099908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236.00000000000009</v>
      </c>
      <c r="EK142" s="17">
        <f>EJ142*VLOOKUP('Données projet'!$B$15,Paramètres!$A$1:$I$89,3,0)*VLOOKUP('Données projet'!$B$15,Paramètres!$A$1:$I$89,5,0)</f>
        <v>154.62720000000004</v>
      </c>
      <c r="EL142" s="13">
        <f t="shared" si="153"/>
        <v>39.62826685000794</v>
      </c>
      <c r="EM142" s="20">
        <f t="shared" si="127"/>
        <v>338.32827143043056</v>
      </c>
      <c r="EN142" s="59">
        <f t="shared" si="128"/>
        <v>631.66160476376388</v>
      </c>
      <c r="EO142" s="59">
        <f ca="1">AVERAGE(OFFSET($EN$3,0,0,'Données projet'!$E$15+1,1))-AVERAGE(OFFSET($H$3,0,0,'Données projet'!$E$15+1,1))</f>
        <v>183.30081488041924</v>
      </c>
      <c r="EP142" s="59">
        <f t="shared" si="154"/>
        <v>199.33099759570928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1.4135294439857276</v>
      </c>
      <c r="EW142" s="21">
        <f>EXP(-LN(2)/25)*EW141+(1-EXP(-LN(2)/25))/(LN(2)/25)*Calculateur!ER142*Calculateur!ET142*VLOOKUP('Données projet'!$B$15,Paramètres!$A$1:$I$89,3,0)*0.475*44/12</f>
        <v>3.578521975022376</v>
      </c>
      <c r="EX142" s="21">
        <f>EXP(-LN(2)/2)*EX141+(1-EXP(-LN(2)/2))/(LN(2)/2)*ER142*EU142*VLOOKUP('Données projet'!$B$15,Paramètres!$A$1:$I$89,3,0)*0.475*44/12</f>
        <v>9.0333415836375687E-8</v>
      </c>
      <c r="EY142" s="22">
        <f t="shared" si="129"/>
        <v>4.9920515093415192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1.5961632016114892E-13</v>
      </c>
      <c r="P143" s="13">
        <f t="shared" si="141"/>
        <v>2.2708641912150958E-12</v>
      </c>
      <c r="Q143" s="20">
        <f t="shared" si="108"/>
        <v>4.2330868906469593E-12</v>
      </c>
      <c r="R143" s="59">
        <f t="shared" si="109"/>
        <v>293.33333333333752</v>
      </c>
      <c r="S143" s="59">
        <f ca="1">AVERAGE(OFFSET($R$3,0,0,'Données projet'!$E$9+1,1))-AVERAGE(OFFSET($H$3,0,0,'Données projet'!$E$9+1,1))</f>
        <v>205.73717397588365</v>
      </c>
      <c r="T143" s="59">
        <f t="shared" si="142"/>
        <v>190.64998698136026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87.610476520584612</v>
      </c>
      <c r="AA143" s="21">
        <f>EXP(-LN(2)/25)*AA142+(1-EXP(-LN(2)/25))/(LN(2)/25)*Calculateur!V143*Calculateur!X143*VLOOKUP('Données projet'!$B$9,Paramètres!$A$1:$I$89,3,0)*0.475*44/12</f>
        <v>16.643016763656565</v>
      </c>
      <c r="AB143" s="21">
        <f>EXP(-LN(2)/2)*AB142+(1-EXP(-LN(2)/2))/(LN(2)/2)*V143*Y143*VLOOKUP('Données projet'!$B$9,Paramètres!$A$1:$I$89,3,0)*0.475*44/12</f>
        <v>1.1969241695780511E-4</v>
      </c>
      <c r="AC143" s="22">
        <f t="shared" si="111"/>
        <v>104.25361297665813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283.73369613548124</v>
      </c>
      <c r="AO143" s="59">
        <f t="shared" si="144"/>
        <v>249.77804091581208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-6.3550942286383367E-14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278.5296012747549</v>
      </c>
      <c r="BJ143" s="59">
        <f t="shared" si="146"/>
        <v>370.55343097937077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42.101391173602053</v>
      </c>
      <c r="BQ143" s="21">
        <f>EXP(-LN(2)/25)*BQ142+(1-EXP(-LN(2)/25))/(LN(2)/25)*Calculateur!BL143*Calculateur!BN143*VLOOKUP('Données projet'!$B$11,Paramètres!$A$1:$I$89,3,0)*0.475*44/12</f>
        <v>5.4573072201682171</v>
      </c>
      <c r="BR143" s="21">
        <f>EXP(-LN(2)/2)*BR142+(1-EXP(-LN(2)/2))/(LN(2)/2)*BL143*BO143*VLOOKUP('Données projet'!$B$11,Paramètres!$A$1:$I$89,3,0)*0.475*44/12</f>
        <v>5.4923679534756703E-12</v>
      </c>
      <c r="BS143" s="22">
        <f t="shared" si="117"/>
        <v>47.558698393775764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-3.1036506698001178E-14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159.92263609041913</v>
      </c>
      <c r="CE143" s="59">
        <f t="shared" si="148"/>
        <v>271.78119133009307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9.3074424827459907</v>
      </c>
      <c r="CL143" s="21">
        <f>EXP(-LN(2)/25)*CL142+(1-EXP(-LN(2)/25))/(LN(2)/25)*Calculateur!CG143*Calculateur!CI143*VLOOKUP('Données projet'!$B$12,Paramètres!$A$1:$I$89,3,0)*0.475*44/12</f>
        <v>9.3702561109571256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18.677698593703116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5.6843418860808015E-13</v>
      </c>
      <c r="CU143" s="17">
        <f>CT143*VLOOKUP('Données projet'!$B$13,Paramètres!$A$1:$I$89,3,0)*VLOOKUP('Données projet'!$B$13,Paramètres!$A$1:$I$89,5,0)</f>
        <v>5.1431925385259092E-13</v>
      </c>
      <c r="CV143" s="13">
        <f t="shared" si="149"/>
        <v>6.3855359115685756E-12</v>
      </c>
      <c r="CW143" s="20">
        <f t="shared" si="121"/>
        <v>1.2017247746441865E-11</v>
      </c>
      <c r="CX143" s="59">
        <f t="shared" si="122"/>
        <v>293.33333333334531</v>
      </c>
      <c r="CY143" s="59">
        <f ca="1">AVERAGE(OFFSET($CX$3,0,0,'Données projet'!$E$13+1,1))-AVERAGE(OFFSET($H$3,0,0,'Données projet'!$E$13+1,1))</f>
        <v>280.25710840677186</v>
      </c>
      <c r="CZ143" s="59">
        <f t="shared" si="150"/>
        <v>209.65224013288037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143.07125367909896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143.07125367909896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243</v>
      </c>
      <c r="DP143" s="17">
        <f>DO143*VLOOKUP('Données projet'!$B$14,Paramètres!$A$1:$I$89,3,0)*VLOOKUP('Données projet'!$B$14,Paramètres!$A$1:$I$89,5,0)</f>
        <v>253.98360000000002</v>
      </c>
      <c r="DQ143" s="13">
        <f t="shared" si="151"/>
        <v>61.438182405444294</v>
      </c>
      <c r="DR143" s="20">
        <f t="shared" si="124"/>
        <v>549.35960435614891</v>
      </c>
      <c r="DS143" s="59">
        <f t="shared" si="125"/>
        <v>842.69293768948228</v>
      </c>
      <c r="DT143" s="59">
        <f ca="1">AVERAGE(OFFSET($DS$3,0,0,'Données projet'!$E$14+1,1))-AVERAGE(OFFSET($H$3,0,0,'Données projet'!$E$14+1,1))</f>
        <v>330.14201227773452</v>
      </c>
      <c r="DU143" s="59">
        <f t="shared" si="152"/>
        <v>307.07297894926467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14.765834348194588</v>
      </c>
      <c r="EB143" s="21">
        <f>EXP(-LN(2)/25)*EB142+(1-EXP(-LN(2)/25))/(LN(2)/25)*Calculateur!DW143*Calculateur!DY143*VLOOKUP('Données projet'!$B$14,Paramètres!$A$1:$I$89,3,0)*0.475*44/12</f>
        <v>5.8769094197931366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20.642743767987724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236.00000000000009</v>
      </c>
      <c r="EK143" s="17">
        <f>EJ143*VLOOKUP('Données projet'!$B$15,Paramètres!$A$1:$I$89,3,0)*VLOOKUP('Données projet'!$B$15,Paramètres!$A$1:$I$89,5,0)</f>
        <v>154.62720000000004</v>
      </c>
      <c r="EL143" s="13">
        <f t="shared" si="153"/>
        <v>39.62826685000794</v>
      </c>
      <c r="EM143" s="20">
        <f t="shared" si="127"/>
        <v>338.32827143043056</v>
      </c>
      <c r="EN143" s="59">
        <f t="shared" si="128"/>
        <v>631.66160476376388</v>
      </c>
      <c r="EO143" s="59">
        <f ca="1">AVERAGE(OFFSET($EN$3,0,0,'Données projet'!$E$15+1,1))-AVERAGE(OFFSET($H$3,0,0,'Données projet'!$E$15+1,1))</f>
        <v>183.30081488041924</v>
      </c>
      <c r="EP143" s="59">
        <f t="shared" si="154"/>
        <v>199.33099759570928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1.3858109937569962</v>
      </c>
      <c r="EW143" s="21">
        <f>EXP(-LN(2)/25)*EW142+(1-EXP(-LN(2)/25))/(LN(2)/25)*Calculateur!ER143*Calculateur!ET143*VLOOKUP('Données projet'!$B$15,Paramètres!$A$1:$I$89,3,0)*0.475*44/12</f>
        <v>3.4806671034290972</v>
      </c>
      <c r="EX143" s="21">
        <f>EXP(-LN(2)/2)*EX142+(1-EXP(-LN(2)/2))/(LN(2)/2)*ER143*EU143*VLOOKUP('Données projet'!$B$15,Paramètres!$A$1:$I$89,3,0)*0.475*44/12</f>
        <v>6.387537090564551E-8</v>
      </c>
      <c r="EY143" s="22">
        <f t="shared" si="129"/>
        <v>4.8664781610614645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1.5961632016114892E-13</v>
      </c>
      <c r="P144" s="13">
        <f t="shared" si="141"/>
        <v>2.2708641912150958E-12</v>
      </c>
      <c r="Q144" s="20">
        <f t="shared" si="108"/>
        <v>4.2330868906469593E-12</v>
      </c>
      <c r="R144" s="59">
        <f t="shared" si="109"/>
        <v>293.33333333333752</v>
      </c>
      <c r="S144" s="59">
        <f ca="1">AVERAGE(OFFSET($R$3,0,0,'Données projet'!$E$9+1,1))-AVERAGE(OFFSET($H$3,0,0,'Données projet'!$E$9+1,1))</f>
        <v>205.73717397588365</v>
      </c>
      <c r="T144" s="59">
        <f t="shared" si="142"/>
        <v>190.64998698136026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85.892488513130147</v>
      </c>
      <c r="AA144" s="21">
        <f>EXP(-LN(2)/25)*AA143+(1-EXP(-LN(2)/25))/(LN(2)/25)*Calculateur!V144*Calculateur!X144*VLOOKUP('Données projet'!$B$9,Paramètres!$A$1:$I$89,3,0)*0.475*44/12</f>
        <v>16.187912595036163</v>
      </c>
      <c r="AB144" s="21">
        <f>EXP(-LN(2)/2)*AB143+(1-EXP(-LN(2)/2))/(LN(2)/2)*V144*Y144*VLOOKUP('Données projet'!$B$9,Paramètres!$A$1:$I$89,3,0)*0.475*44/12</f>
        <v>8.4635319687471718E-5</v>
      </c>
      <c r="AC144" s="22">
        <f t="shared" si="111"/>
        <v>102.08048574348599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283.73369613548124</v>
      </c>
      <c r="AO144" s="59">
        <f t="shared" si="144"/>
        <v>249.77804091581208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-6.3550942286383367E-14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278.5296012747549</v>
      </c>
      <c r="BJ144" s="59">
        <f t="shared" si="146"/>
        <v>370.55343097937077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41.275808572000713</v>
      </c>
      <c r="BQ144" s="21">
        <f>EXP(-LN(2)/25)*BQ143+(1-EXP(-LN(2)/25))/(LN(2)/25)*Calculateur!BL144*Calculateur!BN144*VLOOKUP('Données projet'!$B$11,Paramètres!$A$1:$I$89,3,0)*0.475*44/12</f>
        <v>5.3080768672454033</v>
      </c>
      <c r="BR144" s="21">
        <f>EXP(-LN(2)/2)*BR143+(1-EXP(-LN(2)/2))/(LN(2)/2)*BL144*BO144*VLOOKUP('Données projet'!$B$11,Paramètres!$A$1:$I$89,3,0)*0.475*44/12</f>
        <v>3.8836906246743267E-12</v>
      </c>
      <c r="BS144" s="22">
        <f t="shared" si="117"/>
        <v>46.583885439250004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-3.1036506698001178E-14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159.92263609041913</v>
      </c>
      <c r="CE144" s="59">
        <f t="shared" si="148"/>
        <v>271.78119133009307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9.1249292126387012</v>
      </c>
      <c r="CL144" s="21">
        <f>EXP(-LN(2)/25)*CL143+(1-EXP(-LN(2)/25))/(LN(2)/25)*Calculateur!CG144*Calculateur!CI144*VLOOKUP('Données projet'!$B$12,Paramètres!$A$1:$I$89,3,0)*0.475*44/12</f>
        <v>9.11402596484265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18.238955177481351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5.6843418860808015E-13</v>
      </c>
      <c r="CU144" s="17">
        <f>CT144*VLOOKUP('Données projet'!$B$13,Paramètres!$A$1:$I$89,3,0)*VLOOKUP('Données projet'!$B$13,Paramètres!$A$1:$I$89,5,0)</f>
        <v>5.1431925385259092E-13</v>
      </c>
      <c r="CV144" s="13">
        <f t="shared" si="149"/>
        <v>6.3855359115685756E-12</v>
      </c>
      <c r="CW144" s="20">
        <f t="shared" si="121"/>
        <v>1.2017247746441865E-11</v>
      </c>
      <c r="CX144" s="59">
        <f t="shared" si="122"/>
        <v>293.33333333334531</v>
      </c>
      <c r="CY144" s="59">
        <f ca="1">AVERAGE(OFFSET($CX$3,0,0,'Données projet'!$E$13+1,1))-AVERAGE(OFFSET($H$3,0,0,'Données projet'!$E$13+1,1))</f>
        <v>280.25710840677186</v>
      </c>
      <c r="CZ144" s="59">
        <f t="shared" si="150"/>
        <v>209.65224013288037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140.26571365929988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140.26571365929988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243</v>
      </c>
      <c r="DP144" s="17">
        <f>DO144*VLOOKUP('Données projet'!$B$14,Paramètres!$A$1:$I$89,3,0)*VLOOKUP('Données projet'!$B$14,Paramètres!$A$1:$I$89,5,0)</f>
        <v>253.98360000000002</v>
      </c>
      <c r="DQ144" s="13">
        <f t="shared" si="151"/>
        <v>61.438182405444294</v>
      </c>
      <c r="DR144" s="20">
        <f t="shared" si="124"/>
        <v>549.35960435614891</v>
      </c>
      <c r="DS144" s="59">
        <f t="shared" si="125"/>
        <v>842.69293768948228</v>
      </c>
      <c r="DT144" s="59">
        <f ca="1">AVERAGE(OFFSET($DS$3,0,0,'Données projet'!$E$14+1,1))-AVERAGE(OFFSET($H$3,0,0,'Données projet'!$E$14+1,1))</f>
        <v>330.14201227773452</v>
      </c>
      <c r="DU144" s="59">
        <f t="shared" si="152"/>
        <v>307.07297894926467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14.47628534289615</v>
      </c>
      <c r="EB144" s="21">
        <f>EXP(-LN(2)/25)*EB143+(1-EXP(-LN(2)/25))/(LN(2)/25)*Calculateur!DW144*Calculateur!DY144*VLOOKUP('Données projet'!$B$14,Paramètres!$A$1:$I$89,3,0)*0.475*44/12</f>
        <v>5.7162050226556591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20.192490365551809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236.00000000000009</v>
      </c>
      <c r="EK144" s="17">
        <f>EJ144*VLOOKUP('Données projet'!$B$15,Paramètres!$A$1:$I$89,3,0)*VLOOKUP('Données projet'!$B$15,Paramètres!$A$1:$I$89,5,0)</f>
        <v>154.62720000000004</v>
      </c>
      <c r="EL144" s="13">
        <f t="shared" si="153"/>
        <v>39.62826685000794</v>
      </c>
      <c r="EM144" s="20">
        <f t="shared" si="127"/>
        <v>338.32827143043056</v>
      </c>
      <c r="EN144" s="59">
        <f t="shared" si="128"/>
        <v>631.66160476376388</v>
      </c>
      <c r="EO144" s="59">
        <f ca="1">AVERAGE(OFFSET($EN$3,0,0,'Données projet'!$E$15+1,1))-AVERAGE(OFFSET($H$3,0,0,'Données projet'!$E$15+1,1))</f>
        <v>183.30081488041924</v>
      </c>
      <c r="EP144" s="59">
        <f t="shared" si="154"/>
        <v>199.33099759570928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1.3586360854306652</v>
      </c>
      <c r="EW144" s="21">
        <f>EXP(-LN(2)/25)*EW143+(1-EXP(-LN(2)/25))/(LN(2)/25)*Calculateur!ER144*Calculateur!ET144*VLOOKUP('Données projet'!$B$15,Paramètres!$A$1:$I$89,3,0)*0.475*44/12</f>
        <v>3.3854880784455008</v>
      </c>
      <c r="EX144" s="21">
        <f>EXP(-LN(2)/2)*EX143+(1-EXP(-LN(2)/2))/(LN(2)/2)*ER144*EU144*VLOOKUP('Données projet'!$B$15,Paramètres!$A$1:$I$89,3,0)*0.475*44/12</f>
        <v>4.5166707918187843E-8</v>
      </c>
      <c r="EY144" s="22">
        <f t="shared" si="129"/>
        <v>4.7441242090428739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1.5961632016114892E-13</v>
      </c>
      <c r="P145" s="13">
        <f t="shared" si="141"/>
        <v>2.2708641912150958E-12</v>
      </c>
      <c r="Q145" s="20">
        <f t="shared" si="108"/>
        <v>4.2330868906469593E-12</v>
      </c>
      <c r="R145" s="59">
        <f t="shared" si="109"/>
        <v>293.33333333333752</v>
      </c>
      <c r="S145" s="59">
        <f ca="1">AVERAGE(OFFSET($R$3,0,0,'Données projet'!$E$9+1,1))-AVERAGE(OFFSET($H$3,0,0,'Données projet'!$E$9+1,1))</f>
        <v>205.73717397588365</v>
      </c>
      <c r="T145" s="59">
        <f t="shared" si="142"/>
        <v>190.64998698136026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84.208189202632653</v>
      </c>
      <c r="AA145" s="21">
        <f>EXP(-LN(2)/25)*AA144+(1-EXP(-LN(2)/25))/(LN(2)/25)*Calculateur!V145*Calculateur!X145*VLOOKUP('Données projet'!$B$9,Paramètres!$A$1:$I$89,3,0)*0.475*44/12</f>
        <v>15.745253273839573</v>
      </c>
      <c r="AB145" s="21">
        <f>EXP(-LN(2)/2)*AB144+(1-EXP(-LN(2)/2))/(LN(2)/2)*V145*Y145*VLOOKUP('Données projet'!$B$9,Paramètres!$A$1:$I$89,3,0)*0.475*44/12</f>
        <v>5.9846208478902567E-5</v>
      </c>
      <c r="AC145" s="22">
        <f t="shared" si="111"/>
        <v>99.953502322680691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283.73369613548124</v>
      </c>
      <c r="AO145" s="59">
        <f t="shared" si="144"/>
        <v>249.77804091581208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-6.3550942286383367E-14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278.5296012747549</v>
      </c>
      <c r="BJ145" s="59">
        <f t="shared" si="146"/>
        <v>370.55343097937077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40.466415141661109</v>
      </c>
      <c r="BQ145" s="21">
        <f>EXP(-LN(2)/25)*BQ144+(1-EXP(-LN(2)/25))/(LN(2)/25)*Calculateur!BL145*Calculateur!BN145*VLOOKUP('Données projet'!$B$11,Paramètres!$A$1:$I$89,3,0)*0.475*44/12</f>
        <v>5.1629272261709467</v>
      </c>
      <c r="BR145" s="21">
        <f>EXP(-LN(2)/2)*BR144+(1-EXP(-LN(2)/2))/(LN(2)/2)*BL145*BO145*VLOOKUP('Données projet'!$B$11,Paramètres!$A$1:$I$89,3,0)*0.475*44/12</f>
        <v>2.7461839767378352E-12</v>
      </c>
      <c r="BS145" s="22">
        <f t="shared" si="117"/>
        <v>45.629342367834795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-3.1036506698001178E-14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159.92263609041913</v>
      </c>
      <c r="CE145" s="59">
        <f t="shared" si="148"/>
        <v>271.78119133009307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8.9459949164361134</v>
      </c>
      <c r="CL145" s="21">
        <f>EXP(-LN(2)/25)*CL144+(1-EXP(-LN(2)/25))/(LN(2)/25)*Calculateur!CG145*Calculateur!CI145*VLOOKUP('Données projet'!$B$12,Paramètres!$A$1:$I$89,3,0)*0.475*44/12</f>
        <v>8.8648024455482322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17.810797361984346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5.6843418860808015E-13</v>
      </c>
      <c r="CU145" s="17">
        <f>CT145*VLOOKUP('Données projet'!$B$13,Paramètres!$A$1:$I$89,3,0)*VLOOKUP('Données projet'!$B$13,Paramètres!$A$1:$I$89,5,0)</f>
        <v>5.1431925385259092E-13</v>
      </c>
      <c r="CV145" s="13">
        <f t="shared" si="149"/>
        <v>6.3855359115685756E-12</v>
      </c>
      <c r="CW145" s="20">
        <f t="shared" si="121"/>
        <v>1.2017247746441865E-11</v>
      </c>
      <c r="CX145" s="59">
        <f t="shared" si="122"/>
        <v>293.33333333334531</v>
      </c>
      <c r="CY145" s="59">
        <f ca="1">AVERAGE(OFFSET($CX$3,0,0,'Données projet'!$E$13+1,1))-AVERAGE(OFFSET($H$3,0,0,'Données projet'!$E$13+1,1))</f>
        <v>280.25710840677186</v>
      </c>
      <c r="CZ145" s="59">
        <f t="shared" si="150"/>
        <v>209.65224013288037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137.51518856807863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137.51518856807863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243</v>
      </c>
      <c r="DP145" s="17">
        <f>DO145*VLOOKUP('Données projet'!$B$14,Paramètres!$A$1:$I$89,3,0)*VLOOKUP('Données projet'!$B$14,Paramètres!$A$1:$I$89,5,0)</f>
        <v>253.98360000000002</v>
      </c>
      <c r="DQ145" s="13">
        <f t="shared" si="151"/>
        <v>61.438182405444294</v>
      </c>
      <c r="DR145" s="20">
        <f t="shared" si="124"/>
        <v>549.35960435614891</v>
      </c>
      <c r="DS145" s="59">
        <f t="shared" si="125"/>
        <v>842.69293768948228</v>
      </c>
      <c r="DT145" s="59">
        <f ca="1">AVERAGE(OFFSET($DS$3,0,0,'Données projet'!$E$14+1,1))-AVERAGE(OFFSET($H$3,0,0,'Données projet'!$E$14+1,1))</f>
        <v>330.14201227773452</v>
      </c>
      <c r="DU145" s="59">
        <f t="shared" si="152"/>
        <v>307.07297894926467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14.192414216984158</v>
      </c>
      <c r="EB145" s="21">
        <f>EXP(-LN(2)/25)*EB144+(1-EXP(-LN(2)/25))/(LN(2)/25)*Calculateur!DW145*Calculateur!DY145*VLOOKUP('Données projet'!$B$14,Paramètres!$A$1:$I$89,3,0)*0.475*44/12</f>
        <v>5.5598950957089821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19.752309312693139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236.00000000000009</v>
      </c>
      <c r="EK145" s="17">
        <f>EJ145*VLOOKUP('Données projet'!$B$15,Paramètres!$A$1:$I$89,3,0)*VLOOKUP('Données projet'!$B$15,Paramètres!$A$1:$I$89,5,0)</f>
        <v>154.62720000000004</v>
      </c>
      <c r="EL145" s="13">
        <f t="shared" si="153"/>
        <v>39.62826685000794</v>
      </c>
      <c r="EM145" s="20">
        <f t="shared" si="127"/>
        <v>338.32827143043056</v>
      </c>
      <c r="EN145" s="59">
        <f t="shared" si="128"/>
        <v>631.66160476376388</v>
      </c>
      <c r="EO145" s="59">
        <f ca="1">AVERAGE(OFFSET($EN$3,0,0,'Données projet'!$E$15+1,1))-AVERAGE(OFFSET($H$3,0,0,'Données projet'!$E$15+1,1))</f>
        <v>183.30081488041924</v>
      </c>
      <c r="EP145" s="59">
        <f t="shared" si="154"/>
        <v>199.33099759570928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1.3319940604815559</v>
      </c>
      <c r="EW145" s="21">
        <f>EXP(-LN(2)/25)*EW144+(1-EXP(-LN(2)/25))/(LN(2)/25)*Calculateur!ER145*Calculateur!ET145*VLOOKUP('Données projet'!$B$15,Paramètres!$A$1:$I$89,3,0)*0.475*44/12</f>
        <v>3.2929117289053282</v>
      </c>
      <c r="EX145" s="21">
        <f>EXP(-LN(2)/2)*EX144+(1-EXP(-LN(2)/2))/(LN(2)/2)*ER145*EU145*VLOOKUP('Données projet'!$B$15,Paramètres!$A$1:$I$89,3,0)*0.475*44/12</f>
        <v>3.1937685452822755E-8</v>
      </c>
      <c r="EY145" s="22">
        <f t="shared" si="129"/>
        <v>4.6249058213245693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1.5961632016114892E-13</v>
      </c>
      <c r="P146" s="13">
        <f t="shared" si="141"/>
        <v>2.2708641912150958E-12</v>
      </c>
      <c r="Q146" s="20">
        <f t="shared" si="108"/>
        <v>4.2330868906469593E-12</v>
      </c>
      <c r="R146" s="59">
        <f t="shared" si="109"/>
        <v>293.33333333333752</v>
      </c>
      <c r="S146" s="59">
        <f ca="1">AVERAGE(OFFSET($R$3,0,0,'Données projet'!$E$9+1,1))-AVERAGE(OFFSET($H$3,0,0,'Données projet'!$E$9+1,1))</f>
        <v>205.73717397588365</v>
      </c>
      <c r="T146" s="59">
        <f t="shared" si="142"/>
        <v>190.64998698136026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82.556917974292872</v>
      </c>
      <c r="AA146" s="21">
        <f>EXP(-LN(2)/25)*AA145+(1-EXP(-LN(2)/25))/(LN(2)/25)*Calculateur!V146*Calculateur!X146*VLOOKUP('Données projet'!$B$9,Paramètres!$A$1:$I$89,3,0)*0.475*44/12</f>
        <v>15.314698495059547</v>
      </c>
      <c r="AB146" s="21">
        <f>EXP(-LN(2)/2)*AB145+(1-EXP(-LN(2)/2))/(LN(2)/2)*V146*Y146*VLOOKUP('Données projet'!$B$9,Paramètres!$A$1:$I$89,3,0)*0.475*44/12</f>
        <v>4.2317659843735866E-5</v>
      </c>
      <c r="AC146" s="22">
        <f t="shared" si="111"/>
        <v>97.871658787012265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283.73369613548124</v>
      </c>
      <c r="AO146" s="59">
        <f t="shared" si="144"/>
        <v>249.77804091581208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-6.3550942286383367E-14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278.5296012747549</v>
      </c>
      <c r="BJ146" s="59">
        <f t="shared" si="146"/>
        <v>370.55343097937077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39.672893422809217</v>
      </c>
      <c r="BQ146" s="21">
        <f>EXP(-LN(2)/25)*BQ145+(1-EXP(-LN(2)/25))/(LN(2)/25)*Calculateur!BL146*Calculateur!BN146*VLOOKUP('Données projet'!$B$11,Paramètres!$A$1:$I$89,3,0)*0.475*44/12</f>
        <v>5.0217467096647592</v>
      </c>
      <c r="BR146" s="21">
        <f>EXP(-LN(2)/2)*BR145+(1-EXP(-LN(2)/2))/(LN(2)/2)*BL146*BO146*VLOOKUP('Données projet'!$B$11,Paramètres!$A$1:$I$89,3,0)*0.475*44/12</f>
        <v>1.9418453123371633E-12</v>
      </c>
      <c r="BS146" s="22">
        <f t="shared" si="117"/>
        <v>44.694640132475918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-3.1036506698001178E-14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159.92263609041913</v>
      </c>
      <c r="CE146" s="59">
        <f t="shared" si="148"/>
        <v>271.78119133009307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8.7705694126429137</v>
      </c>
      <c r="CL146" s="21">
        <f>EXP(-LN(2)/25)*CL145+(1-EXP(-LN(2)/25))/(LN(2)/25)*Calculateur!CG146*Calculateur!CI146*VLOOKUP('Données projet'!$B$12,Paramètres!$A$1:$I$89,3,0)*0.475*44/12</f>
        <v>8.6223939564950154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17.392963369137931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5.6843418860808015E-13</v>
      </c>
      <c r="CU146" s="17">
        <f>CT146*VLOOKUP('Données projet'!$B$13,Paramètres!$A$1:$I$89,3,0)*VLOOKUP('Données projet'!$B$13,Paramètres!$A$1:$I$89,5,0)</f>
        <v>5.1431925385259092E-13</v>
      </c>
      <c r="CV146" s="13">
        <f t="shared" si="149"/>
        <v>6.3855359115685756E-12</v>
      </c>
      <c r="CW146" s="20">
        <f t="shared" si="121"/>
        <v>1.2017247746441865E-11</v>
      </c>
      <c r="CX146" s="59">
        <f t="shared" si="122"/>
        <v>293.33333333334531</v>
      </c>
      <c r="CY146" s="59">
        <f ca="1">AVERAGE(OFFSET($CX$3,0,0,'Données projet'!$E$13+1,1))-AVERAGE(OFFSET($H$3,0,0,'Données projet'!$E$13+1,1))</f>
        <v>280.25710840677186</v>
      </c>
      <c r="CZ146" s="59">
        <f t="shared" si="150"/>
        <v>209.65224013288037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134.81859959624157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134.81859959624157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243</v>
      </c>
      <c r="DP146" s="17">
        <f>DO146*VLOOKUP('Données projet'!$B$14,Paramètres!$A$1:$I$89,3,0)*VLOOKUP('Données projet'!$B$14,Paramètres!$A$1:$I$89,5,0)</f>
        <v>253.98360000000002</v>
      </c>
      <c r="DQ146" s="13">
        <f t="shared" si="151"/>
        <v>61.438182405444294</v>
      </c>
      <c r="DR146" s="20">
        <f t="shared" si="124"/>
        <v>549.35960435614891</v>
      </c>
      <c r="DS146" s="59">
        <f t="shared" si="125"/>
        <v>842.69293768948228</v>
      </c>
      <c r="DT146" s="59">
        <f ca="1">AVERAGE(OFFSET($DS$3,0,0,'Données projet'!$E$14+1,1))-AVERAGE(OFFSET($H$3,0,0,'Données projet'!$E$14+1,1))</f>
        <v>330.14201227773452</v>
      </c>
      <c r="DU146" s="59">
        <f t="shared" si="152"/>
        <v>307.07297894926467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13.914109630707012</v>
      </c>
      <c r="EB146" s="21">
        <f>EXP(-LN(2)/25)*EB145+(1-EXP(-LN(2)/25))/(LN(2)/25)*Calculateur!DW146*Calculateur!DY146*VLOOKUP('Données projet'!$B$14,Paramètres!$A$1:$I$89,3,0)*0.475*44/12</f>
        <v>5.4078594719346444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19.321969102641656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236.00000000000009</v>
      </c>
      <c r="EK146" s="17">
        <f>EJ146*VLOOKUP('Données projet'!$B$15,Paramètres!$A$1:$I$89,3,0)*VLOOKUP('Données projet'!$B$15,Paramètres!$A$1:$I$89,5,0)</f>
        <v>154.62720000000004</v>
      </c>
      <c r="EL146" s="13">
        <f t="shared" si="153"/>
        <v>39.62826685000794</v>
      </c>
      <c r="EM146" s="20">
        <f t="shared" si="127"/>
        <v>338.32827143043056</v>
      </c>
      <c r="EN146" s="59">
        <f t="shared" si="128"/>
        <v>631.66160476376388</v>
      </c>
      <c r="EO146" s="59">
        <f ca="1">AVERAGE(OFFSET($EN$3,0,0,'Données projet'!$E$15+1,1))-AVERAGE(OFFSET($H$3,0,0,'Données projet'!$E$15+1,1))</f>
        <v>183.30081488041924</v>
      </c>
      <c r="EP146" s="59">
        <f t="shared" si="154"/>
        <v>199.33099759570928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1.305874469391668</v>
      </c>
      <c r="EW146" s="21">
        <f>EXP(-LN(2)/25)*EW145+(1-EXP(-LN(2)/25))/(LN(2)/25)*Calculateur!ER146*Calculateur!ET146*VLOOKUP('Données projet'!$B$15,Paramètres!$A$1:$I$89,3,0)*0.475*44/12</f>
        <v>3.2028668845117103</v>
      </c>
      <c r="EX146" s="21">
        <f>EXP(-LN(2)/2)*EX145+(1-EXP(-LN(2)/2))/(LN(2)/2)*ER146*EU146*VLOOKUP('Données projet'!$B$15,Paramètres!$A$1:$I$89,3,0)*0.475*44/12</f>
        <v>2.2583353959093922E-8</v>
      </c>
      <c r="EY146" s="22">
        <f t="shared" si="129"/>
        <v>4.5087413764867321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1.5961632016114892E-13</v>
      </c>
      <c r="P147" s="13">
        <f t="shared" si="141"/>
        <v>2.2708641912150958E-12</v>
      </c>
      <c r="Q147" s="20">
        <f t="shared" si="108"/>
        <v>4.2330868906469593E-12</v>
      </c>
      <c r="R147" s="59">
        <f t="shared" si="109"/>
        <v>293.33333333333752</v>
      </c>
      <c r="S147" s="59">
        <f ca="1">AVERAGE(OFFSET($R$3,0,0,'Données projet'!$E$9+1,1))-AVERAGE(OFFSET($H$3,0,0,'Données projet'!$E$9+1,1))</f>
        <v>205.73717397588365</v>
      </c>
      <c r="T147" s="59">
        <f t="shared" si="142"/>
        <v>190.64998698136026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80.93802716756484</v>
      </c>
      <c r="AA147" s="21">
        <f>EXP(-LN(2)/25)*AA146+(1-EXP(-LN(2)/25))/(LN(2)/25)*Calculateur!V147*Calculateur!X147*VLOOKUP('Données projet'!$B$9,Paramètres!$A$1:$I$89,3,0)*0.475*44/12</f>
        <v>14.895917259347152</v>
      </c>
      <c r="AB147" s="21">
        <f>EXP(-LN(2)/2)*AB146+(1-EXP(-LN(2)/2))/(LN(2)/2)*V147*Y147*VLOOKUP('Données projet'!$B$9,Paramètres!$A$1:$I$89,3,0)*0.475*44/12</f>
        <v>2.9923104239451287E-5</v>
      </c>
      <c r="AC147" s="22">
        <f t="shared" si="111"/>
        <v>95.833974350016234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283.73369613548124</v>
      </c>
      <c r="AO147" s="59">
        <f t="shared" si="144"/>
        <v>249.77804091581208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-6.3550942286383367E-14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278.5296012747549</v>
      </c>
      <c r="BJ147" s="59">
        <f t="shared" si="146"/>
        <v>370.55343097937077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38.894932180863556</v>
      </c>
      <c r="BQ147" s="21">
        <f>EXP(-LN(2)/25)*BQ146+(1-EXP(-LN(2)/25))/(LN(2)/25)*Calculateur!BL147*Calculateur!BN147*VLOOKUP('Données projet'!$B$11,Paramètres!$A$1:$I$89,3,0)*0.475*44/12</f>
        <v>4.8844267818067939</v>
      </c>
      <c r="BR147" s="21">
        <f>EXP(-LN(2)/2)*BR146+(1-EXP(-LN(2)/2))/(LN(2)/2)*BL147*BO147*VLOOKUP('Données projet'!$B$11,Paramètres!$A$1:$I$89,3,0)*0.475*44/12</f>
        <v>1.3730919883689176E-12</v>
      </c>
      <c r="BS147" s="22">
        <f t="shared" si="117"/>
        <v>43.779358962671722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-3.1036506698001178E-14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159.92263609041913</v>
      </c>
      <c r="CE147" s="59">
        <f t="shared" si="148"/>
        <v>271.78119133009307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8.5985838959801075</v>
      </c>
      <c r="CL147" s="21">
        <f>EXP(-LN(2)/25)*CL146+(1-EXP(-LN(2)/25))/(LN(2)/25)*Calculateur!CG147*Calculateur!CI147*VLOOKUP('Données projet'!$B$12,Paramètres!$A$1:$I$89,3,0)*0.475*44/12</f>
        <v>8.3866141403226671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16.985198036302776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5.6843418860808015E-13</v>
      </c>
      <c r="CU147" s="17">
        <f>CT147*VLOOKUP('Données projet'!$B$13,Paramètres!$A$1:$I$89,3,0)*VLOOKUP('Données projet'!$B$13,Paramètres!$A$1:$I$89,5,0)</f>
        <v>5.1431925385259092E-13</v>
      </c>
      <c r="CV147" s="13">
        <f t="shared" si="149"/>
        <v>6.3855359115685756E-12</v>
      </c>
      <c r="CW147" s="20">
        <f t="shared" si="121"/>
        <v>1.2017247746441865E-11</v>
      </c>
      <c r="CX147" s="59">
        <f t="shared" si="122"/>
        <v>293.33333333334531</v>
      </c>
      <c r="CY147" s="59">
        <f ca="1">AVERAGE(OFFSET($CX$3,0,0,'Données projet'!$E$13+1,1))-AVERAGE(OFFSET($H$3,0,0,'Données projet'!$E$13+1,1))</f>
        <v>280.25710840677186</v>
      </c>
      <c r="CZ147" s="59">
        <f t="shared" si="150"/>
        <v>209.65224013288037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132.17488908938537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132.17488908938537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243</v>
      </c>
      <c r="DP147" s="17">
        <f>DO147*VLOOKUP('Données projet'!$B$14,Paramètres!$A$1:$I$89,3,0)*VLOOKUP('Données projet'!$B$14,Paramètres!$A$1:$I$89,5,0)</f>
        <v>253.98360000000002</v>
      </c>
      <c r="DQ147" s="13">
        <f t="shared" si="151"/>
        <v>61.438182405444294</v>
      </c>
      <c r="DR147" s="20">
        <f t="shared" si="124"/>
        <v>549.35960435614891</v>
      </c>
      <c r="DS147" s="59">
        <f t="shared" si="125"/>
        <v>842.69293768948228</v>
      </c>
      <c r="DT147" s="59">
        <f ca="1">AVERAGE(OFFSET($DS$3,0,0,'Données projet'!$E$14+1,1))-AVERAGE(OFFSET($H$3,0,0,'Données projet'!$E$14+1,1))</f>
        <v>330.14201227773452</v>
      </c>
      <c r="DU147" s="59">
        <f t="shared" si="152"/>
        <v>307.07297894926467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13.641262427617724</v>
      </c>
      <c r="EB147" s="21">
        <f>EXP(-LN(2)/25)*EB146+(1-EXP(-LN(2)/25))/(LN(2)/25)*Calculateur!DW147*Calculateur!DY147*VLOOKUP('Données projet'!$B$14,Paramètres!$A$1:$I$89,3,0)*0.475*44/12</f>
        <v>5.2599812702876214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18.901243697905343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236.00000000000009</v>
      </c>
      <c r="EK147" s="17">
        <f>EJ147*VLOOKUP('Données projet'!$B$15,Paramètres!$A$1:$I$89,3,0)*VLOOKUP('Données projet'!$B$15,Paramètres!$A$1:$I$89,5,0)</f>
        <v>154.62720000000004</v>
      </c>
      <c r="EL147" s="13">
        <f t="shared" si="153"/>
        <v>39.62826685000794</v>
      </c>
      <c r="EM147" s="20">
        <f t="shared" si="127"/>
        <v>338.32827143043056</v>
      </c>
      <c r="EN147" s="59">
        <f t="shared" si="128"/>
        <v>631.66160476376388</v>
      </c>
      <c r="EO147" s="59">
        <f ca="1">AVERAGE(OFFSET($EN$3,0,0,'Données projet'!$E$15+1,1))-AVERAGE(OFFSET($H$3,0,0,'Données projet'!$E$15+1,1))</f>
        <v>183.30081488041924</v>
      </c>
      <c r="EP147" s="59">
        <f t="shared" si="154"/>
        <v>199.33099759570928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1.2802670675516754</v>
      </c>
      <c r="EW147" s="21">
        <f>EXP(-LN(2)/25)*EW146+(1-EXP(-LN(2)/25))/(LN(2)/25)*Calculateur!ER147*Calculateur!ET147*VLOOKUP('Données projet'!$B$15,Paramètres!$A$1:$I$89,3,0)*0.475*44/12</f>
        <v>3.1152843211232883</v>
      </c>
      <c r="EX147" s="21">
        <f>EXP(-LN(2)/2)*EX146+(1-EXP(-LN(2)/2))/(LN(2)/2)*ER147*EU147*VLOOKUP('Données projet'!$B$15,Paramètres!$A$1:$I$89,3,0)*0.475*44/12</f>
        <v>1.5968842726411377E-8</v>
      </c>
      <c r="EY147" s="22">
        <f t="shared" si="129"/>
        <v>4.3955514046438067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1.5961632016114892E-13</v>
      </c>
      <c r="P148" s="13">
        <f t="shared" si="141"/>
        <v>2.2708641912150958E-12</v>
      </c>
      <c r="Q148" s="20">
        <f t="shared" si="108"/>
        <v>4.2330868906469593E-12</v>
      </c>
      <c r="R148" s="59">
        <f t="shared" si="109"/>
        <v>293.33333333333752</v>
      </c>
      <c r="S148" s="59">
        <f ca="1">AVERAGE(OFFSET($R$3,0,0,'Données projet'!$E$9+1,1))-AVERAGE(OFFSET($H$3,0,0,'Données projet'!$E$9+1,1))</f>
        <v>205.73717397588365</v>
      </c>
      <c r="T148" s="59">
        <f t="shared" si="142"/>
        <v>190.64998698136026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79.350881822130845</v>
      </c>
      <c r="AA148" s="21">
        <f>EXP(-LN(2)/25)*AA147+(1-EXP(-LN(2)/25))/(LN(2)/25)*Calculateur!V148*Calculateur!X148*VLOOKUP('Données projet'!$B$9,Paramètres!$A$1:$I$89,3,0)*0.475*44/12</f>
        <v>14.488587618548062</v>
      </c>
      <c r="AB148" s="21">
        <f>EXP(-LN(2)/2)*AB147+(1-EXP(-LN(2)/2))/(LN(2)/2)*V148*Y148*VLOOKUP('Données projet'!$B$9,Paramètres!$A$1:$I$89,3,0)*0.475*44/12</f>
        <v>2.1158829921867936E-5</v>
      </c>
      <c r="AC148" s="22">
        <f t="shared" si="111"/>
        <v>93.839490599508835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283.73369613548124</v>
      </c>
      <c r="AO148" s="59">
        <f t="shared" si="144"/>
        <v>249.77804091581208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-6.3550942286383367E-14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278.5296012747549</v>
      </c>
      <c r="BJ148" s="59">
        <f t="shared" si="146"/>
        <v>370.55343097937077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38.132226284362943</v>
      </c>
      <c r="BQ148" s="21">
        <f>EXP(-LN(2)/25)*BQ147+(1-EXP(-LN(2)/25))/(LN(2)/25)*Calculateur!BL148*Calculateur!BN148*VLOOKUP('Données projet'!$B$11,Paramètres!$A$1:$I$89,3,0)*0.475*44/12</f>
        <v>4.7508618745974465</v>
      </c>
      <c r="BR148" s="21">
        <f>EXP(-LN(2)/2)*BR147+(1-EXP(-LN(2)/2))/(LN(2)/2)*BL148*BO148*VLOOKUP('Données projet'!$B$11,Paramètres!$A$1:$I$89,3,0)*0.475*44/12</f>
        <v>9.7092265616858166E-13</v>
      </c>
      <c r="BS148" s="22">
        <f t="shared" si="117"/>
        <v>42.883088158961364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-3.1036506698001178E-14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159.92263609041913</v>
      </c>
      <c r="CE148" s="59">
        <f t="shared" si="148"/>
        <v>271.78119133009307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8.4299709103982519</v>
      </c>
      <c r="CL148" s="21">
        <f>EXP(-LN(2)/25)*CL147+(1-EXP(-LN(2)/25))/(LN(2)/25)*Calculateur!CG148*Calculateur!CI148*VLOOKUP('Données projet'!$B$12,Paramètres!$A$1:$I$89,3,0)*0.475*44/12</f>
        <v>8.1572817356226732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16.587252646020925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5.6843418860808015E-13</v>
      </c>
      <c r="CU148" s="17">
        <f>CT148*VLOOKUP('Données projet'!$B$13,Paramètres!$A$1:$I$89,3,0)*VLOOKUP('Données projet'!$B$13,Paramètres!$A$1:$I$89,5,0)</f>
        <v>5.1431925385259092E-13</v>
      </c>
      <c r="CV148" s="13">
        <f t="shared" si="149"/>
        <v>6.3855359115685756E-12</v>
      </c>
      <c r="CW148" s="20">
        <f t="shared" si="121"/>
        <v>1.2017247746441865E-11</v>
      </c>
      <c r="CX148" s="59">
        <f t="shared" si="122"/>
        <v>293.33333333334531</v>
      </c>
      <c r="CY148" s="59">
        <f ca="1">AVERAGE(OFFSET($CX$3,0,0,'Données projet'!$E$13+1,1))-AVERAGE(OFFSET($H$3,0,0,'Données projet'!$E$13+1,1))</f>
        <v>280.25710840677186</v>
      </c>
      <c r="CZ148" s="59">
        <f t="shared" si="150"/>
        <v>209.65224013288037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129.58302013306442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129.58302013306442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243</v>
      </c>
      <c r="DP148" s="17">
        <f>DO148*VLOOKUP('Données projet'!$B$14,Paramètres!$A$1:$I$89,3,0)*VLOOKUP('Données projet'!$B$14,Paramètres!$A$1:$I$89,5,0)</f>
        <v>253.98360000000002</v>
      </c>
      <c r="DQ148" s="13">
        <f t="shared" si="151"/>
        <v>61.438182405444294</v>
      </c>
      <c r="DR148" s="20">
        <f t="shared" si="124"/>
        <v>549.35960435614891</v>
      </c>
      <c r="DS148" s="59">
        <f t="shared" si="125"/>
        <v>842.69293768948228</v>
      </c>
      <c r="DT148" s="59">
        <f ca="1">AVERAGE(OFFSET($DS$3,0,0,'Données projet'!$E$14+1,1))-AVERAGE(OFFSET($H$3,0,0,'Données projet'!$E$14+1,1))</f>
        <v>330.14201227773452</v>
      </c>
      <c r="DU148" s="59">
        <f t="shared" si="152"/>
        <v>307.07297894926467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13.373765591760655</v>
      </c>
      <c r="EB148" s="21">
        <f>EXP(-LN(2)/25)*EB147+(1-EXP(-LN(2)/25))/(LN(2)/25)*Calculateur!DW148*Calculateur!DY148*VLOOKUP('Données projet'!$B$14,Paramètres!$A$1:$I$89,3,0)*0.475*44/12</f>
        <v>5.116146805841213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18.48991239760187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236.00000000000009</v>
      </c>
      <c r="EK148" s="17">
        <f>EJ148*VLOOKUP('Données projet'!$B$15,Paramètres!$A$1:$I$89,3,0)*VLOOKUP('Données projet'!$B$15,Paramètres!$A$1:$I$89,5,0)</f>
        <v>154.62720000000004</v>
      </c>
      <c r="EL148" s="13">
        <f t="shared" si="153"/>
        <v>39.62826685000794</v>
      </c>
      <c r="EM148" s="20">
        <f t="shared" si="127"/>
        <v>338.32827143043056</v>
      </c>
      <c r="EN148" s="59">
        <f t="shared" si="128"/>
        <v>631.66160476376388</v>
      </c>
      <c r="EO148" s="59">
        <f ca="1">AVERAGE(OFFSET($EN$3,0,0,'Données projet'!$E$15+1,1))-AVERAGE(OFFSET($H$3,0,0,'Données projet'!$E$15+1,1))</f>
        <v>183.30081488041924</v>
      </c>
      <c r="EP148" s="59">
        <f t="shared" si="154"/>
        <v>199.33099759570928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1.2551618112427922</v>
      </c>
      <c r="EW148" s="21">
        <f>EXP(-LN(2)/25)*EW147+(1-EXP(-LN(2)/25))/(LN(2)/25)*Calculateur!ER148*Calculateur!ET148*VLOOKUP('Données projet'!$B$15,Paramètres!$A$1:$I$89,3,0)*0.475*44/12</f>
        <v>3.0300967075364897</v>
      </c>
      <c r="EX148" s="21">
        <f>EXP(-LN(2)/2)*EX147+(1-EXP(-LN(2)/2))/(LN(2)/2)*ER148*EU148*VLOOKUP('Données projet'!$B$15,Paramètres!$A$1:$I$89,3,0)*0.475*44/12</f>
        <v>1.1291676979546961E-8</v>
      </c>
      <c r="EY148" s="22">
        <f t="shared" si="129"/>
        <v>4.2852585300709585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1.5961632016114892E-13</v>
      </c>
      <c r="P149" s="13">
        <f t="shared" si="141"/>
        <v>2.2708641912150958E-12</v>
      </c>
      <c r="Q149" s="20">
        <f t="shared" si="108"/>
        <v>4.2330868906469593E-12</v>
      </c>
      <c r="R149" s="59">
        <f t="shared" si="109"/>
        <v>293.33333333333752</v>
      </c>
      <c r="S149" s="59">
        <f ca="1">AVERAGE(OFFSET($R$3,0,0,'Données projet'!$E$9+1,1))-AVERAGE(OFFSET($H$3,0,0,'Données projet'!$E$9+1,1))</f>
        <v>205.73717397588365</v>
      </c>
      <c r="T149" s="59">
        <f t="shared" si="142"/>
        <v>190.64998698136026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77.794859428857734</v>
      </c>
      <c r="AA149" s="21">
        <f>EXP(-LN(2)/25)*AA148+(1-EXP(-LN(2)/25))/(LN(2)/25)*Calculateur!V149*Calculateur!X149*VLOOKUP('Données projet'!$B$9,Paramètres!$A$1:$I$89,3,0)*0.475*44/12</f>
        <v>14.092396428197157</v>
      </c>
      <c r="AB149" s="21">
        <f>EXP(-LN(2)/2)*AB148+(1-EXP(-LN(2)/2))/(LN(2)/2)*V149*Y149*VLOOKUP('Données projet'!$B$9,Paramètres!$A$1:$I$89,3,0)*0.475*44/12</f>
        <v>1.4961552119725647E-5</v>
      </c>
      <c r="AC149" s="22">
        <f t="shared" si="111"/>
        <v>91.887270818607021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283.73369613548124</v>
      </c>
      <c r="AO149" s="59">
        <f t="shared" si="144"/>
        <v>249.77804091581208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-6.3550942286383367E-14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278.5296012747549</v>
      </c>
      <c r="BJ149" s="59">
        <f t="shared" si="146"/>
        <v>370.55343097937077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37.384476585288049</v>
      </c>
      <c r="BQ149" s="21">
        <f>EXP(-LN(2)/25)*BQ148+(1-EXP(-LN(2)/25))/(LN(2)/25)*Calculateur!BL149*Calculateur!BN149*VLOOKUP('Données projet'!$B$11,Paramètres!$A$1:$I$89,3,0)*0.475*44/12</f>
        <v>4.6209493067996119</v>
      </c>
      <c r="BR149" s="21">
        <f>EXP(-LN(2)/2)*BR148+(1-EXP(-LN(2)/2))/(LN(2)/2)*BL149*BO149*VLOOKUP('Données projet'!$B$11,Paramètres!$A$1:$I$89,3,0)*0.475*44/12</f>
        <v>6.8654599418445879E-13</v>
      </c>
      <c r="BS149" s="22">
        <f t="shared" si="117"/>
        <v>42.005425892088347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-3.1036506698001178E-14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159.92263609041913</v>
      </c>
      <c r="CE149" s="59">
        <f t="shared" si="148"/>
        <v>271.78119133009307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8.2646643226198897</v>
      </c>
      <c r="CL149" s="21">
        <f>EXP(-LN(2)/25)*CL148+(1-EXP(-LN(2)/25))/(LN(2)/25)*Calculateur!CG149*Calculateur!CI149*VLOOKUP('Données projet'!$B$12,Paramètres!$A$1:$I$89,3,0)*0.475*44/12</f>
        <v>7.9342204375892686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16.198884760209157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5.6843418860808015E-13</v>
      </c>
      <c r="CU149" s="17">
        <f>CT149*VLOOKUP('Données projet'!$B$13,Paramètres!$A$1:$I$89,3,0)*VLOOKUP('Données projet'!$B$13,Paramètres!$A$1:$I$89,5,0)</f>
        <v>5.1431925385259092E-13</v>
      </c>
      <c r="CV149" s="13">
        <f t="shared" si="149"/>
        <v>6.3855359115685756E-12</v>
      </c>
      <c r="CW149" s="20">
        <f t="shared" si="121"/>
        <v>1.2017247746441865E-11</v>
      </c>
      <c r="CX149" s="59">
        <f t="shared" si="122"/>
        <v>293.33333333334531</v>
      </c>
      <c r="CY149" s="59">
        <f ca="1">AVERAGE(OFFSET($CX$3,0,0,'Données projet'!$E$13+1,1))-AVERAGE(OFFSET($H$3,0,0,'Données projet'!$E$13+1,1))</f>
        <v>280.25710840677186</v>
      </c>
      <c r="CZ149" s="59">
        <f t="shared" si="150"/>
        <v>209.65224013288037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127.04197614609298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127.04197614609298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243</v>
      </c>
      <c r="DP149" s="17">
        <f>DO149*VLOOKUP('Données projet'!$B$14,Paramètres!$A$1:$I$89,3,0)*VLOOKUP('Données projet'!$B$14,Paramètres!$A$1:$I$89,5,0)</f>
        <v>253.98360000000002</v>
      </c>
      <c r="DQ149" s="13">
        <f t="shared" si="151"/>
        <v>61.438182405444294</v>
      </c>
      <c r="DR149" s="20">
        <f t="shared" si="124"/>
        <v>549.35960435614891</v>
      </c>
      <c r="DS149" s="59">
        <f t="shared" si="125"/>
        <v>842.69293768948228</v>
      </c>
      <c r="DT149" s="59">
        <f ca="1">AVERAGE(OFFSET($DS$3,0,0,'Données projet'!$E$14+1,1))-AVERAGE(OFFSET($H$3,0,0,'Données projet'!$E$14+1,1))</f>
        <v>330.14201227773452</v>
      </c>
      <c r="DU149" s="59">
        <f t="shared" si="152"/>
        <v>307.07297894926467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13.111514205697784</v>
      </c>
      <c r="EB149" s="21">
        <f>EXP(-LN(2)/25)*EB148+(1-EXP(-LN(2)/25))/(LN(2)/25)*Calculateur!DW149*Calculateur!DY149*VLOOKUP('Données projet'!$B$14,Paramètres!$A$1:$I$89,3,0)*0.475*44/12</f>
        <v>4.976245502389018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18.0877597080868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236.00000000000009</v>
      </c>
      <c r="EK149" s="17">
        <f>EJ149*VLOOKUP('Données projet'!$B$15,Paramètres!$A$1:$I$89,3,0)*VLOOKUP('Données projet'!$B$15,Paramètres!$A$1:$I$89,5,0)</f>
        <v>154.62720000000004</v>
      </c>
      <c r="EL149" s="13">
        <f t="shared" si="153"/>
        <v>39.62826685000794</v>
      </c>
      <c r="EM149" s="20">
        <f t="shared" si="127"/>
        <v>338.32827143043056</v>
      </c>
      <c r="EN149" s="59">
        <f t="shared" si="128"/>
        <v>631.66160476376388</v>
      </c>
      <c r="EO149" s="59">
        <f ca="1">AVERAGE(OFFSET($EN$3,0,0,'Données projet'!$E$15+1,1))-AVERAGE(OFFSET($H$3,0,0,'Données projet'!$E$15+1,1))</f>
        <v>183.30081488041924</v>
      </c>
      <c r="EP149" s="59">
        <f t="shared" si="154"/>
        <v>199.33099759570928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1.2305488536974318</v>
      </c>
      <c r="EW149" s="21">
        <f>EXP(-LN(2)/25)*EW148+(1-EXP(-LN(2)/25))/(LN(2)/25)*Calculateur!ER149*Calculateur!ET149*VLOOKUP('Données projet'!$B$15,Paramètres!$A$1:$I$89,3,0)*0.475*44/12</f>
        <v>2.9472385537230439</v>
      </c>
      <c r="EX149" s="21">
        <f>EXP(-LN(2)/2)*EX148+(1-EXP(-LN(2)/2))/(LN(2)/2)*ER149*EU149*VLOOKUP('Données projet'!$B$15,Paramètres!$A$1:$I$89,3,0)*0.475*44/12</f>
        <v>7.9844213632056887E-9</v>
      </c>
      <c r="EY149" s="22">
        <f t="shared" si="129"/>
        <v>4.1777874154048966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1.5961632016114892E-13</v>
      </c>
      <c r="P150" s="13">
        <f t="shared" si="141"/>
        <v>2.2708641912150958E-12</v>
      </c>
      <c r="Q150" s="20">
        <f t="shared" si="108"/>
        <v>4.2330868906469593E-12</v>
      </c>
      <c r="R150" s="59">
        <f t="shared" si="109"/>
        <v>293.33333333333752</v>
      </c>
      <c r="S150" s="59">
        <f ca="1">AVERAGE(OFFSET($R$3,0,0,'Données projet'!$E$9+1,1))-AVERAGE(OFFSET($H$3,0,0,'Données projet'!$E$9+1,1))</f>
        <v>205.73717397588365</v>
      </c>
      <c r="T150" s="59">
        <f t="shared" si="142"/>
        <v>190.64998698136026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76.269349685636769</v>
      </c>
      <c r="AA150" s="21">
        <f>EXP(-LN(2)/25)*AA149+(1-EXP(-LN(2)/25))/(LN(2)/25)*Calculateur!V150*Calculateur!X150*VLOOKUP('Données projet'!$B$9,Paramètres!$A$1:$I$89,3,0)*0.475*44/12</f>
        <v>13.707039106781187</v>
      </c>
      <c r="AB150" s="21">
        <f>EXP(-LN(2)/2)*AB149+(1-EXP(-LN(2)/2))/(LN(2)/2)*V150*Y150*VLOOKUP('Données projet'!$B$9,Paramètres!$A$1:$I$89,3,0)*0.475*44/12</f>
        <v>1.057941496093397E-5</v>
      </c>
      <c r="AC150" s="22">
        <f t="shared" si="111"/>
        <v>89.976399371832912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283.73369613548124</v>
      </c>
      <c r="AO150" s="59">
        <f t="shared" si="144"/>
        <v>249.77804091581208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-6.3550942286383367E-14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278.5296012747549</v>
      </c>
      <c r="BJ150" s="59">
        <f t="shared" si="146"/>
        <v>370.55343097937077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36.651389801729728</v>
      </c>
      <c r="BQ150" s="21">
        <f>EXP(-LN(2)/25)*BQ149+(1-EXP(-LN(2)/25))/(LN(2)/25)*Calculateur!BL150*Calculateur!BN150*VLOOKUP('Données projet'!$B$11,Paramètres!$A$1:$I$89,3,0)*0.475*44/12</f>
        <v>4.4945892050000138</v>
      </c>
      <c r="BR150" s="21">
        <f>EXP(-LN(2)/2)*BR149+(1-EXP(-LN(2)/2))/(LN(2)/2)*BL150*BO150*VLOOKUP('Données projet'!$B$11,Paramètres!$A$1:$I$89,3,0)*0.475*44/12</f>
        <v>4.8546132808429083E-13</v>
      </c>
      <c r="BS150" s="22">
        <f t="shared" si="117"/>
        <v>41.145979006730222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-3.1036506698001178E-14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159.92263609041913</v>
      </c>
      <c r="CE150" s="59">
        <f t="shared" si="148"/>
        <v>271.78119133009307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8.1025992962007987</v>
      </c>
      <c r="CL150" s="21">
        <f>EXP(-LN(2)/25)*CL149+(1-EXP(-LN(2)/25))/(LN(2)/25)*Calculateur!CG150*Calculateur!CI150*VLOOKUP('Données projet'!$B$12,Paramètres!$A$1:$I$89,3,0)*0.475*44/12</f>
        <v>7.7172587624808715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15.819858058681671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5.6843418860808015E-13</v>
      </c>
      <c r="CU150" s="17">
        <f>CT150*VLOOKUP('Données projet'!$B$13,Paramètres!$A$1:$I$89,3,0)*VLOOKUP('Données projet'!$B$13,Paramètres!$A$1:$I$89,5,0)</f>
        <v>5.1431925385259092E-13</v>
      </c>
      <c r="CV150" s="13">
        <f t="shared" si="149"/>
        <v>6.3855359115685756E-12</v>
      </c>
      <c r="CW150" s="20">
        <f t="shared" si="121"/>
        <v>1.2017247746441865E-11</v>
      </c>
      <c r="CX150" s="59">
        <f t="shared" si="122"/>
        <v>293.33333333334531</v>
      </c>
      <c r="CY150" s="59">
        <f ca="1">AVERAGE(OFFSET($CX$3,0,0,'Données projet'!$E$13+1,1))-AVERAGE(OFFSET($H$3,0,0,'Données projet'!$E$13+1,1))</f>
        <v>280.25710840677186</v>
      </c>
      <c r="CZ150" s="59">
        <f t="shared" si="150"/>
        <v>209.65224013288037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124.55076048182224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124.55076048182224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243</v>
      </c>
      <c r="DP150" s="17">
        <f>DO150*VLOOKUP('Données projet'!$B$14,Paramètres!$A$1:$I$89,3,0)*VLOOKUP('Données projet'!$B$14,Paramètres!$A$1:$I$89,5,0)</f>
        <v>253.98360000000002</v>
      </c>
      <c r="DQ150" s="13">
        <f t="shared" si="151"/>
        <v>61.438182405444294</v>
      </c>
      <c r="DR150" s="20">
        <f t="shared" si="124"/>
        <v>549.35960435614891</v>
      </c>
      <c r="DS150" s="59">
        <f t="shared" si="125"/>
        <v>842.69293768948228</v>
      </c>
      <c r="DT150" s="59">
        <f ca="1">AVERAGE(OFFSET($DS$3,0,0,'Données projet'!$E$14+1,1))-AVERAGE(OFFSET($H$3,0,0,'Données projet'!$E$14+1,1))</f>
        <v>330.14201227773452</v>
      </c>
      <c r="DU150" s="59">
        <f t="shared" si="152"/>
        <v>307.07297894926467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12.854405409358055</v>
      </c>
      <c r="EB150" s="21">
        <f>EXP(-LN(2)/25)*EB149+(1-EXP(-LN(2)/25))/(LN(2)/25)*Calculateur!DW150*Calculateur!DY150*VLOOKUP('Données projet'!$B$14,Paramètres!$A$1:$I$89,3,0)*0.475*44/12</f>
        <v>4.8401698074368129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17.694575216794867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236.00000000000009</v>
      </c>
      <c r="EK150" s="17">
        <f>EJ150*VLOOKUP('Données projet'!$B$15,Paramètres!$A$1:$I$89,3,0)*VLOOKUP('Données projet'!$B$15,Paramètres!$A$1:$I$89,5,0)</f>
        <v>154.62720000000004</v>
      </c>
      <c r="EL150" s="13">
        <f t="shared" si="153"/>
        <v>39.62826685000794</v>
      </c>
      <c r="EM150" s="20">
        <f t="shared" si="127"/>
        <v>338.32827143043056</v>
      </c>
      <c r="EN150" s="59">
        <f t="shared" si="128"/>
        <v>631.66160476376388</v>
      </c>
      <c r="EO150" s="59">
        <f ca="1">AVERAGE(OFFSET($EN$3,0,0,'Données projet'!$E$15+1,1))-AVERAGE(OFFSET($H$3,0,0,'Données projet'!$E$15+1,1))</f>
        <v>183.30081488041924</v>
      </c>
      <c r="EP150" s="59">
        <f t="shared" si="154"/>
        <v>199.33099759570928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1.2064185412371142</v>
      </c>
      <c r="EW150" s="21">
        <f>EXP(-LN(2)/25)*EW149+(1-EXP(-LN(2)/25))/(LN(2)/25)*Calculateur!ER150*Calculateur!ET150*VLOOKUP('Données projet'!$B$15,Paramètres!$A$1:$I$89,3,0)*0.475*44/12</f>
        <v>2.8666461604829476</v>
      </c>
      <c r="EX150" s="21">
        <f>EXP(-LN(2)/2)*EX149+(1-EXP(-LN(2)/2))/(LN(2)/2)*ER150*EU150*VLOOKUP('Données projet'!$B$15,Paramètres!$A$1:$I$89,3,0)*0.475*44/12</f>
        <v>5.6458384897734804E-9</v>
      </c>
      <c r="EY150" s="22">
        <f t="shared" si="129"/>
        <v>4.0730647073659005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1.5961632016114892E-13</v>
      </c>
      <c r="P151" s="13">
        <f t="shared" si="141"/>
        <v>2.2708641912150958E-12</v>
      </c>
      <c r="Q151" s="20">
        <f t="shared" si="108"/>
        <v>4.2330868906469593E-12</v>
      </c>
      <c r="R151" s="59">
        <f t="shared" si="109"/>
        <v>293.33333333333752</v>
      </c>
      <c r="S151" s="59">
        <f ca="1">AVERAGE(OFFSET($R$3,0,0,'Données projet'!$E$9+1,1))-AVERAGE(OFFSET($H$3,0,0,'Données projet'!$E$9+1,1))</f>
        <v>205.73717397588365</v>
      </c>
      <c r="T151" s="59">
        <f t="shared" si="142"/>
        <v>190.64998698136026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74.773754258011294</v>
      </c>
      <c r="AA151" s="21">
        <f>EXP(-LN(2)/25)*AA150+(1-EXP(-LN(2)/25))/(LN(2)/25)*Calculateur!V151*Calculateur!X151*VLOOKUP('Données projet'!$B$9,Paramètres!$A$1:$I$89,3,0)*0.475*44/12</f>
        <v>13.332219401584396</v>
      </c>
      <c r="AB151" s="21">
        <f>EXP(-LN(2)/2)*AB150+(1-EXP(-LN(2)/2))/(LN(2)/2)*V151*Y151*VLOOKUP('Données projet'!$B$9,Paramètres!$A$1:$I$89,3,0)*0.475*44/12</f>
        <v>7.4807760598628243E-6</v>
      </c>
      <c r="AC151" s="22">
        <f t="shared" si="111"/>
        <v>88.105981140371753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283.73369613548124</v>
      </c>
      <c r="AO151" s="59">
        <f t="shared" si="144"/>
        <v>249.77804091581208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-6.3550942286383367E-14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278.5296012747549</v>
      </c>
      <c r="BJ151" s="59">
        <f t="shared" si="146"/>
        <v>370.55343097937077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35.932678402858201</v>
      </c>
      <c r="BQ151" s="21">
        <f>EXP(-LN(2)/25)*BQ150+(1-EXP(-LN(2)/25))/(LN(2)/25)*Calculateur!BL151*Calculateur!BN151*VLOOKUP('Données projet'!$B$11,Paramètres!$A$1:$I$89,3,0)*0.475*44/12</f>
        <v>4.3716844268291144</v>
      </c>
      <c r="BR151" s="21">
        <f>EXP(-LN(2)/2)*BR150+(1-EXP(-LN(2)/2))/(LN(2)/2)*BL151*BO151*VLOOKUP('Données projet'!$B$11,Paramètres!$A$1:$I$89,3,0)*0.475*44/12</f>
        <v>3.432729970922294E-13</v>
      </c>
      <c r="BS151" s="22">
        <f t="shared" si="117"/>
        <v>40.304362829687655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-3.1036506698001178E-14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159.92263609041913</v>
      </c>
      <c r="CE151" s="59">
        <f t="shared" si="148"/>
        <v>271.78119133009307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7.9437122660998805</v>
      </c>
      <c r="CL151" s="21">
        <f>EXP(-LN(2)/25)*CL150+(1-EXP(-LN(2)/25))/(LN(2)/25)*Calculateur!CG151*Calculateur!CI151*VLOOKUP('Données projet'!$B$12,Paramètres!$A$1:$I$89,3,0)*0.475*44/12</f>
        <v>7.5062299157878316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15.449942181887712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5.6843418860808015E-13</v>
      </c>
      <c r="CU151" s="17">
        <f>CT151*VLOOKUP('Données projet'!$B$13,Paramètres!$A$1:$I$89,3,0)*VLOOKUP('Données projet'!$B$13,Paramètres!$A$1:$I$89,5,0)</f>
        <v>5.1431925385259092E-13</v>
      </c>
      <c r="CV151" s="13">
        <f t="shared" si="149"/>
        <v>6.3855359115685756E-12</v>
      </c>
      <c r="CW151" s="20">
        <f t="shared" si="121"/>
        <v>1.2017247746441865E-11</v>
      </c>
      <c r="CX151" s="59">
        <f t="shared" si="122"/>
        <v>293.33333333334531</v>
      </c>
      <c r="CY151" s="59">
        <f ca="1">AVERAGE(OFFSET($CX$3,0,0,'Données projet'!$E$13+1,1))-AVERAGE(OFFSET($H$3,0,0,'Données projet'!$E$13+1,1))</f>
        <v>280.25710840677186</v>
      </c>
      <c r="CZ151" s="59">
        <f t="shared" si="150"/>
        <v>209.65224013288037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122.10839603723633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122.10839603723633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243</v>
      </c>
      <c r="DP151" s="17">
        <f>DO151*VLOOKUP('Données projet'!$B$14,Paramètres!$A$1:$I$89,3,0)*VLOOKUP('Données projet'!$B$14,Paramètres!$A$1:$I$89,5,0)</f>
        <v>253.98360000000002</v>
      </c>
      <c r="DQ151" s="13">
        <f t="shared" si="151"/>
        <v>61.438182405444294</v>
      </c>
      <c r="DR151" s="20">
        <f t="shared" si="124"/>
        <v>549.35960435614891</v>
      </c>
      <c r="DS151" s="59">
        <f t="shared" si="125"/>
        <v>842.69293768948228</v>
      </c>
      <c r="DT151" s="59">
        <f ca="1">AVERAGE(OFFSET($DS$3,0,0,'Données projet'!$E$14+1,1))-AVERAGE(OFFSET($H$3,0,0,'Données projet'!$E$14+1,1))</f>
        <v>330.14201227773452</v>
      </c>
      <c r="DU151" s="59">
        <f t="shared" si="152"/>
        <v>307.07297894926467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12.602338359693666</v>
      </c>
      <c r="EB151" s="21">
        <f>EXP(-LN(2)/25)*EB150+(1-EXP(-LN(2)/25))/(LN(2)/25)*Calculateur!DW151*Calculateur!DY151*VLOOKUP('Données projet'!$B$14,Paramètres!$A$1:$I$89,3,0)*0.475*44/12</f>
        <v>4.7078151095189851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17.310153469212651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236.00000000000009</v>
      </c>
      <c r="EK151" s="17">
        <f>EJ151*VLOOKUP('Données projet'!$B$15,Paramètres!$A$1:$I$89,3,0)*VLOOKUP('Données projet'!$B$15,Paramètres!$A$1:$I$89,5,0)</f>
        <v>154.62720000000004</v>
      </c>
      <c r="EL151" s="13">
        <f t="shared" si="153"/>
        <v>39.62826685000794</v>
      </c>
      <c r="EM151" s="20">
        <f t="shared" si="127"/>
        <v>338.32827143043056</v>
      </c>
      <c r="EN151" s="59">
        <f t="shared" si="128"/>
        <v>631.66160476376388</v>
      </c>
      <c r="EO151" s="59">
        <f ca="1">AVERAGE(OFFSET($EN$3,0,0,'Données projet'!$E$15+1,1))-AVERAGE(OFFSET($H$3,0,0,'Données projet'!$E$15+1,1))</f>
        <v>183.30081488041924</v>
      </c>
      <c r="EP151" s="59">
        <f t="shared" si="154"/>
        <v>199.33099759570928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1.1827614094861061</v>
      </c>
      <c r="EW151" s="21">
        <f>EXP(-LN(2)/25)*EW150+(1-EXP(-LN(2)/25))/(LN(2)/25)*Calculateur!ER151*Calculateur!ET151*VLOOKUP('Données projet'!$B$15,Paramètres!$A$1:$I$89,3,0)*0.475*44/12</f>
        <v>2.7882575704741717</v>
      </c>
      <c r="EX151" s="21">
        <f>EXP(-LN(2)/2)*EX150+(1-EXP(-LN(2)/2))/(LN(2)/2)*ER151*EU151*VLOOKUP('Données projet'!$B$15,Paramètres!$A$1:$I$89,3,0)*0.475*44/12</f>
        <v>3.9922106816028444E-9</v>
      </c>
      <c r="EY151" s="22">
        <f t="shared" si="129"/>
        <v>3.9710189839524883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1.5961632016114892E-13</v>
      </c>
      <c r="P152" s="13">
        <f t="shared" si="141"/>
        <v>2.2708641912150958E-12</v>
      </c>
      <c r="Q152" s="20">
        <f t="shared" si="108"/>
        <v>4.2330868906469593E-12</v>
      </c>
      <c r="R152" s="59">
        <f t="shared" si="109"/>
        <v>293.33333333333752</v>
      </c>
      <c r="S152" s="59">
        <f ca="1">AVERAGE(OFFSET($R$3,0,0,'Données projet'!$E$9+1,1))-AVERAGE(OFFSET($H$3,0,0,'Données projet'!$E$9+1,1))</f>
        <v>205.73717397588365</v>
      </c>
      <c r="T152" s="59">
        <f t="shared" si="142"/>
        <v>190.64998698136026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73.307486544498431</v>
      </c>
      <c r="AA152" s="21">
        <f>EXP(-LN(2)/25)*AA151+(1-EXP(-LN(2)/25))/(LN(2)/25)*Calculateur!V152*Calculateur!X152*VLOOKUP('Données projet'!$B$9,Paramètres!$A$1:$I$89,3,0)*0.475*44/12</f>
        <v>12.967649160937123</v>
      </c>
      <c r="AB152" s="21">
        <f>EXP(-LN(2)/2)*AB151+(1-EXP(-LN(2)/2))/(LN(2)/2)*V152*Y152*VLOOKUP('Données projet'!$B$9,Paramètres!$A$1:$I$89,3,0)*0.475*44/12</f>
        <v>5.2897074804669857E-6</v>
      </c>
      <c r="AC152" s="22">
        <f t="shared" si="111"/>
        <v>86.275140995143033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283.73369613548124</v>
      </c>
      <c r="AO152" s="59">
        <f t="shared" si="144"/>
        <v>249.77804091581208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-6.3550942286383367E-14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278.5296012747549</v>
      </c>
      <c r="BJ152" s="59">
        <f t="shared" si="146"/>
        <v>370.55343097937077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35.228060496147876</v>
      </c>
      <c r="BQ152" s="21">
        <f>EXP(-LN(2)/25)*BQ151+(1-EXP(-LN(2)/25))/(LN(2)/25)*Calculateur!BL152*Calculateur!BN152*VLOOKUP('Données projet'!$B$11,Paramètres!$A$1:$I$89,3,0)*0.475*44/12</f>
        <v>4.2521404862805801</v>
      </c>
      <c r="BR152" s="21">
        <f>EXP(-LN(2)/2)*BR151+(1-EXP(-LN(2)/2))/(LN(2)/2)*BL152*BO152*VLOOKUP('Données projet'!$B$11,Paramètres!$A$1:$I$89,3,0)*0.475*44/12</f>
        <v>2.4273066404214542E-13</v>
      </c>
      <c r="BS152" s="22">
        <f t="shared" si="117"/>
        <v>39.480200982428698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-3.1036506698001178E-14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159.92263609041913</v>
      </c>
      <c r="CE152" s="59">
        <f t="shared" si="148"/>
        <v>271.78119133009307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7.7879409137477218</v>
      </c>
      <c r="CL152" s="21">
        <f>EXP(-LN(2)/25)*CL151+(1-EXP(-LN(2)/25))/(LN(2)/25)*Calculateur!CG152*Calculateur!CI152*VLOOKUP('Données projet'!$B$12,Paramètres!$A$1:$I$89,3,0)*0.475*44/12</f>
        <v>7.3009716640051376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15.088912577752859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5.6843418860808015E-13</v>
      </c>
      <c r="CU152" s="17">
        <f>CT152*VLOOKUP('Données projet'!$B$13,Paramètres!$A$1:$I$89,3,0)*VLOOKUP('Données projet'!$B$13,Paramètres!$A$1:$I$89,5,0)</f>
        <v>5.1431925385259092E-13</v>
      </c>
      <c r="CV152" s="13">
        <f t="shared" si="149"/>
        <v>6.3855359115685756E-12</v>
      </c>
      <c r="CW152" s="20">
        <f t="shared" si="121"/>
        <v>1.2017247746441865E-11</v>
      </c>
      <c r="CX152" s="59">
        <f t="shared" si="122"/>
        <v>293.33333333334531</v>
      </c>
      <c r="CY152" s="59">
        <f ca="1">AVERAGE(OFFSET($CX$3,0,0,'Données projet'!$E$13+1,1))-AVERAGE(OFFSET($H$3,0,0,'Données projet'!$E$13+1,1))</f>
        <v>280.25710840677186</v>
      </c>
      <c r="CZ152" s="59">
        <f t="shared" si="150"/>
        <v>209.65224013288037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119.71392486971354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119.71392486971354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243</v>
      </c>
      <c r="DP152" s="17">
        <f>DO152*VLOOKUP('Données projet'!$B$14,Paramètres!$A$1:$I$89,3,0)*VLOOKUP('Données projet'!$B$14,Paramètres!$A$1:$I$89,5,0)</f>
        <v>253.98360000000002</v>
      </c>
      <c r="DQ152" s="13">
        <f t="shared" si="151"/>
        <v>61.438182405444294</v>
      </c>
      <c r="DR152" s="20">
        <f t="shared" si="124"/>
        <v>549.35960435614891</v>
      </c>
      <c r="DS152" s="59">
        <f t="shared" si="125"/>
        <v>842.69293768948228</v>
      </c>
      <c r="DT152" s="59">
        <f ca="1">AVERAGE(OFFSET($DS$3,0,0,'Données projet'!$E$14+1,1))-AVERAGE(OFFSET($H$3,0,0,'Données projet'!$E$14+1,1))</f>
        <v>330.14201227773452</v>
      </c>
      <c r="DU152" s="59">
        <f t="shared" si="152"/>
        <v>307.07297894926467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12.355214191127478</v>
      </c>
      <c r="EB152" s="21">
        <f>EXP(-LN(2)/25)*EB151+(1-EXP(-LN(2)/25))/(LN(2)/25)*Calculateur!DW152*Calculateur!DY152*VLOOKUP('Données projet'!$B$14,Paramètres!$A$1:$I$89,3,0)*0.475*44/12</f>
        <v>4.5790796577759521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16.93429384890343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236.00000000000009</v>
      </c>
      <c r="EK152" s="17">
        <f>EJ152*VLOOKUP('Données projet'!$B$15,Paramètres!$A$1:$I$89,3,0)*VLOOKUP('Données projet'!$B$15,Paramètres!$A$1:$I$89,5,0)</f>
        <v>154.62720000000004</v>
      </c>
      <c r="EL152" s="13">
        <f t="shared" si="153"/>
        <v>39.62826685000794</v>
      </c>
      <c r="EM152" s="20">
        <f t="shared" si="127"/>
        <v>338.32827143043056</v>
      </c>
      <c r="EN152" s="59">
        <f t="shared" si="128"/>
        <v>631.66160476376388</v>
      </c>
      <c r="EO152" s="59">
        <f ca="1">AVERAGE(OFFSET($EN$3,0,0,'Données projet'!$E$15+1,1))-AVERAGE(OFFSET($H$3,0,0,'Données projet'!$E$15+1,1))</f>
        <v>183.30081488041924</v>
      </c>
      <c r="EP152" s="59">
        <f t="shared" si="154"/>
        <v>199.33099759570928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1.1595681796593096</v>
      </c>
      <c r="EW152" s="21">
        <f>EXP(-LN(2)/25)*EW151+(1-EXP(-LN(2)/25))/(LN(2)/25)*Calculateur!ER152*Calculateur!ET152*VLOOKUP('Données projet'!$B$15,Paramètres!$A$1:$I$89,3,0)*0.475*44/12</f>
        <v>2.7120125205814625</v>
      </c>
      <c r="EX152" s="21">
        <f>EXP(-LN(2)/2)*EX151+(1-EXP(-LN(2)/2))/(LN(2)/2)*ER152*EU152*VLOOKUP('Données projet'!$B$15,Paramètres!$A$1:$I$89,3,0)*0.475*44/12</f>
        <v>2.8229192448867402E-9</v>
      </c>
      <c r="EY152" s="22">
        <f t="shared" si="129"/>
        <v>3.8715807030636911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1.5961632016114892E-13</v>
      </c>
      <c r="P153" s="13">
        <f t="shared" si="141"/>
        <v>2.2708641912150958E-12</v>
      </c>
      <c r="Q153" s="20">
        <f t="shared" si="108"/>
        <v>4.2330868906469593E-12</v>
      </c>
      <c r="R153" s="59">
        <f t="shared" si="109"/>
        <v>293.33333333333752</v>
      </c>
      <c r="S153" s="59">
        <f ca="1">AVERAGE(OFFSET($R$3,0,0,'Données projet'!$E$9+1,1))-AVERAGE(OFFSET($H$3,0,0,'Données projet'!$E$9+1,1))</f>
        <v>205.73717397588365</v>
      </c>
      <c r="T153" s="59">
        <f t="shared" si="142"/>
        <v>190.64998698136026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71.869971446512551</v>
      </c>
      <c r="AA153" s="21">
        <f>EXP(-LN(2)/25)*AA152+(1-EXP(-LN(2)/25))/(LN(2)/25)*Calculateur!V153*Calculateur!X153*VLOOKUP('Données projet'!$B$9,Paramètres!$A$1:$I$89,3,0)*0.475*44/12</f>
        <v>12.613048112692265</v>
      </c>
      <c r="AB153" s="21">
        <f>EXP(-LN(2)/2)*AB152+(1-EXP(-LN(2)/2))/(LN(2)/2)*V153*Y153*VLOOKUP('Données projet'!$B$9,Paramètres!$A$1:$I$89,3,0)*0.475*44/12</f>
        <v>3.7403880299314126E-6</v>
      </c>
      <c r="AC153" s="22">
        <f t="shared" si="111"/>
        <v>84.483023299592844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283.73369613548124</v>
      </c>
      <c r="AO153" s="59">
        <f t="shared" si="144"/>
        <v>249.77804091581208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-6.3550942286383367E-14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278.5296012747549</v>
      </c>
      <c r="BJ153" s="59">
        <f t="shared" si="146"/>
        <v>370.55343097937077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34.537259716813651</v>
      </c>
      <c r="BQ153" s="21">
        <f>EXP(-LN(2)/25)*BQ152+(1-EXP(-LN(2)/25))/(LN(2)/25)*Calculateur!BL153*Calculateur!BN153*VLOOKUP('Données projet'!$B$11,Paramètres!$A$1:$I$89,3,0)*0.475*44/12</f>
        <v>4.1358654810728881</v>
      </c>
      <c r="BR153" s="21">
        <f>EXP(-LN(2)/2)*BR152+(1-EXP(-LN(2)/2))/(LN(2)/2)*BL153*BO153*VLOOKUP('Données projet'!$B$11,Paramètres!$A$1:$I$89,3,0)*0.475*44/12</f>
        <v>1.716364985461147E-13</v>
      </c>
      <c r="BS153" s="22">
        <f t="shared" si="117"/>
        <v>38.673125197886712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-3.1036506698001178E-14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159.92263609041913</v>
      </c>
      <c r="CE153" s="59">
        <f t="shared" si="148"/>
        <v>271.78119133009307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7.6352241426040459</v>
      </c>
      <c r="CL153" s="21">
        <f>EXP(-LN(2)/25)*CL152+(1-EXP(-LN(2)/25))/(LN(2)/25)*Calculateur!CG153*Calculateur!CI153*VLOOKUP('Données projet'!$B$12,Paramètres!$A$1:$I$89,3,0)*0.475*44/12</f>
        <v>7.1013262099115035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14.73655035251555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5.6843418860808015E-13</v>
      </c>
      <c r="CU153" s="17">
        <f>CT153*VLOOKUP('Données projet'!$B$13,Paramètres!$A$1:$I$89,3,0)*VLOOKUP('Données projet'!$B$13,Paramètres!$A$1:$I$89,5,0)</f>
        <v>5.1431925385259092E-13</v>
      </c>
      <c r="CV153" s="13">
        <f t="shared" si="149"/>
        <v>6.3855359115685756E-12</v>
      </c>
      <c r="CW153" s="20">
        <f t="shared" si="121"/>
        <v>1.2017247746441865E-11</v>
      </c>
      <c r="CX153" s="59">
        <f t="shared" si="122"/>
        <v>293.33333333334531</v>
      </c>
      <c r="CY153" s="59">
        <f ca="1">AVERAGE(OFFSET($CX$3,0,0,'Données projet'!$E$13+1,1))-AVERAGE(OFFSET($H$3,0,0,'Données projet'!$E$13+1,1))</f>
        <v>280.25710840677186</v>
      </c>
      <c r="CZ153" s="59">
        <f t="shared" si="150"/>
        <v>209.65224013288037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117.36640782130267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117.36640782130267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243</v>
      </c>
      <c r="DP153" s="17">
        <f>DO153*VLOOKUP('Données projet'!$B$14,Paramètres!$A$1:$I$89,3,0)*VLOOKUP('Données projet'!$B$14,Paramètres!$A$1:$I$89,5,0)</f>
        <v>253.98360000000002</v>
      </c>
      <c r="DQ153" s="13">
        <f t="shared" si="151"/>
        <v>61.438182405444294</v>
      </c>
      <c r="DR153" s="20">
        <f t="shared" si="124"/>
        <v>549.35960435614891</v>
      </c>
      <c r="DS153" s="59">
        <f t="shared" si="125"/>
        <v>842.69293768948228</v>
      </c>
      <c r="DT153" s="59">
        <f ca="1">AVERAGE(OFFSET($DS$3,0,0,'Données projet'!$E$14+1,1))-AVERAGE(OFFSET($H$3,0,0,'Données projet'!$E$14+1,1))</f>
        <v>330.14201227773452</v>
      </c>
      <c r="DU153" s="59">
        <f t="shared" si="152"/>
        <v>307.07297894926467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12.112935976776013</v>
      </c>
      <c r="EB153" s="21">
        <f>EXP(-LN(2)/25)*EB152+(1-EXP(-LN(2)/25))/(LN(2)/25)*Calculateur!DW153*Calculateur!DY153*VLOOKUP('Données projet'!$B$14,Paramètres!$A$1:$I$89,3,0)*0.475*44/12</f>
        <v>4.4538644837307348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16.566800460506748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236.00000000000009</v>
      </c>
      <c r="EK153" s="17">
        <f>EJ153*VLOOKUP('Données projet'!$B$15,Paramètres!$A$1:$I$89,3,0)*VLOOKUP('Données projet'!$B$15,Paramètres!$A$1:$I$89,5,0)</f>
        <v>154.62720000000004</v>
      </c>
      <c r="EL153" s="13">
        <f t="shared" si="153"/>
        <v>39.62826685000794</v>
      </c>
      <c r="EM153" s="20">
        <f t="shared" si="127"/>
        <v>338.32827143043056</v>
      </c>
      <c r="EN153" s="59">
        <f t="shared" si="128"/>
        <v>631.66160476376388</v>
      </c>
      <c r="EO153" s="59">
        <f ca="1">AVERAGE(OFFSET($EN$3,0,0,'Données projet'!$E$15+1,1))-AVERAGE(OFFSET($H$3,0,0,'Données projet'!$E$15+1,1))</f>
        <v>183.30081488041924</v>
      </c>
      <c r="EP153" s="59">
        <f t="shared" si="154"/>
        <v>199.33099759570928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1.1368297549229434</v>
      </c>
      <c r="EW153" s="21">
        <f>EXP(-LN(2)/25)*EW152+(1-EXP(-LN(2)/25))/(LN(2)/25)*Calculateur!ER153*Calculateur!ET153*VLOOKUP('Données projet'!$B$15,Paramètres!$A$1:$I$89,3,0)*0.475*44/12</f>
        <v>2.6378523955876223</v>
      </c>
      <c r="EX153" s="21">
        <f>EXP(-LN(2)/2)*EX152+(1-EXP(-LN(2)/2))/(LN(2)/2)*ER153*EU153*VLOOKUP('Données projet'!$B$15,Paramètres!$A$1:$I$89,3,0)*0.475*44/12</f>
        <v>1.9961053408014222E-9</v>
      </c>
      <c r="EY153" s="22">
        <f t="shared" si="129"/>
        <v>3.7746821525066712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1.5961632016114892E-13</v>
      </c>
      <c r="P154" s="13">
        <f t="shared" si="141"/>
        <v>2.2708641912150958E-12</v>
      </c>
      <c r="Q154" s="20">
        <f t="shared" ref="Q154:Q203" si="162">(O154+P154)*0.475*44/12</f>
        <v>4.2330868906469593E-12</v>
      </c>
      <c r="R154" s="59">
        <f t="shared" si="109"/>
        <v>293.33333333333752</v>
      </c>
      <c r="S154" s="59">
        <f ca="1">AVERAGE(OFFSET($R$3,0,0,'Données projet'!$E$9+1,1))-AVERAGE(OFFSET($H$3,0,0,'Données projet'!$E$9+1,1))</f>
        <v>205.73717397588365</v>
      </c>
      <c r="T154" s="59">
        <f t="shared" si="142"/>
        <v>190.64998698136026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70.460645142800544</v>
      </c>
      <c r="AA154" s="21">
        <f>EXP(-LN(2)/25)*AA153+(1-EXP(-LN(2)/25))/(LN(2)/25)*Calculateur!V154*Calculateur!X154*VLOOKUP('Données projet'!$B$9,Paramètres!$A$1:$I$89,3,0)*0.475*44/12</f>
        <v>12.268143648759322</v>
      </c>
      <c r="AB154" s="21">
        <f>EXP(-LN(2)/2)*AB153+(1-EXP(-LN(2)/2))/(LN(2)/2)*V154*Y154*VLOOKUP('Données projet'!$B$9,Paramètres!$A$1:$I$89,3,0)*0.475*44/12</f>
        <v>2.6448537402334933E-6</v>
      </c>
      <c r="AC154" s="22">
        <f t="shared" ref="AC154:AC203" si="163">SUM(Z154:AB154)</f>
        <v>82.728791436413601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283.73369613548124</v>
      </c>
      <c r="AO154" s="59">
        <f t="shared" si="144"/>
        <v>249.77804091581208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-6.3550942286383367E-14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278.5296012747549</v>
      </c>
      <c r="BJ154" s="59">
        <f t="shared" si="146"/>
        <v>370.55343097937077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33.860005119415305</v>
      </c>
      <c r="BQ154" s="21">
        <f>EXP(-LN(2)/25)*BQ153+(1-EXP(-LN(2)/25))/(LN(2)/25)*Calculateur!BL154*Calculateur!BN154*VLOOKUP('Données projet'!$B$11,Paramètres!$A$1:$I$89,3,0)*0.475*44/12</f>
        <v>4.0227700219972373</v>
      </c>
      <c r="BR154" s="21">
        <f>EXP(-LN(2)/2)*BR153+(1-EXP(-LN(2)/2))/(LN(2)/2)*BL154*BO154*VLOOKUP('Données projet'!$B$11,Paramètres!$A$1:$I$89,3,0)*0.475*44/12</f>
        <v>1.2136533202107271E-13</v>
      </c>
      <c r="BS154" s="22">
        <f t="shared" ref="BS154:BS203" si="169">SUM(BP154:BR154)</f>
        <v>37.882775141412665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-3.1036506698001178E-14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159.92263609041913</v>
      </c>
      <c r="CE154" s="59">
        <f t="shared" si="148"/>
        <v>271.78119133009307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7.4855020541944643</v>
      </c>
      <c r="CL154" s="21">
        <f>EXP(-LN(2)/25)*CL153+(1-EXP(-LN(2)/25))/(LN(2)/25)*Calculateur!CG154*Calculateur!CI154*VLOOKUP('Données projet'!$B$12,Paramètres!$A$1:$I$89,3,0)*0.475*44/12</f>
        <v>6.9071400712589588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14.392642125453424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5.6843418860808015E-13</v>
      </c>
      <c r="CU154" s="17">
        <f>CT154*VLOOKUP('Données projet'!$B$13,Paramètres!$A$1:$I$89,3,0)*VLOOKUP('Données projet'!$B$13,Paramètres!$A$1:$I$89,5,0)</f>
        <v>5.1431925385259092E-13</v>
      </c>
      <c r="CV154" s="13">
        <f t="shared" ref="CV154:CV203" si="173">EXP(-1.0587+0.8836*LN(CU154)+0.284)</f>
        <v>6.3855359115685756E-12</v>
      </c>
      <c r="CW154" s="20">
        <f t="shared" ref="CW154:CW203" si="174">(CU154+CV154)*0.475*44/12</f>
        <v>1.2017247746441865E-11</v>
      </c>
      <c r="CX154" s="59">
        <f t="shared" si="122"/>
        <v>293.33333333334531</v>
      </c>
      <c r="CY154" s="59">
        <f ca="1">AVERAGE(OFFSET($CX$3,0,0,'Données projet'!$E$13+1,1))-AVERAGE(OFFSET($H$3,0,0,'Données projet'!$E$13+1,1))</f>
        <v>280.25710840677186</v>
      </c>
      <c r="CZ154" s="59">
        <f t="shared" si="150"/>
        <v>209.65224013288037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115.06492415036712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115.06492415036712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243</v>
      </c>
      <c r="DP154" s="17">
        <f>DO154*VLOOKUP('Données projet'!$B$14,Paramètres!$A$1:$I$89,3,0)*VLOOKUP('Données projet'!$B$14,Paramètres!$A$1:$I$89,5,0)</f>
        <v>253.98360000000002</v>
      </c>
      <c r="DQ154" s="13">
        <f t="shared" ref="DQ154:DQ203" si="176">EXP(-1.0587+0.8836*LN(DP154)+0.284)</f>
        <v>61.438182405444294</v>
      </c>
      <c r="DR154" s="20">
        <f t="shared" ref="DR154:DR203" si="177">(DP154+DQ154)*0.475*44/12</f>
        <v>549.35960435614891</v>
      </c>
      <c r="DS154" s="59">
        <f t="shared" si="125"/>
        <v>842.69293768948228</v>
      </c>
      <c r="DT154" s="59">
        <f ca="1">AVERAGE(OFFSET($DS$3,0,0,'Données projet'!$E$14+1,1))-AVERAGE(OFFSET($H$3,0,0,'Données projet'!$E$14+1,1))</f>
        <v>330.14201227773452</v>
      </c>
      <c r="DU154" s="59">
        <f t="shared" si="152"/>
        <v>307.07297894926467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11.875408690432861</v>
      </c>
      <c r="EB154" s="21">
        <f>EXP(-LN(2)/25)*EB153+(1-EXP(-LN(2)/25))/(LN(2)/25)*Calculateur!DW154*Calculateur!DY154*VLOOKUP('Données projet'!$B$14,Paramètres!$A$1:$I$89,3,0)*0.475*44/12</f>
        <v>4.332073325204564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16.207482015637424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236.00000000000009</v>
      </c>
      <c r="EK154" s="17">
        <f>EJ154*VLOOKUP('Données projet'!$B$15,Paramètres!$A$1:$I$89,3,0)*VLOOKUP('Données projet'!$B$15,Paramètres!$A$1:$I$89,5,0)</f>
        <v>154.62720000000004</v>
      </c>
      <c r="EL154" s="13">
        <f t="shared" ref="EL154:EL203" si="179">EXP(-1.0587+0.8836*LN(EK154)+0.284)</f>
        <v>39.62826685000794</v>
      </c>
      <c r="EM154" s="20">
        <f t="shared" ref="EM154:EM203" si="180">(EK154+EL154)*0.475*44/12</f>
        <v>338.32827143043056</v>
      </c>
      <c r="EN154" s="59">
        <f t="shared" si="128"/>
        <v>631.66160476376388</v>
      </c>
      <c r="EO154" s="59">
        <f ca="1">AVERAGE(OFFSET($EN$3,0,0,'Données projet'!$E$15+1,1))-AVERAGE(OFFSET($H$3,0,0,'Données projet'!$E$15+1,1))</f>
        <v>183.30081488041924</v>
      </c>
      <c r="EP154" s="59">
        <f t="shared" si="154"/>
        <v>199.33099759570928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1.1145372168265877</v>
      </c>
      <c r="EW154" s="21">
        <f>EXP(-LN(2)/25)*EW153+(1-EXP(-LN(2)/25))/(LN(2)/25)*Calculateur!ER154*Calculateur!ET154*VLOOKUP('Données projet'!$B$15,Paramètres!$A$1:$I$89,3,0)*0.475*44/12</f>
        <v>2.5657201831116501</v>
      </c>
      <c r="EX154" s="21">
        <f>EXP(-LN(2)/2)*EX153+(1-EXP(-LN(2)/2))/(LN(2)/2)*ER154*EU154*VLOOKUP('Données projet'!$B$15,Paramètres!$A$1:$I$89,3,0)*0.475*44/12</f>
        <v>1.4114596224433701E-9</v>
      </c>
      <c r="EY154" s="22">
        <f t="shared" ref="EY154:EY203" si="181">SUM(EV154:EX154)</f>
        <v>3.6802574013496976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1.5961632016114892E-13</v>
      </c>
      <c r="P155" s="13">
        <f t="shared" si="141"/>
        <v>2.2708641912150958E-12</v>
      </c>
      <c r="Q155" s="20">
        <f t="shared" si="162"/>
        <v>4.2330868906469593E-12</v>
      </c>
      <c r="R155" s="59">
        <f t="shared" si="109"/>
        <v>293.33333333333752</v>
      </c>
      <c r="S155" s="59">
        <f ca="1">AVERAGE(OFFSET($R$3,0,0,'Données projet'!$E$9+1,1))-AVERAGE(OFFSET($H$3,0,0,'Données projet'!$E$9+1,1))</f>
        <v>205.73717397588365</v>
      </c>
      <c r="T155" s="59">
        <f t="shared" si="142"/>
        <v>190.64998698136026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69.078954868300158</v>
      </c>
      <c r="AA155" s="21">
        <f>EXP(-LN(2)/25)*AA154+(1-EXP(-LN(2)/25))/(LN(2)/25)*Calculateur!V155*Calculateur!X155*VLOOKUP('Données projet'!$B$9,Paramètres!$A$1:$I$89,3,0)*0.475*44/12</f>
        <v>11.932670615530363</v>
      </c>
      <c r="AB155" s="21">
        <f>EXP(-LN(2)/2)*AB154+(1-EXP(-LN(2)/2))/(LN(2)/2)*V155*Y155*VLOOKUP('Données projet'!$B$9,Paramètres!$A$1:$I$89,3,0)*0.475*44/12</f>
        <v>1.8701940149657067E-6</v>
      </c>
      <c r="AC155" s="22">
        <f t="shared" si="163"/>
        <v>81.01162735402454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283.73369613548124</v>
      </c>
      <c r="AO155" s="59">
        <f t="shared" si="144"/>
        <v>249.77804091581208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-6.3550942286383367E-14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278.5296012747549</v>
      </c>
      <c r="BJ155" s="59">
        <f t="shared" si="146"/>
        <v>370.55343097937077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33.19603107158742</v>
      </c>
      <c r="BQ155" s="21">
        <f>EXP(-LN(2)/25)*BQ154+(1-EXP(-LN(2)/25))/(LN(2)/25)*Calculateur!BL155*Calculateur!BN155*VLOOKUP('Données projet'!$B$11,Paramètres!$A$1:$I$89,3,0)*0.475*44/12</f>
        <v>3.9127671641974415</v>
      </c>
      <c r="BR155" s="21">
        <f>EXP(-LN(2)/2)*BR154+(1-EXP(-LN(2)/2))/(LN(2)/2)*BL155*BO155*VLOOKUP('Données projet'!$B$11,Paramètres!$A$1:$I$89,3,0)*0.475*44/12</f>
        <v>8.5818249273057349E-14</v>
      </c>
      <c r="BS155" s="22">
        <f t="shared" si="169"/>
        <v>37.108798235784946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-3.1036506698001178E-14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159.92263609041913</v>
      </c>
      <c r="CE155" s="59">
        <f t="shared" si="148"/>
        <v>271.78119133009307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7.3387159246171381</v>
      </c>
      <c r="CL155" s="21">
        <f>EXP(-LN(2)/25)*CL154+(1-EXP(-LN(2)/25))/(LN(2)/25)*Calculateur!CG155*Calculateur!CI155*VLOOKUP('Données projet'!$B$12,Paramètres!$A$1:$I$89,3,0)*0.475*44/12</f>
        <v>6.7182639627796723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14.05697988739681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5.6843418860808015E-13</v>
      </c>
      <c r="CU155" s="17">
        <f>CT155*VLOOKUP('Données projet'!$B$13,Paramètres!$A$1:$I$89,3,0)*VLOOKUP('Données projet'!$B$13,Paramètres!$A$1:$I$89,5,0)</f>
        <v>5.1431925385259092E-13</v>
      </c>
      <c r="CV155" s="13">
        <f t="shared" si="173"/>
        <v>6.3855359115685756E-12</v>
      </c>
      <c r="CW155" s="20">
        <f t="shared" si="174"/>
        <v>1.2017247746441865E-11</v>
      </c>
      <c r="CX155" s="59">
        <f t="shared" si="122"/>
        <v>293.33333333334531</v>
      </c>
      <c r="CY155" s="59">
        <f ca="1">AVERAGE(OFFSET($CX$3,0,0,'Données projet'!$E$13+1,1))-AVERAGE(OFFSET($H$3,0,0,'Données projet'!$E$13+1,1))</f>
        <v>280.25710840677186</v>
      </c>
      <c r="CZ155" s="59">
        <f t="shared" si="150"/>
        <v>209.65224013288037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112.80857117045218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112.80857117045218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243</v>
      </c>
      <c r="DP155" s="17">
        <f>DO155*VLOOKUP('Données projet'!$B$14,Paramètres!$A$1:$I$89,3,0)*VLOOKUP('Données projet'!$B$14,Paramètres!$A$1:$I$89,5,0)</f>
        <v>253.98360000000002</v>
      </c>
      <c r="DQ155" s="13">
        <f t="shared" si="176"/>
        <v>61.438182405444294</v>
      </c>
      <c r="DR155" s="20">
        <f t="shared" si="177"/>
        <v>549.35960435614891</v>
      </c>
      <c r="DS155" s="59">
        <f t="shared" si="125"/>
        <v>842.69293768948228</v>
      </c>
      <c r="DT155" s="59">
        <f ca="1">AVERAGE(OFFSET($DS$3,0,0,'Données projet'!$E$14+1,1))-AVERAGE(OFFSET($H$3,0,0,'Données projet'!$E$14+1,1))</f>
        <v>330.14201227773452</v>
      </c>
      <c r="DU155" s="59">
        <f t="shared" si="152"/>
        <v>307.07297894926467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11.642539169297558</v>
      </c>
      <c r="EB155" s="21">
        <f>EXP(-LN(2)/25)*EB154+(1-EXP(-LN(2)/25))/(LN(2)/25)*Calculateur!DW155*Calculateur!DY155*VLOOKUP('Données projet'!$B$14,Paramètres!$A$1:$I$89,3,0)*0.475*44/12</f>
        <v>4.2136125523130099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15.856151721610569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236.00000000000009</v>
      </c>
      <c r="EK155" s="17">
        <f>EJ155*VLOOKUP('Données projet'!$B$15,Paramètres!$A$1:$I$89,3,0)*VLOOKUP('Données projet'!$B$15,Paramètres!$A$1:$I$89,5,0)</f>
        <v>154.62720000000004</v>
      </c>
      <c r="EL155" s="13">
        <f t="shared" si="179"/>
        <v>39.62826685000794</v>
      </c>
      <c r="EM155" s="20">
        <f t="shared" si="180"/>
        <v>338.32827143043056</v>
      </c>
      <c r="EN155" s="59">
        <f t="shared" si="128"/>
        <v>631.66160476376388</v>
      </c>
      <c r="EO155" s="59">
        <f ca="1">AVERAGE(OFFSET($EN$3,0,0,'Données projet'!$E$15+1,1))-AVERAGE(OFFSET($H$3,0,0,'Données projet'!$E$15+1,1))</f>
        <v>183.30081488041924</v>
      </c>
      <c r="EP155" s="59">
        <f t="shared" si="154"/>
        <v>199.33099759570928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1.0926818218051959</v>
      </c>
      <c r="EW155" s="21">
        <f>EXP(-LN(2)/25)*EW154+(1-EXP(-LN(2)/25))/(LN(2)/25)*Calculateur!ER155*Calculateur!ET155*VLOOKUP('Données projet'!$B$15,Paramètres!$A$1:$I$89,3,0)*0.475*44/12</f>
        <v>2.4955604297791014</v>
      </c>
      <c r="EX155" s="21">
        <f>EXP(-LN(2)/2)*EX154+(1-EXP(-LN(2)/2))/(LN(2)/2)*ER155*EU155*VLOOKUP('Données projet'!$B$15,Paramètres!$A$1:$I$89,3,0)*0.475*44/12</f>
        <v>9.9805267040071109E-10</v>
      </c>
      <c r="EY155" s="22">
        <f t="shared" si="181"/>
        <v>3.5882422525823503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1.5961632016114892E-13</v>
      </c>
      <c r="P156" s="13">
        <f t="shared" si="141"/>
        <v>2.2708641912150958E-12</v>
      </c>
      <c r="Q156" s="20">
        <f t="shared" si="162"/>
        <v>4.2330868906469593E-12</v>
      </c>
      <c r="R156" s="59">
        <f t="shared" si="109"/>
        <v>293.33333333333752</v>
      </c>
      <c r="S156" s="59">
        <f ca="1">AVERAGE(OFFSET($R$3,0,0,'Données projet'!$E$9+1,1))-AVERAGE(OFFSET($H$3,0,0,'Données projet'!$E$9+1,1))</f>
        <v>205.73717397588365</v>
      </c>
      <c r="T156" s="59">
        <f t="shared" si="142"/>
        <v>190.64998698136026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67.724358697334878</v>
      </c>
      <c r="AA156" s="21">
        <f>EXP(-LN(2)/25)*AA155+(1-EXP(-LN(2)/25))/(LN(2)/25)*Calculateur!V156*Calculateur!X156*VLOOKUP('Données projet'!$B$9,Paramètres!$A$1:$I$89,3,0)*0.475*44/12</f>
        <v>11.606371110036809</v>
      </c>
      <c r="AB156" s="21">
        <f>EXP(-LN(2)/2)*AB155+(1-EXP(-LN(2)/2))/(LN(2)/2)*V156*Y156*VLOOKUP('Données projet'!$B$9,Paramètres!$A$1:$I$89,3,0)*0.475*44/12</f>
        <v>1.3224268701167469E-6</v>
      </c>
      <c r="AC156" s="22">
        <f t="shared" si="163"/>
        <v>79.330731129798551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283.73369613548124</v>
      </c>
      <c r="AO156" s="59">
        <f t="shared" si="144"/>
        <v>249.77804091581208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-6.3550942286383367E-14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278.5296012747549</v>
      </c>
      <c r="BJ156" s="59">
        <f t="shared" si="146"/>
        <v>370.55343097937077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32.545077149853263</v>
      </c>
      <c r="BQ156" s="21">
        <f>EXP(-LN(2)/25)*BQ155+(1-EXP(-LN(2)/25))/(LN(2)/25)*Calculateur!BL156*Calculateur!BN156*VLOOKUP('Données projet'!$B$11,Paramètres!$A$1:$I$89,3,0)*0.475*44/12</f>
        <v>3.8057723403289803</v>
      </c>
      <c r="BR156" s="21">
        <f>EXP(-LN(2)/2)*BR155+(1-EXP(-LN(2)/2))/(LN(2)/2)*BL156*BO156*VLOOKUP('Données projet'!$B$11,Paramètres!$A$1:$I$89,3,0)*0.475*44/12</f>
        <v>6.0682666010536354E-14</v>
      </c>
      <c r="BS156" s="22">
        <f t="shared" si="169"/>
        <v>36.350849490182306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-3.1036506698001178E-14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159.92263609041913</v>
      </c>
      <c r="CE156" s="59">
        <f t="shared" si="148"/>
        <v>271.78119133009307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7.1948081815101244</v>
      </c>
      <c r="CL156" s="21">
        <f>EXP(-LN(2)/25)*CL155+(1-EXP(-LN(2)/25))/(LN(2)/25)*Calculateur!CG156*Calculateur!CI156*VLOOKUP('Données projet'!$B$12,Paramètres!$A$1:$I$89,3,0)*0.475*44/12</f>
        <v>6.5345526814193153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13.72936086292944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5.6843418860808015E-13</v>
      </c>
      <c r="CU156" s="17">
        <f>CT156*VLOOKUP('Données projet'!$B$13,Paramètres!$A$1:$I$89,3,0)*VLOOKUP('Données projet'!$B$13,Paramètres!$A$1:$I$89,5,0)</f>
        <v>5.1431925385259092E-13</v>
      </c>
      <c r="CV156" s="13">
        <f t="shared" si="173"/>
        <v>6.3855359115685756E-12</v>
      </c>
      <c r="CW156" s="20">
        <f t="shared" si="174"/>
        <v>1.2017247746441865E-11</v>
      </c>
      <c r="CX156" s="59">
        <f t="shared" si="122"/>
        <v>293.33333333334531</v>
      </c>
      <c r="CY156" s="59">
        <f ca="1">AVERAGE(OFFSET($CX$3,0,0,'Données projet'!$E$13+1,1))-AVERAGE(OFFSET($H$3,0,0,'Données projet'!$E$13+1,1))</f>
        <v>280.25710840677186</v>
      </c>
      <c r="CZ156" s="59">
        <f t="shared" si="150"/>
        <v>209.65224013288037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110.59646389623396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110.59646389623396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243</v>
      </c>
      <c r="DP156" s="17">
        <f>DO156*VLOOKUP('Données projet'!$B$14,Paramètres!$A$1:$I$89,3,0)*VLOOKUP('Données projet'!$B$14,Paramètres!$A$1:$I$89,5,0)</f>
        <v>253.98360000000002</v>
      </c>
      <c r="DQ156" s="13">
        <f t="shared" si="176"/>
        <v>61.438182405444294</v>
      </c>
      <c r="DR156" s="20">
        <f t="shared" si="177"/>
        <v>549.35960435614891</v>
      </c>
      <c r="DS156" s="59">
        <f t="shared" si="125"/>
        <v>842.69293768948228</v>
      </c>
      <c r="DT156" s="59">
        <f ca="1">AVERAGE(OFFSET($DS$3,0,0,'Données projet'!$E$14+1,1))-AVERAGE(OFFSET($H$3,0,0,'Données projet'!$E$14+1,1))</f>
        <v>330.14201227773452</v>
      </c>
      <c r="DU156" s="59">
        <f t="shared" si="152"/>
        <v>307.07297894926467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11.414236077435337</v>
      </c>
      <c r="EB156" s="21">
        <f>EXP(-LN(2)/25)*EB155+(1-EXP(-LN(2)/25))/(LN(2)/25)*Calculateur!DW156*Calculateur!DY156*VLOOKUP('Données projet'!$B$14,Paramètres!$A$1:$I$89,3,0)*0.475*44/12</f>
        <v>4.0983910954857565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15.512627172921093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236.00000000000009</v>
      </c>
      <c r="EK156" s="17">
        <f>EJ156*VLOOKUP('Données projet'!$B$15,Paramètres!$A$1:$I$89,3,0)*VLOOKUP('Données projet'!$B$15,Paramètres!$A$1:$I$89,5,0)</f>
        <v>154.62720000000004</v>
      </c>
      <c r="EL156" s="13">
        <f t="shared" si="179"/>
        <v>39.62826685000794</v>
      </c>
      <c r="EM156" s="20">
        <f t="shared" si="180"/>
        <v>338.32827143043056</v>
      </c>
      <c r="EN156" s="59">
        <f t="shared" si="128"/>
        <v>631.66160476376388</v>
      </c>
      <c r="EO156" s="59">
        <f ca="1">AVERAGE(OFFSET($EN$3,0,0,'Données projet'!$E$15+1,1))-AVERAGE(OFFSET($H$3,0,0,'Données projet'!$E$15+1,1))</f>
        <v>183.30081488041924</v>
      </c>
      <c r="EP156" s="59">
        <f t="shared" si="154"/>
        <v>199.33099759570928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1.0712549977496988</v>
      </c>
      <c r="EW156" s="21">
        <f>EXP(-LN(2)/25)*EW155+(1-EXP(-LN(2)/25))/(LN(2)/25)*Calculateur!ER156*Calculateur!ET156*VLOOKUP('Données projet'!$B$15,Paramètres!$A$1:$I$89,3,0)*0.475*44/12</f>
        <v>2.4273191985909728</v>
      </c>
      <c r="EX156" s="21">
        <f>EXP(-LN(2)/2)*EX155+(1-EXP(-LN(2)/2))/(LN(2)/2)*ER156*EU156*VLOOKUP('Données projet'!$B$15,Paramètres!$A$1:$I$89,3,0)*0.475*44/12</f>
        <v>7.0572981122168505E-10</v>
      </c>
      <c r="EY156" s="22">
        <f t="shared" si="181"/>
        <v>3.498574197046401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1.5961632016114892E-13</v>
      </c>
      <c r="P157" s="13">
        <f t="shared" si="141"/>
        <v>2.2708641912150958E-12</v>
      </c>
      <c r="Q157" s="20">
        <f t="shared" si="162"/>
        <v>4.2330868906469593E-12</v>
      </c>
      <c r="R157" s="59">
        <f t="shared" si="109"/>
        <v>293.33333333333752</v>
      </c>
      <c r="S157" s="59">
        <f ca="1">AVERAGE(OFFSET($R$3,0,0,'Données projet'!$E$9+1,1))-AVERAGE(OFFSET($H$3,0,0,'Données projet'!$E$9+1,1))</f>
        <v>205.73717397588365</v>
      </c>
      <c r="T157" s="59">
        <f t="shared" si="142"/>
        <v>190.64998698136026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66.39632533106014</v>
      </c>
      <c r="AA157" s="21">
        <f>EXP(-LN(2)/25)*AA156+(1-EXP(-LN(2)/25))/(LN(2)/25)*Calculateur!V157*Calculateur!X157*VLOOKUP('Données projet'!$B$9,Paramètres!$A$1:$I$89,3,0)*0.475*44/12</f>
        <v>11.288994281680322</v>
      </c>
      <c r="AB157" s="21">
        <f>EXP(-LN(2)/2)*AB156+(1-EXP(-LN(2)/2))/(LN(2)/2)*V157*Y157*VLOOKUP('Données projet'!$B$9,Paramètres!$A$1:$I$89,3,0)*0.475*44/12</f>
        <v>9.3509700748285346E-7</v>
      </c>
      <c r="AC157" s="22">
        <f t="shared" si="163"/>
        <v>77.685320547837463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283.73369613548124</v>
      </c>
      <c r="AO157" s="59">
        <f t="shared" si="144"/>
        <v>249.77804091581208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-6.3550942286383367E-14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278.5296012747549</v>
      </c>
      <c r="BJ157" s="59">
        <f t="shared" si="146"/>
        <v>370.55343097937077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31.906888037481625</v>
      </c>
      <c r="BQ157" s="21">
        <f>EXP(-LN(2)/25)*BQ156+(1-EXP(-LN(2)/25))/(LN(2)/25)*Calculateur!BL157*Calculateur!BN157*VLOOKUP('Données projet'!$B$11,Paramètres!$A$1:$I$89,3,0)*0.475*44/12</f>
        <v>3.7017032955458151</v>
      </c>
      <c r="BR157" s="21">
        <f>EXP(-LN(2)/2)*BR156+(1-EXP(-LN(2)/2))/(LN(2)/2)*BL157*BO157*VLOOKUP('Données projet'!$B$11,Paramètres!$A$1:$I$89,3,0)*0.475*44/12</f>
        <v>4.2909124636528675E-14</v>
      </c>
      <c r="BS157" s="22">
        <f t="shared" si="169"/>
        <v>35.608591333027483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-3.1036506698001178E-14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159.92263609041913</v>
      </c>
      <c r="CE157" s="59">
        <f t="shared" si="148"/>
        <v>271.78119133009307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7.0537223814703829</v>
      </c>
      <c r="CL157" s="21">
        <f>EXP(-LN(2)/25)*CL156+(1-EXP(-LN(2)/25))/(LN(2)/25)*Calculateur!CG157*Calculateur!CI157*VLOOKUP('Données projet'!$B$12,Paramètres!$A$1:$I$89,3,0)*0.475*44/12</f>
        <v>6.3558649947087131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13.409587376179097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5.6843418860808015E-13</v>
      </c>
      <c r="CU157" s="17">
        <f>CT157*VLOOKUP('Données projet'!$B$13,Paramètres!$A$1:$I$89,3,0)*VLOOKUP('Données projet'!$B$13,Paramètres!$A$1:$I$89,5,0)</f>
        <v>5.1431925385259092E-13</v>
      </c>
      <c r="CV157" s="13">
        <f t="shared" si="173"/>
        <v>6.3855359115685756E-12</v>
      </c>
      <c r="CW157" s="20">
        <f t="shared" si="174"/>
        <v>1.2017247746441865E-11</v>
      </c>
      <c r="CX157" s="59">
        <f t="shared" si="122"/>
        <v>293.33333333334531</v>
      </c>
      <c r="CY157" s="59">
        <f ca="1">AVERAGE(OFFSET($CX$3,0,0,'Données projet'!$E$13+1,1))-AVERAGE(OFFSET($H$3,0,0,'Données projet'!$E$13+1,1))</f>
        <v>280.25710840677186</v>
      </c>
      <c r="CZ157" s="59">
        <f t="shared" si="150"/>
        <v>209.65224013288037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108.42773469641094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108.42773469641094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243</v>
      </c>
      <c r="DP157" s="17">
        <f>DO157*VLOOKUP('Données projet'!$B$14,Paramètres!$A$1:$I$89,3,0)*VLOOKUP('Données projet'!$B$14,Paramètres!$A$1:$I$89,5,0)</f>
        <v>253.98360000000002</v>
      </c>
      <c r="DQ157" s="13">
        <f t="shared" si="176"/>
        <v>61.438182405444294</v>
      </c>
      <c r="DR157" s="20">
        <f t="shared" si="177"/>
        <v>549.35960435614891</v>
      </c>
      <c r="DS157" s="59">
        <f t="shared" si="125"/>
        <v>842.69293768948228</v>
      </c>
      <c r="DT157" s="59">
        <f ca="1">AVERAGE(OFFSET($DS$3,0,0,'Données projet'!$E$14+1,1))-AVERAGE(OFFSET($H$3,0,0,'Données projet'!$E$14+1,1))</f>
        <v>330.14201227773452</v>
      </c>
      <c r="DU157" s="59">
        <f t="shared" si="152"/>
        <v>307.07297894926467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11.190409869953397</v>
      </c>
      <c r="EB157" s="21">
        <f>EXP(-LN(2)/25)*EB156+(1-EXP(-LN(2)/25))/(LN(2)/25)*Calculateur!DW157*Calculateur!DY157*VLOOKUP('Données projet'!$B$14,Paramètres!$A$1:$I$89,3,0)*0.475*44/12</f>
        <v>3.9863203754546777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15.176730245408075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236.00000000000009</v>
      </c>
      <c r="EK157" s="17">
        <f>EJ157*VLOOKUP('Données projet'!$B$15,Paramètres!$A$1:$I$89,3,0)*VLOOKUP('Données projet'!$B$15,Paramètres!$A$1:$I$89,5,0)</f>
        <v>154.62720000000004</v>
      </c>
      <c r="EL157" s="13">
        <f t="shared" si="179"/>
        <v>39.62826685000794</v>
      </c>
      <c r="EM157" s="20">
        <f t="shared" si="180"/>
        <v>338.32827143043056</v>
      </c>
      <c r="EN157" s="59">
        <f t="shared" si="128"/>
        <v>631.66160476376388</v>
      </c>
      <c r="EO157" s="59">
        <f ca="1">AVERAGE(OFFSET($EN$3,0,0,'Données projet'!$E$15+1,1))-AVERAGE(OFFSET($H$3,0,0,'Données projet'!$E$15+1,1))</f>
        <v>183.30081488041924</v>
      </c>
      <c r="EP157" s="59">
        <f t="shared" si="154"/>
        <v>199.33099759570928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1.0502483406448577</v>
      </c>
      <c r="EW157" s="21">
        <f>EXP(-LN(2)/25)*EW156+(1-EXP(-LN(2)/25))/(LN(2)/25)*Calculateur!ER157*Calculateur!ET157*VLOOKUP('Données projet'!$B$15,Paramètres!$A$1:$I$89,3,0)*0.475*44/12</f>
        <v>2.3609440274583338</v>
      </c>
      <c r="EX157" s="21">
        <f>EXP(-LN(2)/2)*EX156+(1-EXP(-LN(2)/2))/(LN(2)/2)*ER157*EU157*VLOOKUP('Données projet'!$B$15,Paramètres!$A$1:$I$89,3,0)*0.475*44/12</f>
        <v>4.9902633520035554E-10</v>
      </c>
      <c r="EY157" s="22">
        <f t="shared" si="181"/>
        <v>3.4111923686022174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1.5961632016114892E-13</v>
      </c>
      <c r="P158" s="13">
        <f t="shared" si="141"/>
        <v>2.2708641912150958E-12</v>
      </c>
      <c r="Q158" s="20">
        <f t="shared" si="162"/>
        <v>4.2330868906469593E-12</v>
      </c>
      <c r="R158" s="59">
        <f t="shared" si="109"/>
        <v>293.33333333333752</v>
      </c>
      <c r="S158" s="59">
        <f ca="1">AVERAGE(OFFSET($R$3,0,0,'Données projet'!$E$9+1,1))-AVERAGE(OFFSET($H$3,0,0,'Données projet'!$E$9+1,1))</f>
        <v>205.73717397588365</v>
      </c>
      <c r="T158" s="59">
        <f t="shared" si="142"/>
        <v>190.64998698136026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65.094333889077674</v>
      </c>
      <c r="AA158" s="21">
        <f>EXP(-LN(2)/25)*AA157+(1-EXP(-LN(2)/25))/(LN(2)/25)*Calculateur!V158*Calculateur!X158*VLOOKUP('Données projet'!$B$9,Paramètres!$A$1:$I$89,3,0)*0.475*44/12</f>
        <v>10.980296139385366</v>
      </c>
      <c r="AB158" s="21">
        <f>EXP(-LN(2)/2)*AB157+(1-EXP(-LN(2)/2))/(LN(2)/2)*V158*Y158*VLOOKUP('Données projet'!$B$9,Paramètres!$A$1:$I$89,3,0)*0.475*44/12</f>
        <v>6.6121343505837354E-7</v>
      </c>
      <c r="AC158" s="22">
        <f t="shared" si="163"/>
        <v>76.074630689676482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283.73369613548124</v>
      </c>
      <c r="AO158" s="59">
        <f t="shared" si="144"/>
        <v>249.77804091581208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-6.3550942286383367E-14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278.5296012747549</v>
      </c>
      <c r="BJ158" s="59">
        <f t="shared" si="146"/>
        <v>370.55343097937077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31.281213424346671</v>
      </c>
      <c r="BQ158" s="21">
        <f>EXP(-LN(2)/25)*BQ157+(1-EXP(-LN(2)/25))/(LN(2)/25)*Calculateur!BL158*Calculateur!BN158*VLOOKUP('Données projet'!$B$11,Paramètres!$A$1:$I$89,3,0)*0.475*44/12</f>
        <v>3.600480024264999</v>
      </c>
      <c r="BR158" s="21">
        <f>EXP(-LN(2)/2)*BR157+(1-EXP(-LN(2)/2))/(LN(2)/2)*BL158*BO158*VLOOKUP('Données projet'!$B$11,Paramètres!$A$1:$I$89,3,0)*0.475*44/12</f>
        <v>3.0341333005268177E-14</v>
      </c>
      <c r="BS158" s="22">
        <f t="shared" si="169"/>
        <v>34.881693448611699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-3.1036506698001178E-14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159.92263609041913</v>
      </c>
      <c r="CE158" s="59">
        <f t="shared" si="148"/>
        <v>271.78119133009307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6.9154031879155804</v>
      </c>
      <c r="CL158" s="21">
        <f>EXP(-LN(2)/25)*CL157+(1-EXP(-LN(2)/25))/(LN(2)/25)*Calculateur!CG158*Calculateur!CI158*VLOOKUP('Données projet'!$B$12,Paramètres!$A$1:$I$89,3,0)*0.475*44/12</f>
        <v>6.18206353218799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13.09746672010357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5.6843418860808015E-13</v>
      </c>
      <c r="CU158" s="17">
        <f>CT158*VLOOKUP('Données projet'!$B$13,Paramètres!$A$1:$I$89,3,0)*VLOOKUP('Données projet'!$B$13,Paramètres!$A$1:$I$89,5,0)</f>
        <v>5.1431925385259092E-13</v>
      </c>
      <c r="CV158" s="13">
        <f t="shared" si="173"/>
        <v>6.3855359115685756E-12</v>
      </c>
      <c r="CW158" s="20">
        <f t="shared" si="174"/>
        <v>1.2017247746441865E-11</v>
      </c>
      <c r="CX158" s="59">
        <f t="shared" si="122"/>
        <v>293.33333333334531</v>
      </c>
      <c r="CY158" s="59">
        <f ca="1">AVERAGE(OFFSET($CX$3,0,0,'Données projet'!$E$13+1,1))-AVERAGE(OFFSET($H$3,0,0,'Données projet'!$E$13+1,1))</f>
        <v>280.25710840677186</v>
      </c>
      <c r="CZ158" s="59">
        <f t="shared" si="150"/>
        <v>209.65224013288037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106.30153295340226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106.30153295340226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243</v>
      </c>
      <c r="DP158" s="17">
        <f>DO158*VLOOKUP('Données projet'!$B$14,Paramètres!$A$1:$I$89,3,0)*VLOOKUP('Données projet'!$B$14,Paramètres!$A$1:$I$89,5,0)</f>
        <v>253.98360000000002</v>
      </c>
      <c r="DQ158" s="13">
        <f t="shared" si="176"/>
        <v>61.438182405444294</v>
      </c>
      <c r="DR158" s="20">
        <f t="shared" si="177"/>
        <v>549.35960435614891</v>
      </c>
      <c r="DS158" s="59">
        <f t="shared" si="125"/>
        <v>842.69293768948228</v>
      </c>
      <c r="DT158" s="59">
        <f ca="1">AVERAGE(OFFSET($DS$3,0,0,'Données projet'!$E$14+1,1))-AVERAGE(OFFSET($H$3,0,0,'Données projet'!$E$14+1,1))</f>
        <v>330.14201227773452</v>
      </c>
      <c r="DU158" s="59">
        <f t="shared" si="152"/>
        <v>307.07297894926467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10.970972757879672</v>
      </c>
      <c r="EB158" s="21">
        <f>EXP(-LN(2)/25)*EB157+(1-EXP(-LN(2)/25))/(LN(2)/25)*Calculateur!DW158*Calculateur!DY158*VLOOKUP('Données projet'!$B$14,Paramètres!$A$1:$I$89,3,0)*0.475*44/12</f>
        <v>3.8773142351563918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14.848286993036064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236.00000000000009</v>
      </c>
      <c r="EK158" s="17">
        <f>EJ158*VLOOKUP('Données projet'!$B$15,Paramètres!$A$1:$I$89,3,0)*VLOOKUP('Données projet'!$B$15,Paramètres!$A$1:$I$89,5,0)</f>
        <v>154.62720000000004</v>
      </c>
      <c r="EL158" s="13">
        <f t="shared" si="179"/>
        <v>39.62826685000794</v>
      </c>
      <c r="EM158" s="20">
        <f t="shared" si="180"/>
        <v>338.32827143043056</v>
      </c>
      <c r="EN158" s="59">
        <f t="shared" si="128"/>
        <v>631.66160476376388</v>
      </c>
      <c r="EO158" s="59">
        <f ca="1">AVERAGE(OFFSET($EN$3,0,0,'Données projet'!$E$15+1,1))-AVERAGE(OFFSET($H$3,0,0,'Données projet'!$E$15+1,1))</f>
        <v>183.30081488041924</v>
      </c>
      <c r="EP158" s="59">
        <f t="shared" si="154"/>
        <v>199.33099759570928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1.029653611273047</v>
      </c>
      <c r="EW158" s="21">
        <f>EXP(-LN(2)/25)*EW157+(1-EXP(-LN(2)/25))/(LN(2)/25)*Calculateur!ER158*Calculateur!ET158*VLOOKUP('Données projet'!$B$15,Paramètres!$A$1:$I$89,3,0)*0.475*44/12</f>
        <v>2.2963838888708352</v>
      </c>
      <c r="EX158" s="21">
        <f>EXP(-LN(2)/2)*EX157+(1-EXP(-LN(2)/2))/(LN(2)/2)*ER158*EU158*VLOOKUP('Données projet'!$B$15,Paramètres!$A$1:$I$89,3,0)*0.475*44/12</f>
        <v>3.5286490561084253E-10</v>
      </c>
      <c r="EY158" s="22">
        <f t="shared" si="181"/>
        <v>3.3260375004967471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1.5961632016114892E-13</v>
      </c>
      <c r="P159" s="13">
        <f t="shared" si="141"/>
        <v>2.2708641912150958E-12</v>
      </c>
      <c r="Q159" s="20">
        <f t="shared" si="162"/>
        <v>4.2330868906469593E-12</v>
      </c>
      <c r="R159" s="59">
        <f t="shared" si="109"/>
        <v>293.33333333333752</v>
      </c>
      <c r="S159" s="59">
        <f ca="1">AVERAGE(OFFSET($R$3,0,0,'Données projet'!$E$9+1,1))-AVERAGE(OFFSET($H$3,0,0,'Données projet'!$E$9+1,1))</f>
        <v>205.73717397588365</v>
      </c>
      <c r="T159" s="59">
        <f t="shared" si="142"/>
        <v>190.64998698136026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63.81787370513613</v>
      </c>
      <c r="AA159" s="21">
        <f>EXP(-LN(2)/25)*AA158+(1-EXP(-LN(2)/25))/(LN(2)/25)*Calculateur!V159*Calculateur!X159*VLOOKUP('Données projet'!$B$9,Paramètres!$A$1:$I$89,3,0)*0.475*44/12</f>
        <v>10.680039364025195</v>
      </c>
      <c r="AB159" s="21">
        <f>EXP(-LN(2)/2)*AB158+(1-EXP(-LN(2)/2))/(LN(2)/2)*V159*Y159*VLOOKUP('Données projet'!$B$9,Paramètres!$A$1:$I$89,3,0)*0.475*44/12</f>
        <v>4.6754850374142684E-7</v>
      </c>
      <c r="AC159" s="22">
        <f t="shared" si="163"/>
        <v>74.497913536709831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283.73369613548124</v>
      </c>
      <c r="AO159" s="59">
        <f t="shared" si="144"/>
        <v>249.77804091581208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-6.3550942286383367E-14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278.5296012747549</v>
      </c>
      <c r="BJ159" s="59">
        <f t="shared" si="146"/>
        <v>370.55343097937077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30.667807908751463</v>
      </c>
      <c r="BQ159" s="21">
        <f>EXP(-LN(2)/25)*BQ158+(1-EXP(-LN(2)/25))/(LN(2)/25)*Calculateur!BL159*Calculateur!BN159*VLOOKUP('Données projet'!$B$11,Paramètres!$A$1:$I$89,3,0)*0.475*44/12</f>
        <v>3.502024708660457</v>
      </c>
      <c r="BR159" s="21">
        <f>EXP(-LN(2)/2)*BR158+(1-EXP(-LN(2)/2))/(LN(2)/2)*BL159*BO159*VLOOKUP('Données projet'!$B$11,Paramètres!$A$1:$I$89,3,0)*0.475*44/12</f>
        <v>2.1454562318264337E-14</v>
      </c>
      <c r="BS159" s="22">
        <f t="shared" si="169"/>
        <v>34.169832617411942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-3.1036506698001178E-14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159.92263609041913</v>
      </c>
      <c r="CE159" s="59">
        <f t="shared" si="148"/>
        <v>271.78119133009307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6.7797963493800095</v>
      </c>
      <c r="CL159" s="21">
        <f>EXP(-LN(2)/25)*CL158+(1-EXP(-LN(2)/25))/(LN(2)/25)*Calculateur!CG159*Calculateur!CI159*VLOOKUP('Données projet'!$B$12,Paramètres!$A$1:$I$89,3,0)*0.475*44/12</f>
        <v>6.0130146797997179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12.792811029179727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5.6843418860808015E-13</v>
      </c>
      <c r="CU159" s="17">
        <f>CT159*VLOOKUP('Données projet'!$B$13,Paramètres!$A$1:$I$89,3,0)*VLOOKUP('Données projet'!$B$13,Paramètres!$A$1:$I$89,5,0)</f>
        <v>5.1431925385259092E-13</v>
      </c>
      <c r="CV159" s="13">
        <f t="shared" si="173"/>
        <v>6.3855359115685756E-12</v>
      </c>
      <c r="CW159" s="20">
        <f t="shared" si="174"/>
        <v>1.2017247746441865E-11</v>
      </c>
      <c r="CX159" s="59">
        <f t="shared" si="122"/>
        <v>293.33333333334531</v>
      </c>
      <c r="CY159" s="59">
        <f ca="1">AVERAGE(OFFSET($CX$3,0,0,'Données projet'!$E$13+1,1))-AVERAGE(OFFSET($H$3,0,0,'Données projet'!$E$13+1,1))</f>
        <v>280.25710840677186</v>
      </c>
      <c r="CZ159" s="59">
        <f t="shared" si="150"/>
        <v>209.65224013288037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104.21702472971897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104.21702472971897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243</v>
      </c>
      <c r="DP159" s="17">
        <f>DO159*VLOOKUP('Données projet'!$B$14,Paramètres!$A$1:$I$89,3,0)*VLOOKUP('Données projet'!$B$14,Paramètres!$A$1:$I$89,5,0)</f>
        <v>253.98360000000002</v>
      </c>
      <c r="DQ159" s="13">
        <f t="shared" si="176"/>
        <v>61.438182405444294</v>
      </c>
      <c r="DR159" s="20">
        <f t="shared" si="177"/>
        <v>549.35960435614891</v>
      </c>
      <c r="DS159" s="59">
        <f t="shared" si="125"/>
        <v>842.69293768948228</v>
      </c>
      <c r="DT159" s="59">
        <f ca="1">AVERAGE(OFFSET($DS$3,0,0,'Données projet'!$E$14+1,1))-AVERAGE(OFFSET($H$3,0,0,'Données projet'!$E$14+1,1))</f>
        <v>330.14201227773452</v>
      </c>
      <c r="DU159" s="59">
        <f t="shared" si="152"/>
        <v>307.07297894926467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10.75583867373029</v>
      </c>
      <c r="EB159" s="21">
        <f>EXP(-LN(2)/25)*EB158+(1-EXP(-LN(2)/25))/(LN(2)/25)*Calculateur!DW159*Calculateur!DY159*VLOOKUP('Données projet'!$B$14,Paramètres!$A$1:$I$89,3,0)*0.475*44/12</f>
        <v>3.7712888734969465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14.527127547227236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236.00000000000009</v>
      </c>
      <c r="EK159" s="17">
        <f>EJ159*VLOOKUP('Données projet'!$B$15,Paramètres!$A$1:$I$89,3,0)*VLOOKUP('Données projet'!$B$15,Paramètres!$A$1:$I$89,5,0)</f>
        <v>154.62720000000004</v>
      </c>
      <c r="EL159" s="13">
        <f t="shared" si="179"/>
        <v>39.62826685000794</v>
      </c>
      <c r="EM159" s="20">
        <f t="shared" si="180"/>
        <v>338.32827143043056</v>
      </c>
      <c r="EN159" s="59">
        <f t="shared" si="128"/>
        <v>631.66160476376388</v>
      </c>
      <c r="EO159" s="59">
        <f ca="1">AVERAGE(OFFSET($EN$3,0,0,'Données projet'!$E$15+1,1))-AVERAGE(OFFSET($H$3,0,0,'Données projet'!$E$15+1,1))</f>
        <v>183.30081488041924</v>
      </c>
      <c r="EP159" s="59">
        <f t="shared" si="154"/>
        <v>199.33099759570928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1.009462731982673</v>
      </c>
      <c r="EW159" s="21">
        <f>EXP(-LN(2)/25)*EW158+(1-EXP(-LN(2)/25))/(LN(2)/25)*Calculateur!ER159*Calculateur!ET159*VLOOKUP('Données projet'!$B$15,Paramètres!$A$1:$I$89,3,0)*0.475*44/12</f>
        <v>2.2335891506680818</v>
      </c>
      <c r="EX159" s="21">
        <f>EXP(-LN(2)/2)*EX158+(1-EXP(-LN(2)/2))/(LN(2)/2)*ER159*EU159*VLOOKUP('Données projet'!$B$15,Paramètres!$A$1:$I$89,3,0)*0.475*44/12</f>
        <v>2.4951316760017777E-10</v>
      </c>
      <c r="EY159" s="22">
        <f t="shared" si="181"/>
        <v>3.2430518829002679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1.5961632016114892E-13</v>
      </c>
      <c r="P160" s="13">
        <f t="shared" si="141"/>
        <v>2.2708641912150958E-12</v>
      </c>
      <c r="Q160" s="20">
        <f t="shared" si="162"/>
        <v>4.2330868906469593E-12</v>
      </c>
      <c r="R160" s="59">
        <f t="shared" si="109"/>
        <v>293.33333333333752</v>
      </c>
      <c r="S160" s="59">
        <f ca="1">AVERAGE(OFFSET($R$3,0,0,'Données projet'!$E$9+1,1))-AVERAGE(OFFSET($H$3,0,0,'Données projet'!$E$9+1,1))</f>
        <v>205.73717397588365</v>
      </c>
      <c r="T160" s="59">
        <f t="shared" si="142"/>
        <v>190.64998698136026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62.566444126837837</v>
      </c>
      <c r="AA160" s="21">
        <f>EXP(-LN(2)/25)*AA159+(1-EXP(-LN(2)/25))/(LN(2)/25)*Calculateur!V160*Calculateur!X160*VLOOKUP('Données projet'!$B$9,Paramètres!$A$1:$I$89,3,0)*0.475*44/12</f>
        <v>10.387993125977065</v>
      </c>
      <c r="AB160" s="21">
        <f>EXP(-LN(2)/2)*AB159+(1-EXP(-LN(2)/2))/(LN(2)/2)*V160*Y160*VLOOKUP('Données projet'!$B$9,Paramètres!$A$1:$I$89,3,0)*0.475*44/12</f>
        <v>3.3060671752918682E-7</v>
      </c>
      <c r="AC160" s="22">
        <f t="shared" si="163"/>
        <v>72.954437583421623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283.73369613548124</v>
      </c>
      <c r="AO160" s="59">
        <f t="shared" si="144"/>
        <v>249.77804091581208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-6.3550942286383367E-14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278.5296012747549</v>
      </c>
      <c r="BJ160" s="59">
        <f t="shared" si="146"/>
        <v>370.55343097937077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30.066430901176656</v>
      </c>
      <c r="BQ160" s="21">
        <f>EXP(-LN(2)/25)*BQ159+(1-EXP(-LN(2)/25))/(LN(2)/25)*Calculateur!BL160*Calculateur!BN160*VLOOKUP('Données projet'!$B$11,Paramètres!$A$1:$I$89,3,0)*0.475*44/12</f>
        <v>3.4062616588386612</v>
      </c>
      <c r="BR160" s="21">
        <f>EXP(-LN(2)/2)*BR159+(1-EXP(-LN(2)/2))/(LN(2)/2)*BL160*BO160*VLOOKUP('Données projet'!$B$11,Paramètres!$A$1:$I$89,3,0)*0.475*44/12</f>
        <v>1.5170666502634088E-14</v>
      </c>
      <c r="BS160" s="22">
        <f t="shared" si="169"/>
        <v>33.472692560015332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-3.1036506698001178E-14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159.92263609041913</v>
      </c>
      <c r="CE160" s="59">
        <f t="shared" si="148"/>
        <v>271.78119133009307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6.6468486782361165</v>
      </c>
      <c r="CL160" s="21">
        <f>EXP(-LN(2)/25)*CL159+(1-EXP(-LN(2)/25))/(LN(2)/25)*Calculateur!CG160*Calculateur!CI160*VLOOKUP('Données projet'!$B$12,Paramètres!$A$1:$I$89,3,0)*0.475*44/12</f>
        <v>5.8485884771698959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12.495437155406012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5.6843418860808015E-13</v>
      </c>
      <c r="CU160" s="17">
        <f>CT160*VLOOKUP('Données projet'!$B$13,Paramètres!$A$1:$I$89,3,0)*VLOOKUP('Données projet'!$B$13,Paramètres!$A$1:$I$89,5,0)</f>
        <v>5.1431925385259092E-13</v>
      </c>
      <c r="CV160" s="13">
        <f t="shared" si="173"/>
        <v>6.3855359115685756E-12</v>
      </c>
      <c r="CW160" s="20">
        <f t="shared" si="174"/>
        <v>1.2017247746441865E-11</v>
      </c>
      <c r="CX160" s="59">
        <f t="shared" si="122"/>
        <v>293.33333333334531</v>
      </c>
      <c r="CY160" s="59">
        <f ca="1">AVERAGE(OFFSET($CX$3,0,0,'Données projet'!$E$13+1,1))-AVERAGE(OFFSET($H$3,0,0,'Données projet'!$E$13+1,1))</f>
        <v>280.25710840677186</v>
      </c>
      <c r="CZ160" s="59">
        <f t="shared" si="150"/>
        <v>209.65224013288037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102.17339244087763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102.17339244087763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243</v>
      </c>
      <c r="DP160" s="17">
        <f>DO160*VLOOKUP('Données projet'!$B$14,Paramètres!$A$1:$I$89,3,0)*VLOOKUP('Données projet'!$B$14,Paramètres!$A$1:$I$89,5,0)</f>
        <v>253.98360000000002</v>
      </c>
      <c r="DQ160" s="13">
        <f t="shared" si="176"/>
        <v>61.438182405444294</v>
      </c>
      <c r="DR160" s="20">
        <f t="shared" si="177"/>
        <v>549.35960435614891</v>
      </c>
      <c r="DS160" s="59">
        <f t="shared" si="125"/>
        <v>842.69293768948228</v>
      </c>
      <c r="DT160" s="59">
        <f ca="1">AVERAGE(OFFSET($DS$3,0,0,'Données projet'!$E$14+1,1))-AVERAGE(OFFSET($H$3,0,0,'Données projet'!$E$14+1,1))</f>
        <v>330.14201227773452</v>
      </c>
      <c r="DU160" s="59">
        <f t="shared" si="152"/>
        <v>307.07297894926467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10.544923237752243</v>
      </c>
      <c r="EB160" s="21">
        <f>EXP(-LN(2)/25)*EB159+(1-EXP(-LN(2)/25))/(LN(2)/25)*Calculateur!DW160*Calculateur!DY160*VLOOKUP('Données projet'!$B$14,Paramètres!$A$1:$I$89,3,0)*0.475*44/12</f>
        <v>3.6681627809277102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14.213086018679954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236.00000000000009</v>
      </c>
      <c r="EK160" s="17">
        <f>EJ160*VLOOKUP('Données projet'!$B$15,Paramètres!$A$1:$I$89,3,0)*VLOOKUP('Données projet'!$B$15,Paramètres!$A$1:$I$89,5,0)</f>
        <v>154.62720000000004</v>
      </c>
      <c r="EL160" s="13">
        <f t="shared" si="179"/>
        <v>39.62826685000794</v>
      </c>
      <c r="EM160" s="20">
        <f t="shared" si="180"/>
        <v>338.32827143043056</v>
      </c>
      <c r="EN160" s="59">
        <f t="shared" si="128"/>
        <v>631.66160476376388</v>
      </c>
      <c r="EO160" s="59">
        <f ca="1">AVERAGE(OFFSET($EN$3,0,0,'Données projet'!$E$15+1,1))-AVERAGE(OFFSET($H$3,0,0,'Données projet'!$E$15+1,1))</f>
        <v>183.30081488041924</v>
      </c>
      <c r="EP160" s="59">
        <f t="shared" si="154"/>
        <v>199.33099759570928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0.98966778351996287</v>
      </c>
      <c r="EW160" s="21">
        <f>EXP(-LN(2)/25)*EW159+(1-EXP(-LN(2)/25))/(LN(2)/25)*Calculateur!ER160*Calculateur!ET160*VLOOKUP('Données projet'!$B$15,Paramètres!$A$1:$I$89,3,0)*0.475*44/12</f>
        <v>2.1725115378837145</v>
      </c>
      <c r="EX160" s="21">
        <f>EXP(-LN(2)/2)*EX159+(1-EXP(-LN(2)/2))/(LN(2)/2)*ER160*EU160*VLOOKUP('Données projet'!$B$15,Paramètres!$A$1:$I$89,3,0)*0.475*44/12</f>
        <v>1.7643245280542126E-10</v>
      </c>
      <c r="EY160" s="22">
        <f t="shared" si="181"/>
        <v>3.1621793215801102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1.5961632016114892E-13</v>
      </c>
      <c r="P161" s="13">
        <f t="shared" si="141"/>
        <v>2.2708641912150958E-12</v>
      </c>
      <c r="Q161" s="20">
        <f t="shared" si="162"/>
        <v>4.2330868906469593E-12</v>
      </c>
      <c r="R161" s="59">
        <f t="shared" si="109"/>
        <v>293.33333333333752</v>
      </c>
      <c r="S161" s="59">
        <f ca="1">AVERAGE(OFFSET($R$3,0,0,'Données projet'!$E$9+1,1))-AVERAGE(OFFSET($H$3,0,0,'Données projet'!$E$9+1,1))</f>
        <v>205.73717397588365</v>
      </c>
      <c r="T161" s="59">
        <f t="shared" si="142"/>
        <v>190.64998698136026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61.339554319273304</v>
      </c>
      <c r="AA161" s="21">
        <f>EXP(-LN(2)/25)*AA160+(1-EXP(-LN(2)/25))/(LN(2)/25)*Calculateur!V161*Calculateur!X161*VLOOKUP('Données projet'!$B$9,Paramètres!$A$1:$I$89,3,0)*0.475*44/12</f>
        <v>10.103932907666406</v>
      </c>
      <c r="AB161" s="21">
        <f>EXP(-LN(2)/2)*AB160+(1-EXP(-LN(2)/2))/(LN(2)/2)*V161*Y161*VLOOKUP('Données projet'!$B$9,Paramètres!$A$1:$I$89,3,0)*0.475*44/12</f>
        <v>2.3377425187071344E-7</v>
      </c>
      <c r="AC161" s="22">
        <f t="shared" si="163"/>
        <v>71.443487460713968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283.73369613548124</v>
      </c>
      <c r="AO161" s="59">
        <f t="shared" si="144"/>
        <v>249.77804091581208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-6.3550942286383367E-14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278.5296012747549</v>
      </c>
      <c r="BJ161" s="59">
        <f t="shared" si="146"/>
        <v>370.55343097937077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29.476846529916635</v>
      </c>
      <c r="BQ161" s="21">
        <f>EXP(-LN(2)/25)*BQ160+(1-EXP(-LN(2)/25))/(LN(2)/25)*Calculateur!BL161*Calculateur!BN161*VLOOKUP('Données projet'!$B$11,Paramètres!$A$1:$I$89,3,0)*0.475*44/12</f>
        <v>3.3131172546502023</v>
      </c>
      <c r="BR161" s="21">
        <f>EXP(-LN(2)/2)*BR160+(1-EXP(-LN(2)/2))/(LN(2)/2)*BL161*BO161*VLOOKUP('Données projet'!$B$11,Paramètres!$A$1:$I$89,3,0)*0.475*44/12</f>
        <v>1.0727281159132169E-14</v>
      </c>
      <c r="BS161" s="22">
        <f t="shared" si="169"/>
        <v>32.789963784566851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-3.1036506698001178E-14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159.92263609041913</v>
      </c>
      <c r="CE161" s="59">
        <f t="shared" si="148"/>
        <v>271.78119133009307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6.5165080298332834</v>
      </c>
      <c r="CL161" s="21">
        <f>EXP(-LN(2)/25)*CL160+(1-EXP(-LN(2)/25))/(LN(2)/25)*Calculateur!CG161*Calculateur!CI161*VLOOKUP('Données projet'!$B$12,Paramètres!$A$1:$I$89,3,0)*0.475*44/12</f>
        <v>5.6886585176977844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12.205166547531068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5.6843418860808015E-13</v>
      </c>
      <c r="CU161" s="17">
        <f>CT161*VLOOKUP('Données projet'!$B$13,Paramètres!$A$1:$I$89,3,0)*VLOOKUP('Données projet'!$B$13,Paramètres!$A$1:$I$89,5,0)</f>
        <v>5.1431925385259092E-13</v>
      </c>
      <c r="CV161" s="13">
        <f t="shared" si="173"/>
        <v>6.3855359115685756E-12</v>
      </c>
      <c r="CW161" s="20">
        <f t="shared" si="174"/>
        <v>1.2017247746441865E-11</v>
      </c>
      <c r="CX161" s="59">
        <f t="shared" si="122"/>
        <v>293.33333333334531</v>
      </c>
      <c r="CY161" s="59">
        <f ca="1">AVERAGE(OFFSET($CX$3,0,0,'Données projet'!$E$13+1,1))-AVERAGE(OFFSET($H$3,0,0,'Données projet'!$E$13+1,1))</f>
        <v>280.25710840677186</v>
      </c>
      <c r="CZ161" s="59">
        <f t="shared" si="150"/>
        <v>209.65224013288037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100.16983453472787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100.16983453472787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243</v>
      </c>
      <c r="DP161" s="17">
        <f>DO161*VLOOKUP('Données projet'!$B$14,Paramètres!$A$1:$I$89,3,0)*VLOOKUP('Données projet'!$B$14,Paramètres!$A$1:$I$89,5,0)</f>
        <v>253.98360000000002</v>
      </c>
      <c r="DQ161" s="13">
        <f t="shared" si="176"/>
        <v>61.438182405444294</v>
      </c>
      <c r="DR161" s="20">
        <f t="shared" si="177"/>
        <v>549.35960435614891</v>
      </c>
      <c r="DS161" s="59">
        <f t="shared" si="125"/>
        <v>842.69293768948228</v>
      </c>
      <c r="DT161" s="59">
        <f ca="1">AVERAGE(OFFSET($DS$3,0,0,'Données projet'!$E$14+1,1))-AVERAGE(OFFSET($H$3,0,0,'Données projet'!$E$14+1,1))</f>
        <v>330.14201227773452</v>
      </c>
      <c r="DU161" s="59">
        <f t="shared" si="152"/>
        <v>307.07297894926467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10.338143724828013</v>
      </c>
      <c r="EB161" s="21">
        <f>EXP(-LN(2)/25)*EB160+(1-EXP(-LN(2)/25))/(LN(2)/25)*Calculateur!DW161*Calculateur!DY161*VLOOKUP('Données projet'!$B$14,Paramètres!$A$1:$I$89,3,0)*0.475*44/12</f>
        <v>3.5678566767829452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13.906000401610958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236.00000000000009</v>
      </c>
      <c r="EK161" s="17">
        <f>EJ161*VLOOKUP('Données projet'!$B$15,Paramètres!$A$1:$I$89,3,0)*VLOOKUP('Données projet'!$B$15,Paramètres!$A$1:$I$89,5,0)</f>
        <v>154.62720000000004</v>
      </c>
      <c r="EL161" s="13">
        <f t="shared" si="179"/>
        <v>39.62826685000794</v>
      </c>
      <c r="EM161" s="20">
        <f t="shared" si="180"/>
        <v>338.32827143043056</v>
      </c>
      <c r="EN161" s="59">
        <f t="shared" si="128"/>
        <v>631.66160476376388</v>
      </c>
      <c r="EO161" s="59">
        <f ca="1">AVERAGE(OFFSET($EN$3,0,0,'Données projet'!$E$15+1,1))-AVERAGE(OFFSET($H$3,0,0,'Données projet'!$E$15+1,1))</f>
        <v>183.30081488041924</v>
      </c>
      <c r="EP161" s="59">
        <f t="shared" si="154"/>
        <v>199.33099759570928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0.97026100192288012</v>
      </c>
      <c r="EW161" s="21">
        <f>EXP(-LN(2)/25)*EW160+(1-EXP(-LN(2)/25))/(LN(2)/25)*Calculateur!ER161*Calculateur!ET161*VLOOKUP('Données projet'!$B$15,Paramètres!$A$1:$I$89,3,0)*0.475*44/12</f>
        <v>2.1131040956328677</v>
      </c>
      <c r="EX161" s="21">
        <f>EXP(-LN(2)/2)*EX160+(1-EXP(-LN(2)/2))/(LN(2)/2)*ER161*EU161*VLOOKUP('Données projet'!$B$15,Paramètres!$A$1:$I$89,3,0)*0.475*44/12</f>
        <v>1.2475658380008889E-10</v>
      </c>
      <c r="EY161" s="22">
        <f t="shared" si="181"/>
        <v>3.0833650976805047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1.5961632016114892E-13</v>
      </c>
      <c r="P162" s="13">
        <f t="shared" si="141"/>
        <v>2.2708641912150958E-12</v>
      </c>
      <c r="Q162" s="20">
        <f t="shared" si="162"/>
        <v>4.2330868906469593E-12</v>
      </c>
      <c r="R162" s="59">
        <f t="shared" si="109"/>
        <v>293.33333333333752</v>
      </c>
      <c r="S162" s="59">
        <f ca="1">AVERAGE(OFFSET($R$3,0,0,'Données projet'!$E$9+1,1))-AVERAGE(OFFSET($H$3,0,0,'Données projet'!$E$9+1,1))</f>
        <v>205.73717397588365</v>
      </c>
      <c r="T162" s="59">
        <f t="shared" si="142"/>
        <v>190.64998698136026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60.136723072506221</v>
      </c>
      <c r="AA162" s="21">
        <f>EXP(-LN(2)/25)*AA161+(1-EXP(-LN(2)/25))/(LN(2)/25)*Calculateur!V162*Calculateur!X162*VLOOKUP('Données projet'!$B$9,Paramètres!$A$1:$I$89,3,0)*0.475*44/12</f>
        <v>9.8276403309635292</v>
      </c>
      <c r="AB162" s="21">
        <f>EXP(-LN(2)/2)*AB161+(1-EXP(-LN(2)/2))/(LN(2)/2)*V162*Y162*VLOOKUP('Données projet'!$B$9,Paramètres!$A$1:$I$89,3,0)*0.475*44/12</f>
        <v>1.6530335876459344E-7</v>
      </c>
      <c r="AC162" s="22">
        <f t="shared" si="163"/>
        <v>69.964363568773109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283.73369613548124</v>
      </c>
      <c r="AO162" s="59">
        <f t="shared" si="144"/>
        <v>249.77804091581208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-6.3550942286383367E-14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278.5296012747549</v>
      </c>
      <c r="BJ162" s="59">
        <f t="shared" si="146"/>
        <v>370.55343097937077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28.898823548566064</v>
      </c>
      <c r="BQ162" s="21">
        <f>EXP(-LN(2)/25)*BQ161+(1-EXP(-LN(2)/25))/(LN(2)/25)*Calculateur!BL162*Calculateur!BN162*VLOOKUP('Données projet'!$B$11,Paramètres!$A$1:$I$89,3,0)*0.475*44/12</f>
        <v>3.2225198890925282</v>
      </c>
      <c r="BR162" s="21">
        <f>EXP(-LN(2)/2)*BR161+(1-EXP(-LN(2)/2))/(LN(2)/2)*BL162*BO162*VLOOKUP('Données projet'!$B$11,Paramètres!$A$1:$I$89,3,0)*0.475*44/12</f>
        <v>7.5853332513170442E-15</v>
      </c>
      <c r="BS162" s="22">
        <f t="shared" si="169"/>
        <v>32.121343437658602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-3.1036506698001178E-14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159.92263609041913</v>
      </c>
      <c r="CE162" s="59">
        <f t="shared" si="148"/>
        <v>271.78119133009307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6.3887232820456843</v>
      </c>
      <c r="CL162" s="21">
        <f>EXP(-LN(2)/25)*CL161+(1-EXP(-LN(2)/25))/(LN(2)/25)*Calculateur!CG162*Calculateur!CI162*VLOOKUP('Données projet'!$B$12,Paramètres!$A$1:$I$89,3,0)*0.475*44/12</f>
        <v>5.533101851377789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11.921825133423473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5.6843418860808015E-13</v>
      </c>
      <c r="CU162" s="17">
        <f>CT162*VLOOKUP('Données projet'!$B$13,Paramètres!$A$1:$I$89,3,0)*VLOOKUP('Données projet'!$B$13,Paramètres!$A$1:$I$89,5,0)</f>
        <v>5.1431925385259092E-13</v>
      </c>
      <c r="CV162" s="13">
        <f t="shared" si="173"/>
        <v>6.3855359115685756E-12</v>
      </c>
      <c r="CW162" s="20">
        <f t="shared" si="174"/>
        <v>1.2017247746441865E-11</v>
      </c>
      <c r="CX162" s="59">
        <f t="shared" si="122"/>
        <v>293.33333333334531</v>
      </c>
      <c r="CY162" s="59">
        <f ca="1">AVERAGE(OFFSET($CX$3,0,0,'Données projet'!$E$13+1,1))-AVERAGE(OFFSET($H$3,0,0,'Données projet'!$E$13+1,1))</f>
        <v>280.25710840677186</v>
      </c>
      <c r="CZ162" s="59">
        <f t="shared" si="150"/>
        <v>209.65224013288037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98.205565177068038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98.205565177068038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243</v>
      </c>
      <c r="DP162" s="17">
        <f>DO162*VLOOKUP('Données projet'!$B$14,Paramètres!$A$1:$I$89,3,0)*VLOOKUP('Données projet'!$B$14,Paramètres!$A$1:$I$89,5,0)</f>
        <v>253.98360000000002</v>
      </c>
      <c r="DQ162" s="13">
        <f t="shared" si="176"/>
        <v>61.438182405444294</v>
      </c>
      <c r="DR162" s="20">
        <f t="shared" si="177"/>
        <v>549.35960435614891</v>
      </c>
      <c r="DS162" s="59">
        <f t="shared" si="125"/>
        <v>842.69293768948228</v>
      </c>
      <c r="DT162" s="59">
        <f ca="1">AVERAGE(OFFSET($DS$3,0,0,'Données projet'!$E$14+1,1))-AVERAGE(OFFSET($H$3,0,0,'Données projet'!$E$14+1,1))</f>
        <v>330.14201227773452</v>
      </c>
      <c r="DU162" s="59">
        <f t="shared" si="152"/>
        <v>307.07297894926467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10.135419032029178</v>
      </c>
      <c r="EB162" s="21">
        <f>EXP(-LN(2)/25)*EB161+(1-EXP(-LN(2)/25))/(LN(2)/25)*Calculateur!DW162*Calculateur!DY162*VLOOKUP('Données projet'!$B$14,Paramètres!$A$1:$I$89,3,0)*0.475*44/12</f>
        <v>3.4702934483308874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13.605712480360065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236.00000000000009</v>
      </c>
      <c r="EK162" s="17">
        <f>EJ162*VLOOKUP('Données projet'!$B$15,Paramètres!$A$1:$I$89,3,0)*VLOOKUP('Données projet'!$B$15,Paramètres!$A$1:$I$89,5,0)</f>
        <v>154.62720000000004</v>
      </c>
      <c r="EL162" s="13">
        <f t="shared" si="179"/>
        <v>39.62826685000794</v>
      </c>
      <c r="EM162" s="20">
        <f t="shared" si="180"/>
        <v>338.32827143043056</v>
      </c>
      <c r="EN162" s="59">
        <f t="shared" si="128"/>
        <v>631.66160476376388</v>
      </c>
      <c r="EO162" s="59">
        <f ca="1">AVERAGE(OFFSET($EN$3,0,0,'Données projet'!$E$15+1,1))-AVERAGE(OFFSET($H$3,0,0,'Données projet'!$E$15+1,1))</f>
        <v>183.30081488041924</v>
      </c>
      <c r="EP162" s="59">
        <f t="shared" si="154"/>
        <v>199.33099759570928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0.95123477547594815</v>
      </c>
      <c r="EW162" s="21">
        <f>EXP(-LN(2)/25)*EW161+(1-EXP(-LN(2)/25))/(LN(2)/25)*Calculateur!ER162*Calculateur!ET162*VLOOKUP('Données projet'!$B$15,Paramètres!$A$1:$I$89,3,0)*0.475*44/12</f>
        <v>2.0553211530144719</v>
      </c>
      <c r="EX162" s="21">
        <f>EXP(-LN(2)/2)*EX161+(1-EXP(-LN(2)/2))/(LN(2)/2)*ER162*EU162*VLOOKUP('Données projet'!$B$15,Paramètres!$A$1:$I$89,3,0)*0.475*44/12</f>
        <v>8.8216226402710632E-11</v>
      </c>
      <c r="EY162" s="22">
        <f t="shared" si="181"/>
        <v>3.0065559285786363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1.5961632016114892E-13</v>
      </c>
      <c r="P163" s="13">
        <f t="shared" si="141"/>
        <v>2.2708641912150958E-12</v>
      </c>
      <c r="Q163" s="20">
        <f t="shared" si="162"/>
        <v>4.2330868906469593E-12</v>
      </c>
      <c r="R163" s="59">
        <f t="shared" si="109"/>
        <v>293.33333333333752</v>
      </c>
      <c r="S163" s="59">
        <f ca="1">AVERAGE(OFFSET($R$3,0,0,'Données projet'!$E$9+1,1))-AVERAGE(OFFSET($H$3,0,0,'Données projet'!$E$9+1,1))</f>
        <v>205.73717397588365</v>
      </c>
      <c r="T163" s="59">
        <f t="shared" si="142"/>
        <v>190.64998698136026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58.957478612833619</v>
      </c>
      <c r="AA163" s="21">
        <f>EXP(-LN(2)/25)*AA162+(1-EXP(-LN(2)/25))/(LN(2)/25)*Calculateur!V163*Calculateur!X163*VLOOKUP('Données projet'!$B$9,Paramètres!$A$1:$I$89,3,0)*0.475*44/12</f>
        <v>9.5589029893001882</v>
      </c>
      <c r="AB163" s="21">
        <f>EXP(-LN(2)/2)*AB162+(1-EXP(-LN(2)/2))/(LN(2)/2)*V163*Y163*VLOOKUP('Données projet'!$B$9,Paramètres!$A$1:$I$89,3,0)*0.475*44/12</f>
        <v>1.1688712593535675E-7</v>
      </c>
      <c r="AC163" s="22">
        <f t="shared" si="163"/>
        <v>68.516381719020927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283.73369613548124</v>
      </c>
      <c r="AO163" s="59">
        <f t="shared" si="144"/>
        <v>249.77804091581208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-6.3550942286383367E-14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278.5296012747549</v>
      </c>
      <c r="BJ163" s="59">
        <f t="shared" si="146"/>
        <v>370.55343097937077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28.332135245320572</v>
      </c>
      <c r="BQ163" s="21">
        <f>EXP(-LN(2)/25)*BQ162+(1-EXP(-LN(2)/25))/(LN(2)/25)*Calculateur!BL163*Calculateur!BN163*VLOOKUP('Données projet'!$B$11,Paramètres!$A$1:$I$89,3,0)*0.475*44/12</f>
        <v>3.1343999132603373</v>
      </c>
      <c r="BR163" s="21">
        <f>EXP(-LN(2)/2)*BR162+(1-EXP(-LN(2)/2))/(LN(2)/2)*BL163*BO163*VLOOKUP('Données projet'!$B$11,Paramètres!$A$1:$I$89,3,0)*0.475*44/12</f>
        <v>5.3636405795660843E-15</v>
      </c>
      <c r="BS163" s="22">
        <f t="shared" si="169"/>
        <v>31.466535158580918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-3.1036506698001178E-14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159.92263609041913</v>
      </c>
      <c r="CE163" s="59">
        <f t="shared" si="148"/>
        <v>271.78119133009307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6.2634443152212</v>
      </c>
      <c r="CL163" s="21">
        <f>EXP(-LN(2)/25)*CL162+(1-EXP(-LN(2)/25))/(LN(2)/25)*Calculateur!CG163*Calculateur!CI163*VLOOKUP('Données projet'!$B$12,Paramètres!$A$1:$I$89,3,0)*0.475*44/12</f>
        <v>5.3817988902786826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11.645243205499883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5.6843418860808015E-13</v>
      </c>
      <c r="CU163" s="17">
        <f>CT163*VLOOKUP('Données projet'!$B$13,Paramètres!$A$1:$I$89,3,0)*VLOOKUP('Données projet'!$B$13,Paramètres!$A$1:$I$89,5,0)</f>
        <v>5.1431925385259092E-13</v>
      </c>
      <c r="CV163" s="13">
        <f t="shared" si="173"/>
        <v>6.3855359115685756E-12</v>
      </c>
      <c r="CW163" s="20">
        <f t="shared" si="174"/>
        <v>1.2017247746441865E-11</v>
      </c>
      <c r="CX163" s="59">
        <f t="shared" si="122"/>
        <v>293.33333333334531</v>
      </c>
      <c r="CY163" s="59">
        <f ca="1">AVERAGE(OFFSET($CX$3,0,0,'Données projet'!$E$13+1,1))-AVERAGE(OFFSET($H$3,0,0,'Données projet'!$E$13+1,1))</f>
        <v>280.25710840677186</v>
      </c>
      <c r="CZ163" s="59">
        <f t="shared" si="150"/>
        <v>209.65224013288037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96.279813943425907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96.279813943425907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243</v>
      </c>
      <c r="DP163" s="17">
        <f>DO163*VLOOKUP('Données projet'!$B$14,Paramètres!$A$1:$I$89,3,0)*VLOOKUP('Données projet'!$B$14,Paramètres!$A$1:$I$89,5,0)</f>
        <v>253.98360000000002</v>
      </c>
      <c r="DQ163" s="13">
        <f t="shared" si="176"/>
        <v>61.438182405444294</v>
      </c>
      <c r="DR163" s="20">
        <f t="shared" si="177"/>
        <v>549.35960435614891</v>
      </c>
      <c r="DS163" s="59">
        <f t="shared" si="125"/>
        <v>842.69293768948228</v>
      </c>
      <c r="DT163" s="59">
        <f ca="1">AVERAGE(OFFSET($DS$3,0,0,'Données projet'!$E$14+1,1))-AVERAGE(OFFSET($H$3,0,0,'Données projet'!$E$14+1,1))</f>
        <v>330.14201227773452</v>
      </c>
      <c r="DU163" s="59">
        <f t="shared" si="152"/>
        <v>307.07297894926467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9.9366696468062745</v>
      </c>
      <c r="EB163" s="21">
        <f>EXP(-LN(2)/25)*EB162+(1-EXP(-LN(2)/25))/(LN(2)/25)*Calculateur!DW163*Calculateur!DY163*VLOOKUP('Données projet'!$B$14,Paramètres!$A$1:$I$89,3,0)*0.475*44/12</f>
        <v>3.3753980914914781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13.312067738297753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236.00000000000009</v>
      </c>
      <c r="EK163" s="17">
        <f>EJ163*VLOOKUP('Données projet'!$B$15,Paramètres!$A$1:$I$89,3,0)*VLOOKUP('Données projet'!$B$15,Paramètres!$A$1:$I$89,5,0)</f>
        <v>154.62720000000004</v>
      </c>
      <c r="EL163" s="13">
        <f t="shared" si="179"/>
        <v>39.62826685000794</v>
      </c>
      <c r="EM163" s="20">
        <f t="shared" si="180"/>
        <v>338.32827143043056</v>
      </c>
      <c r="EN163" s="59">
        <f t="shared" si="128"/>
        <v>631.66160476376388</v>
      </c>
      <c r="EO163" s="59">
        <f ca="1">AVERAGE(OFFSET($EN$3,0,0,'Données projet'!$E$15+1,1))-AVERAGE(OFFSET($H$3,0,0,'Données projet'!$E$15+1,1))</f>
        <v>183.30081488041924</v>
      </c>
      <c r="EP163" s="59">
        <f t="shared" si="154"/>
        <v>199.33099759570928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0.9325816417247883</v>
      </c>
      <c r="EW163" s="21">
        <f>EXP(-LN(2)/25)*EW162+(1-EXP(-LN(2)/25))/(LN(2)/25)*Calculateur!ER163*Calculateur!ET163*VLOOKUP('Données projet'!$B$15,Paramètres!$A$1:$I$89,3,0)*0.475*44/12</f>
        <v>1.9991182880006493</v>
      </c>
      <c r="EX163" s="21">
        <f>EXP(-LN(2)/2)*EX162+(1-EXP(-LN(2)/2))/(LN(2)/2)*ER163*EU163*VLOOKUP('Données projet'!$B$15,Paramètres!$A$1:$I$89,3,0)*0.475*44/12</f>
        <v>6.2378291900044443E-11</v>
      </c>
      <c r="EY163" s="22">
        <f t="shared" si="181"/>
        <v>2.9316999297878157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1.5961632016114892E-13</v>
      </c>
      <c r="P164" s="13">
        <f t="shared" si="141"/>
        <v>2.2708641912150958E-12</v>
      </c>
      <c r="Q164" s="20">
        <f t="shared" si="162"/>
        <v>4.2330868906469593E-12</v>
      </c>
      <c r="R164" s="59">
        <f t="shared" si="109"/>
        <v>293.33333333333752</v>
      </c>
      <c r="S164" s="59">
        <f ca="1">AVERAGE(OFFSET($R$3,0,0,'Données projet'!$E$9+1,1))-AVERAGE(OFFSET($H$3,0,0,'Données projet'!$E$9+1,1))</f>
        <v>205.73717397588365</v>
      </c>
      <c r="T164" s="59">
        <f t="shared" si="142"/>
        <v>190.64998698136026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57.801358417747096</v>
      </c>
      <c r="AA164" s="21">
        <f>EXP(-LN(2)/25)*AA163+(1-EXP(-LN(2)/25))/(LN(2)/25)*Calculateur!V164*Calculateur!X164*VLOOKUP('Données projet'!$B$9,Paramètres!$A$1:$I$89,3,0)*0.475*44/12</f>
        <v>9.2975142843769127</v>
      </c>
      <c r="AB164" s="21">
        <f>EXP(-LN(2)/2)*AB163+(1-EXP(-LN(2)/2))/(LN(2)/2)*V164*Y164*VLOOKUP('Données projet'!$B$9,Paramètres!$A$1:$I$89,3,0)*0.475*44/12</f>
        <v>8.2651679382296732E-8</v>
      </c>
      <c r="AC164" s="22">
        <f t="shared" si="163"/>
        <v>67.098872784775693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283.73369613548124</v>
      </c>
      <c r="AO164" s="59">
        <f t="shared" si="144"/>
        <v>249.77804091581208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-6.3550942286383367E-14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278.5296012747549</v>
      </c>
      <c r="BJ164" s="59">
        <f t="shared" si="146"/>
        <v>370.55343097937077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27.776559354055987</v>
      </c>
      <c r="BQ164" s="21">
        <f>EXP(-LN(2)/25)*BQ163+(1-EXP(-LN(2)/25))/(LN(2)/25)*Calculateur!BL164*Calculateur!BN164*VLOOKUP('Données projet'!$B$11,Paramètres!$A$1:$I$89,3,0)*0.475*44/12</f>
        <v>3.0486895828013059</v>
      </c>
      <c r="BR164" s="21">
        <f>EXP(-LN(2)/2)*BR163+(1-EXP(-LN(2)/2))/(LN(2)/2)*BL164*BO164*VLOOKUP('Données projet'!$B$11,Paramètres!$A$1:$I$89,3,0)*0.475*44/12</f>
        <v>3.7926666256585221E-15</v>
      </c>
      <c r="BS164" s="22">
        <f t="shared" si="169"/>
        <v>30.825248936857296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-3.1036506698001178E-14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159.92263609041913</v>
      </c>
      <c r="CE164" s="59">
        <f t="shared" si="148"/>
        <v>271.78119133009307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6.1406219925235188</v>
      </c>
      <c r="CL164" s="21">
        <f>EXP(-LN(2)/25)*CL163+(1-EXP(-LN(2)/25))/(LN(2)/25)*Calculateur!CG164*Calculateur!CI164*VLOOKUP('Données projet'!$B$12,Paramètres!$A$1:$I$89,3,0)*0.475*44/12</f>
        <v>5.2346333166075087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11.375255309131028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5.6843418860808015E-13</v>
      </c>
      <c r="CU164" s="17">
        <f>CT164*VLOOKUP('Données projet'!$B$13,Paramètres!$A$1:$I$89,3,0)*VLOOKUP('Données projet'!$B$13,Paramètres!$A$1:$I$89,5,0)</f>
        <v>5.1431925385259092E-13</v>
      </c>
      <c r="CV164" s="13">
        <f t="shared" si="173"/>
        <v>6.3855359115685756E-12</v>
      </c>
      <c r="CW164" s="20">
        <f t="shared" si="174"/>
        <v>1.2017247746441865E-11</v>
      </c>
      <c r="CX164" s="59">
        <f t="shared" si="122"/>
        <v>293.33333333334531</v>
      </c>
      <c r="CY164" s="59">
        <f ca="1">AVERAGE(OFFSET($CX$3,0,0,'Données projet'!$E$13+1,1))-AVERAGE(OFFSET($H$3,0,0,'Données projet'!$E$13+1,1))</f>
        <v>280.25710840677186</v>
      </c>
      <c r="CZ164" s="59">
        <f t="shared" si="150"/>
        <v>209.65224013288037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94.39182551688323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94.39182551688323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243</v>
      </c>
      <c r="DP164" s="17">
        <f>DO164*VLOOKUP('Données projet'!$B$14,Paramètres!$A$1:$I$89,3,0)*VLOOKUP('Données projet'!$B$14,Paramètres!$A$1:$I$89,5,0)</f>
        <v>253.98360000000002</v>
      </c>
      <c r="DQ164" s="13">
        <f t="shared" si="176"/>
        <v>61.438182405444294</v>
      </c>
      <c r="DR164" s="20">
        <f t="shared" si="177"/>
        <v>549.35960435614891</v>
      </c>
      <c r="DS164" s="59">
        <f t="shared" si="125"/>
        <v>842.69293768948228</v>
      </c>
      <c r="DT164" s="59">
        <f ca="1">AVERAGE(OFFSET($DS$3,0,0,'Données projet'!$E$14+1,1))-AVERAGE(OFFSET($H$3,0,0,'Données projet'!$E$14+1,1))</f>
        <v>330.14201227773452</v>
      </c>
      <c r="DU164" s="59">
        <f t="shared" si="152"/>
        <v>307.07297894926467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9.7418176158024359</v>
      </c>
      <c r="EB164" s="21">
        <f>EXP(-LN(2)/25)*EB163+(1-EXP(-LN(2)/25))/(LN(2)/25)*Calculateur!DW164*Calculateur!DY164*VLOOKUP('Données projet'!$B$14,Paramètres!$A$1:$I$89,3,0)*0.475*44/12</f>
        <v>3.2830976531751723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13.024915268977608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236.00000000000009</v>
      </c>
      <c r="EK164" s="17">
        <f>EJ164*VLOOKUP('Données projet'!$B$15,Paramètres!$A$1:$I$89,3,0)*VLOOKUP('Données projet'!$B$15,Paramètres!$A$1:$I$89,5,0)</f>
        <v>154.62720000000004</v>
      </c>
      <c r="EL164" s="13">
        <f t="shared" si="179"/>
        <v>39.62826685000794</v>
      </c>
      <c r="EM164" s="20">
        <f t="shared" si="180"/>
        <v>338.32827143043056</v>
      </c>
      <c r="EN164" s="59">
        <f t="shared" si="128"/>
        <v>631.66160476376388</v>
      </c>
      <c r="EO164" s="59">
        <f ca="1">AVERAGE(OFFSET($EN$3,0,0,'Données projet'!$E$15+1,1))-AVERAGE(OFFSET($H$3,0,0,'Données projet'!$E$15+1,1))</f>
        <v>183.30081488041924</v>
      </c>
      <c r="EP164" s="59">
        <f t="shared" si="154"/>
        <v>199.33099759570928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0.91429428454920048</v>
      </c>
      <c r="EW164" s="21">
        <f>EXP(-LN(2)/25)*EW163+(1-EXP(-LN(2)/25))/(LN(2)/25)*Calculateur!ER164*Calculateur!ET164*VLOOKUP('Données projet'!$B$15,Paramètres!$A$1:$I$89,3,0)*0.475*44/12</f>
        <v>1.9444522932862098</v>
      </c>
      <c r="EX164" s="21">
        <f>EXP(-LN(2)/2)*EX163+(1-EXP(-LN(2)/2))/(LN(2)/2)*ER164*EU164*VLOOKUP('Données projet'!$B$15,Paramètres!$A$1:$I$89,3,0)*0.475*44/12</f>
        <v>4.4108113201355316E-11</v>
      </c>
      <c r="EY164" s="22">
        <f t="shared" si="181"/>
        <v>2.8587465778795185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1.5961632016114892E-13</v>
      </c>
      <c r="P165" s="13">
        <f t="shared" si="141"/>
        <v>2.2708641912150958E-12</v>
      </c>
      <c r="Q165" s="20">
        <f t="shared" si="162"/>
        <v>4.2330868906469593E-12</v>
      </c>
      <c r="R165" s="59">
        <f t="shared" si="109"/>
        <v>293.33333333333752</v>
      </c>
      <c r="S165" s="59">
        <f ca="1">AVERAGE(OFFSET($R$3,0,0,'Données projet'!$E$9+1,1))-AVERAGE(OFFSET($H$3,0,0,'Données projet'!$E$9+1,1))</f>
        <v>205.73717397588365</v>
      </c>
      <c r="T165" s="59">
        <f t="shared" si="142"/>
        <v>190.64998698136026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56.66790903452253</v>
      </c>
      <c r="AA165" s="21">
        <f>EXP(-LN(2)/25)*AA164+(1-EXP(-LN(2)/25))/(LN(2)/25)*Calculateur!V165*Calculateur!X165*VLOOKUP('Données projet'!$B$9,Paramètres!$A$1:$I$89,3,0)*0.475*44/12</f>
        <v>9.0432732673356</v>
      </c>
      <c r="AB165" s="21">
        <f>EXP(-LN(2)/2)*AB164+(1-EXP(-LN(2)/2))/(LN(2)/2)*V165*Y165*VLOOKUP('Données projet'!$B$9,Paramètres!$A$1:$I$89,3,0)*0.475*44/12</f>
        <v>5.8443562967678381E-8</v>
      </c>
      <c r="AC165" s="22">
        <f t="shared" si="163"/>
        <v>65.711182360301692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283.73369613548124</v>
      </c>
      <c r="AO165" s="59">
        <f t="shared" si="144"/>
        <v>249.77804091581208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-6.3550942286383367E-14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278.5296012747549</v>
      </c>
      <c r="BJ165" s="59">
        <f t="shared" si="146"/>
        <v>370.55343097937077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27.23187796715127</v>
      </c>
      <c r="BQ165" s="21">
        <f>EXP(-LN(2)/25)*BQ164+(1-EXP(-LN(2)/25))/(LN(2)/25)*Calculateur!BL165*Calculateur!BN165*VLOOKUP('Données projet'!$B$11,Paramètres!$A$1:$I$89,3,0)*0.475*44/12</f>
        <v>2.965323005835987</v>
      </c>
      <c r="BR165" s="21">
        <f>EXP(-LN(2)/2)*BR164+(1-EXP(-LN(2)/2))/(LN(2)/2)*BL165*BO165*VLOOKUP('Données projet'!$B$11,Paramètres!$A$1:$I$89,3,0)*0.475*44/12</f>
        <v>2.6818202897830422E-15</v>
      </c>
      <c r="BS165" s="22">
        <f t="shared" si="169"/>
        <v>30.197200972987261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-3.1036506698001178E-14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159.92263609041913</v>
      </c>
      <c r="CE165" s="59">
        <f t="shared" si="148"/>
        <v>271.78119133009307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6.0202081406597197</v>
      </c>
      <c r="CL165" s="21">
        <f>EXP(-LN(2)/25)*CL164+(1-EXP(-LN(2)/25))/(LN(2)/25)*Calculateur!CG165*Calculateur!CI165*VLOOKUP('Données projet'!$B$12,Paramètres!$A$1:$I$89,3,0)*0.475*44/12</f>
        <v>5.091491993287474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11.111700133947194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5.6843418860808015E-13</v>
      </c>
      <c r="CU165" s="17">
        <f>CT165*VLOOKUP('Données projet'!$B$13,Paramètres!$A$1:$I$89,3,0)*VLOOKUP('Données projet'!$B$13,Paramètres!$A$1:$I$89,5,0)</f>
        <v>5.1431925385259092E-13</v>
      </c>
      <c r="CV165" s="13">
        <f t="shared" si="173"/>
        <v>6.3855359115685756E-12</v>
      </c>
      <c r="CW165" s="20">
        <f t="shared" si="174"/>
        <v>1.2017247746441865E-11</v>
      </c>
      <c r="CX165" s="59">
        <f t="shared" si="122"/>
        <v>293.33333333334531</v>
      </c>
      <c r="CY165" s="59">
        <f ca="1">AVERAGE(OFFSET($CX$3,0,0,'Données projet'!$E$13+1,1))-AVERAGE(OFFSET($H$3,0,0,'Données projet'!$E$13+1,1))</f>
        <v>280.25710840677186</v>
      </c>
      <c r="CZ165" s="59">
        <f t="shared" si="150"/>
        <v>209.65224013288037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92.540859391825819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92.540859391825819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243</v>
      </c>
      <c r="DP165" s="17">
        <f>DO165*VLOOKUP('Données projet'!$B$14,Paramètres!$A$1:$I$89,3,0)*VLOOKUP('Données projet'!$B$14,Paramètres!$A$1:$I$89,5,0)</f>
        <v>253.98360000000002</v>
      </c>
      <c r="DQ165" s="13">
        <f t="shared" si="176"/>
        <v>61.438182405444294</v>
      </c>
      <c r="DR165" s="20">
        <f t="shared" si="177"/>
        <v>549.35960435614891</v>
      </c>
      <c r="DS165" s="59">
        <f t="shared" si="125"/>
        <v>842.69293768948228</v>
      </c>
      <c r="DT165" s="59">
        <f ca="1">AVERAGE(OFFSET($DS$3,0,0,'Données projet'!$E$14+1,1))-AVERAGE(OFFSET($H$3,0,0,'Données projet'!$E$14+1,1))</f>
        <v>330.14201227773452</v>
      </c>
      <c r="DU165" s="59">
        <f t="shared" si="152"/>
        <v>307.07297894926467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9.5507865142785793</v>
      </c>
      <c r="EB165" s="21">
        <f>EXP(-LN(2)/25)*EB164+(1-EXP(-LN(2)/25))/(LN(2)/25)*Calculateur!DW165*Calculateur!DY165*VLOOKUP('Données projet'!$B$14,Paramètres!$A$1:$I$89,3,0)*0.475*44/12</f>
        <v>3.1933211751984953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12.744107689477074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236.00000000000009</v>
      </c>
      <c r="EK165" s="17">
        <f>EJ165*VLOOKUP('Données projet'!$B$15,Paramètres!$A$1:$I$89,3,0)*VLOOKUP('Données projet'!$B$15,Paramètres!$A$1:$I$89,5,0)</f>
        <v>154.62720000000004</v>
      </c>
      <c r="EL165" s="13">
        <f t="shared" si="179"/>
        <v>39.62826685000794</v>
      </c>
      <c r="EM165" s="20">
        <f t="shared" si="180"/>
        <v>338.32827143043056</v>
      </c>
      <c r="EN165" s="59">
        <f t="shared" si="128"/>
        <v>631.66160476376388</v>
      </c>
      <c r="EO165" s="59">
        <f ca="1">AVERAGE(OFFSET($EN$3,0,0,'Données projet'!$E$15+1,1))-AVERAGE(OFFSET($H$3,0,0,'Données projet'!$E$15+1,1))</f>
        <v>183.30081488041924</v>
      </c>
      <c r="EP165" s="59">
        <f t="shared" si="154"/>
        <v>199.33099759570928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0.89636553129363938</v>
      </c>
      <c r="EW165" s="21">
        <f>EXP(-LN(2)/25)*EW164+(1-EXP(-LN(2)/25))/(LN(2)/25)*Calculateur!ER165*Calculateur!ET165*VLOOKUP('Données projet'!$B$15,Paramètres!$A$1:$I$89,3,0)*0.475*44/12</f>
        <v>1.8912811430719965</v>
      </c>
      <c r="EX165" s="21">
        <f>EXP(-LN(2)/2)*EX164+(1-EXP(-LN(2)/2))/(LN(2)/2)*ER165*EU165*VLOOKUP('Données projet'!$B$15,Paramètres!$A$1:$I$89,3,0)*0.475*44/12</f>
        <v>3.1189145950022222E-11</v>
      </c>
      <c r="EY165" s="22">
        <f t="shared" si="181"/>
        <v>2.7876466743968251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1.5961632016114892E-13</v>
      </c>
      <c r="P166" s="13">
        <f t="shared" si="141"/>
        <v>2.2708641912150958E-12</v>
      </c>
      <c r="Q166" s="20">
        <f t="shared" si="162"/>
        <v>4.2330868906469593E-12</v>
      </c>
      <c r="R166" s="59">
        <f t="shared" si="109"/>
        <v>293.33333333333752</v>
      </c>
      <c r="S166" s="59">
        <f ca="1">AVERAGE(OFFSET($R$3,0,0,'Données projet'!$E$9+1,1))-AVERAGE(OFFSET($H$3,0,0,'Données projet'!$E$9+1,1))</f>
        <v>205.73717397588365</v>
      </c>
      <c r="T166" s="59">
        <f t="shared" si="142"/>
        <v>190.64998698136026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55.556685902367143</v>
      </c>
      <c r="AA166" s="21">
        <f>EXP(-LN(2)/25)*AA165+(1-EXP(-LN(2)/25))/(LN(2)/25)*Calculateur!V166*Calculateur!X166*VLOOKUP('Données projet'!$B$9,Paramètres!$A$1:$I$89,3,0)*0.475*44/12</f>
        <v>8.7959844842752357</v>
      </c>
      <c r="AB166" s="21">
        <f>EXP(-LN(2)/2)*AB165+(1-EXP(-LN(2)/2))/(LN(2)/2)*V166*Y166*VLOOKUP('Données projet'!$B$9,Paramètres!$A$1:$I$89,3,0)*0.475*44/12</f>
        <v>4.1325839691148372E-8</v>
      </c>
      <c r="AC166" s="22">
        <f t="shared" si="163"/>
        <v>64.352670427968206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283.73369613548124</v>
      </c>
      <c r="AO166" s="59">
        <f t="shared" si="144"/>
        <v>249.77804091581208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-6.3550942286383367E-14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278.5296012747549</v>
      </c>
      <c r="BJ166" s="59">
        <f t="shared" si="146"/>
        <v>370.55343097937077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26.697877450020911</v>
      </c>
      <c r="BQ166" s="21">
        <f>EXP(-LN(2)/25)*BQ165+(1-EXP(-LN(2)/25))/(LN(2)/25)*Calculateur!BL166*Calculateur!BN166*VLOOKUP('Données projet'!$B$11,Paramètres!$A$1:$I$89,3,0)*0.475*44/12</f>
        <v>2.8842360923018422</v>
      </c>
      <c r="BR166" s="21">
        <f>EXP(-LN(2)/2)*BR165+(1-EXP(-LN(2)/2))/(LN(2)/2)*BL166*BO166*VLOOKUP('Données projet'!$B$11,Paramètres!$A$1:$I$89,3,0)*0.475*44/12</f>
        <v>1.8963333128292611E-15</v>
      </c>
      <c r="BS166" s="22">
        <f t="shared" si="169"/>
        <v>29.582113542322755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-3.1036506698001178E-14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159.92263609041913</v>
      </c>
      <c r="CE166" s="59">
        <f t="shared" si="148"/>
        <v>271.78119133009307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5.9021555309857723</v>
      </c>
      <c r="CL166" s="21">
        <f>EXP(-LN(2)/25)*CL165+(1-EXP(-LN(2)/25))/(LN(2)/25)*Calculateur!CG166*Calculateur!CI166*VLOOKUP('Données projet'!$B$12,Paramètres!$A$1:$I$89,3,0)*0.475*44/12</f>
        <v>4.9522648769811006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10.854420407966874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5.6843418860808015E-13</v>
      </c>
      <c r="CU166" s="17">
        <f>CT166*VLOOKUP('Données projet'!$B$13,Paramètres!$A$1:$I$89,3,0)*VLOOKUP('Données projet'!$B$13,Paramètres!$A$1:$I$89,5,0)</f>
        <v>5.1431925385259092E-13</v>
      </c>
      <c r="CV166" s="13">
        <f t="shared" si="173"/>
        <v>6.3855359115685756E-12</v>
      </c>
      <c r="CW166" s="20">
        <f t="shared" si="174"/>
        <v>1.2017247746441865E-11</v>
      </c>
      <c r="CX166" s="59">
        <f t="shared" si="122"/>
        <v>293.33333333334531</v>
      </c>
      <c r="CY166" s="59">
        <f ca="1">AVERAGE(OFFSET($CX$3,0,0,'Données projet'!$E$13+1,1))-AVERAGE(OFFSET($H$3,0,0,'Données projet'!$E$13+1,1))</f>
        <v>280.25710840677186</v>
      </c>
      <c r="CZ166" s="59">
        <f t="shared" si="150"/>
        <v>209.65224013288037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90.726189583502929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90.726189583502929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243</v>
      </c>
      <c r="DP166" s="17">
        <f>DO166*VLOOKUP('Données projet'!$B$14,Paramètres!$A$1:$I$89,3,0)*VLOOKUP('Données projet'!$B$14,Paramètres!$A$1:$I$89,5,0)</f>
        <v>253.98360000000002</v>
      </c>
      <c r="DQ166" s="13">
        <f t="shared" si="176"/>
        <v>61.438182405444294</v>
      </c>
      <c r="DR166" s="20">
        <f t="shared" si="177"/>
        <v>549.35960435614891</v>
      </c>
      <c r="DS166" s="59">
        <f t="shared" si="125"/>
        <v>842.69293768948228</v>
      </c>
      <c r="DT166" s="59">
        <f ca="1">AVERAGE(OFFSET($DS$3,0,0,'Données projet'!$E$14+1,1))-AVERAGE(OFFSET($H$3,0,0,'Données projet'!$E$14+1,1))</f>
        <v>330.14201227773452</v>
      </c>
      <c r="DU166" s="59">
        <f t="shared" si="152"/>
        <v>307.07297894926467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9.3635014161381385</v>
      </c>
      <c r="EB166" s="21">
        <f>EXP(-LN(2)/25)*EB165+(1-EXP(-LN(2)/25))/(LN(2)/25)*Calculateur!DW166*Calculateur!DY166*VLOOKUP('Données projet'!$B$14,Paramètres!$A$1:$I$89,3,0)*0.475*44/12</f>
        <v>3.1059996397332301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12.469501055871369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236.00000000000009</v>
      </c>
      <c r="EK166" s="17">
        <f>EJ166*VLOOKUP('Données projet'!$B$15,Paramètres!$A$1:$I$89,3,0)*VLOOKUP('Données projet'!$B$15,Paramètres!$A$1:$I$89,5,0)</f>
        <v>154.62720000000004</v>
      </c>
      <c r="EL166" s="13">
        <f t="shared" si="179"/>
        <v>39.62826685000794</v>
      </c>
      <c r="EM166" s="20">
        <f t="shared" si="180"/>
        <v>338.32827143043056</v>
      </c>
      <c r="EN166" s="59">
        <f t="shared" si="128"/>
        <v>631.66160476376388</v>
      </c>
      <c r="EO166" s="59">
        <f ca="1">AVERAGE(OFFSET($EN$3,0,0,'Données projet'!$E$15+1,1))-AVERAGE(OFFSET($H$3,0,0,'Données projet'!$E$15+1,1))</f>
        <v>183.30081488041924</v>
      </c>
      <c r="EP166" s="59">
        <f t="shared" si="154"/>
        <v>199.33099759570928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0.87878834995396016</v>
      </c>
      <c r="EW166" s="21">
        <f>EXP(-LN(2)/25)*EW165+(1-EXP(-LN(2)/25))/(LN(2)/25)*Calculateur!ER166*Calculateur!ET166*VLOOKUP('Données projet'!$B$15,Paramètres!$A$1:$I$89,3,0)*0.475*44/12</f>
        <v>1.8395639607565399</v>
      </c>
      <c r="EX166" s="21">
        <f>EXP(-LN(2)/2)*EX165+(1-EXP(-LN(2)/2))/(LN(2)/2)*ER166*EU166*VLOOKUP('Données projet'!$B$15,Paramètres!$A$1:$I$89,3,0)*0.475*44/12</f>
        <v>2.2054056600677658E-11</v>
      </c>
      <c r="EY166" s="22">
        <f t="shared" si="181"/>
        <v>2.7183523107325542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1.5961632016114892E-13</v>
      </c>
      <c r="P167" s="13">
        <f t="shared" si="141"/>
        <v>2.2708641912150958E-12</v>
      </c>
      <c r="Q167" s="20">
        <f t="shared" si="162"/>
        <v>4.2330868906469593E-12</v>
      </c>
      <c r="R167" s="59">
        <f t="shared" si="109"/>
        <v>293.33333333333752</v>
      </c>
      <c r="S167" s="59">
        <f ca="1">AVERAGE(OFFSET($R$3,0,0,'Données projet'!$E$9+1,1))-AVERAGE(OFFSET($H$3,0,0,'Données projet'!$E$9+1,1))</f>
        <v>205.73717397588365</v>
      </c>
      <c r="T167" s="59">
        <f t="shared" si="142"/>
        <v>190.64998698136026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54.467253178054136</v>
      </c>
      <c r="AA167" s="21">
        <f>EXP(-LN(2)/25)*AA166+(1-EXP(-LN(2)/25))/(LN(2)/25)*Calculateur!V167*Calculateur!X167*VLOOKUP('Données projet'!$B$9,Paramètres!$A$1:$I$89,3,0)*0.475*44/12</f>
        <v>8.5554578259920095</v>
      </c>
      <c r="AB167" s="21">
        <f>EXP(-LN(2)/2)*AB166+(1-EXP(-LN(2)/2))/(LN(2)/2)*V167*Y167*VLOOKUP('Données projet'!$B$9,Paramètres!$A$1:$I$89,3,0)*0.475*44/12</f>
        <v>2.9221781483839194E-8</v>
      </c>
      <c r="AC167" s="22">
        <f t="shared" si="163"/>
        <v>63.022711033267925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283.73369613548124</v>
      </c>
      <c r="AO167" s="59">
        <f t="shared" si="144"/>
        <v>249.77804091581208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-6.3550942286383367E-14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278.5296012747549</v>
      </c>
      <c r="BJ167" s="59">
        <f t="shared" si="146"/>
        <v>370.55343097937077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26.174348357323325</v>
      </c>
      <c r="BQ167" s="21">
        <f>EXP(-LN(2)/25)*BQ166+(1-EXP(-LN(2)/25))/(LN(2)/25)*Calculateur!BL167*Calculateur!BN167*VLOOKUP('Données projet'!$B$11,Paramètres!$A$1:$I$89,3,0)*0.475*44/12</f>
        <v>2.8053665046824641</v>
      </c>
      <c r="BR167" s="21">
        <f>EXP(-LN(2)/2)*BR166+(1-EXP(-LN(2)/2))/(LN(2)/2)*BL167*BO167*VLOOKUP('Données projet'!$B$11,Paramètres!$A$1:$I$89,3,0)*0.475*44/12</f>
        <v>1.3409101448915211E-15</v>
      </c>
      <c r="BS167" s="22">
        <f t="shared" si="169"/>
        <v>28.979714862005789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-3.1036506698001178E-14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159.92263609041913</v>
      </c>
      <c r="CE167" s="59">
        <f t="shared" si="148"/>
        <v>271.78119133009307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5.7864178609825485</v>
      </c>
      <c r="CL167" s="21">
        <f>EXP(-LN(2)/25)*CL166+(1-EXP(-LN(2)/25))/(LN(2)/25)*Calculateur!CG167*Calculateur!CI167*VLOOKUP('Données projet'!$B$12,Paramètres!$A$1:$I$89,3,0)*0.475*44/12</f>
        <v>4.8168449334917609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10.603262794474309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5.6843418860808015E-13</v>
      </c>
      <c r="CU167" s="17">
        <f>CT167*VLOOKUP('Données projet'!$B$13,Paramètres!$A$1:$I$89,3,0)*VLOOKUP('Données projet'!$B$13,Paramètres!$A$1:$I$89,5,0)</f>
        <v>5.1431925385259092E-13</v>
      </c>
      <c r="CV167" s="13">
        <f t="shared" si="173"/>
        <v>6.3855359115685756E-12</v>
      </c>
      <c r="CW167" s="20">
        <f t="shared" si="174"/>
        <v>1.2017247746441865E-11</v>
      </c>
      <c r="CX167" s="59">
        <f t="shared" si="122"/>
        <v>293.33333333334531</v>
      </c>
      <c r="CY167" s="59">
        <f ca="1">AVERAGE(OFFSET($CX$3,0,0,'Données projet'!$E$13+1,1))-AVERAGE(OFFSET($H$3,0,0,'Données projet'!$E$13+1,1))</f>
        <v>280.25710840677186</v>
      </c>
      <c r="CZ167" s="59">
        <f t="shared" si="150"/>
        <v>209.65224013288037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88.947104343281964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88.947104343281964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243</v>
      </c>
      <c r="DP167" s="17">
        <f>DO167*VLOOKUP('Données projet'!$B$14,Paramètres!$A$1:$I$89,3,0)*VLOOKUP('Données projet'!$B$14,Paramètres!$A$1:$I$89,5,0)</f>
        <v>253.98360000000002</v>
      </c>
      <c r="DQ167" s="13">
        <f t="shared" si="176"/>
        <v>61.438182405444294</v>
      </c>
      <c r="DR167" s="20">
        <f t="shared" si="177"/>
        <v>549.35960435614891</v>
      </c>
      <c r="DS167" s="59">
        <f t="shared" si="125"/>
        <v>842.69293768948228</v>
      </c>
      <c r="DT167" s="59">
        <f ca="1">AVERAGE(OFFSET($DS$3,0,0,'Données projet'!$E$14+1,1))-AVERAGE(OFFSET($H$3,0,0,'Données projet'!$E$14+1,1))</f>
        <v>330.14201227773452</v>
      </c>
      <c r="DU167" s="59">
        <f t="shared" si="152"/>
        <v>307.07297894926467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9.1798888645396026</v>
      </c>
      <c r="EB167" s="21">
        <f>EXP(-LN(2)/25)*EB166+(1-EXP(-LN(2)/25))/(LN(2)/25)*Calculateur!DW167*Calculateur!DY167*VLOOKUP('Données projet'!$B$14,Paramètres!$A$1:$I$89,3,0)*0.475*44/12</f>
        <v>3.0210659162473026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12.200954780786905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236.00000000000009</v>
      </c>
      <c r="EK167" s="17">
        <f>EJ167*VLOOKUP('Données projet'!$B$15,Paramètres!$A$1:$I$89,3,0)*VLOOKUP('Données projet'!$B$15,Paramètres!$A$1:$I$89,5,0)</f>
        <v>154.62720000000004</v>
      </c>
      <c r="EL167" s="13">
        <f t="shared" si="179"/>
        <v>39.62826685000794</v>
      </c>
      <c r="EM167" s="20">
        <f t="shared" si="180"/>
        <v>338.32827143043056</v>
      </c>
      <c r="EN167" s="59">
        <f t="shared" si="128"/>
        <v>631.66160476376388</v>
      </c>
      <c r="EO167" s="59">
        <f ca="1">AVERAGE(OFFSET($EN$3,0,0,'Données projet'!$E$15+1,1))-AVERAGE(OFFSET($H$3,0,0,'Données projet'!$E$15+1,1))</f>
        <v>183.30081488041924</v>
      </c>
      <c r="EP167" s="59">
        <f t="shared" si="154"/>
        <v>199.33099759570928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0.86155584641933003</v>
      </c>
      <c r="EW167" s="21">
        <f>EXP(-LN(2)/25)*EW166+(1-EXP(-LN(2)/25))/(LN(2)/25)*Calculateur!ER167*Calculateur!ET167*VLOOKUP('Données projet'!$B$15,Paramètres!$A$1:$I$89,3,0)*0.475*44/12</f>
        <v>1.789260987511188</v>
      </c>
      <c r="EX167" s="21">
        <f>EXP(-LN(2)/2)*EX166+(1-EXP(-LN(2)/2))/(LN(2)/2)*ER167*EU167*VLOOKUP('Données projet'!$B$15,Paramètres!$A$1:$I$89,3,0)*0.475*44/12</f>
        <v>1.5594572975011111E-11</v>
      </c>
      <c r="EY167" s="22">
        <f t="shared" si="181"/>
        <v>2.6508168339461129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1.5961632016114892E-13</v>
      </c>
      <c r="P168" s="13">
        <f t="shared" si="141"/>
        <v>2.2708641912150958E-12</v>
      </c>
      <c r="Q168" s="20">
        <f t="shared" si="162"/>
        <v>4.2330868906469593E-12</v>
      </c>
      <c r="R168" s="59">
        <f t="shared" si="109"/>
        <v>293.33333333333752</v>
      </c>
      <c r="S168" s="59">
        <f ca="1">AVERAGE(OFFSET($R$3,0,0,'Données projet'!$E$9+1,1))-AVERAGE(OFFSET($H$3,0,0,'Données projet'!$E$9+1,1))</f>
        <v>205.73717397588365</v>
      </c>
      <c r="T168" s="59">
        <f t="shared" si="142"/>
        <v>190.64998698136026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53.39918356497656</v>
      </c>
      <c r="AA168" s="21">
        <f>EXP(-LN(2)/25)*AA167+(1-EXP(-LN(2)/25))/(LN(2)/25)*Calculateur!V168*Calculateur!X168*VLOOKUP('Données projet'!$B$9,Paramètres!$A$1:$I$89,3,0)*0.475*44/12</f>
        <v>8.3215083818282842</v>
      </c>
      <c r="AB168" s="21">
        <f>EXP(-LN(2)/2)*AB167+(1-EXP(-LN(2)/2))/(LN(2)/2)*V168*Y168*VLOOKUP('Données projet'!$B$9,Paramètres!$A$1:$I$89,3,0)*0.475*44/12</f>
        <v>2.066291984557419E-8</v>
      </c>
      <c r="AC168" s="22">
        <f t="shared" si="163"/>
        <v>61.720691967467765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283.73369613548124</v>
      </c>
      <c r="AO168" s="59">
        <f t="shared" si="144"/>
        <v>249.77804091581208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-6.3550942286383367E-14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278.5296012747549</v>
      </c>
      <c r="BJ168" s="59">
        <f t="shared" si="146"/>
        <v>370.55343097937077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25.661085350812321</v>
      </c>
      <c r="BQ168" s="21">
        <f>EXP(-LN(2)/25)*BQ167+(1-EXP(-LN(2)/25))/(LN(2)/25)*Calculateur!BL168*Calculateur!BN168*VLOOKUP('Données projet'!$B$11,Paramètres!$A$1:$I$89,3,0)*0.475*44/12</f>
        <v>2.7286536100841094</v>
      </c>
      <c r="BR168" s="21">
        <f>EXP(-LN(2)/2)*BR167+(1-EXP(-LN(2)/2))/(LN(2)/2)*BL168*BO168*VLOOKUP('Données projet'!$B$11,Paramètres!$A$1:$I$89,3,0)*0.475*44/12</f>
        <v>9.4816665641463053E-16</v>
      </c>
      <c r="BS168" s="22">
        <f t="shared" si="169"/>
        <v>28.38973896089643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-3.1036506698001178E-14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159.92263609041913</v>
      </c>
      <c r="CE168" s="59">
        <f t="shared" si="148"/>
        <v>271.78119133009307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5.67294973609508</v>
      </c>
      <c r="CL168" s="21">
        <f>EXP(-LN(2)/25)*CL167+(1-EXP(-LN(2)/25))/(LN(2)/25)*Calculateur!CG168*Calculateur!CI168*VLOOKUP('Données projet'!$B$12,Paramètres!$A$1:$I$89,3,0)*0.475*44/12</f>
        <v>4.6851280554785628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10.358077791573642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5.6843418860808015E-13</v>
      </c>
      <c r="CU168" s="17">
        <f>CT168*VLOOKUP('Données projet'!$B$13,Paramètres!$A$1:$I$89,3,0)*VLOOKUP('Données projet'!$B$13,Paramètres!$A$1:$I$89,5,0)</f>
        <v>5.1431925385259092E-13</v>
      </c>
      <c r="CV168" s="13">
        <f t="shared" si="173"/>
        <v>6.3855359115685756E-12</v>
      </c>
      <c r="CW168" s="20">
        <f t="shared" si="174"/>
        <v>1.2017247746441865E-11</v>
      </c>
      <c r="CX168" s="59">
        <f t="shared" si="122"/>
        <v>293.33333333334531</v>
      </c>
      <c r="CY168" s="59">
        <f ca="1">AVERAGE(OFFSET($CX$3,0,0,'Données projet'!$E$13+1,1))-AVERAGE(OFFSET($H$3,0,0,'Données projet'!$E$13+1,1))</f>
        <v>280.25710840677186</v>
      </c>
      <c r="CZ168" s="59">
        <f t="shared" si="150"/>
        <v>209.65224013288037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87.202905879486877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87.202905879486877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243</v>
      </c>
      <c r="DP168" s="17">
        <f>DO168*VLOOKUP('Données projet'!$B$14,Paramètres!$A$1:$I$89,3,0)*VLOOKUP('Données projet'!$B$14,Paramètres!$A$1:$I$89,5,0)</f>
        <v>253.98360000000002</v>
      </c>
      <c r="DQ168" s="13">
        <f t="shared" si="176"/>
        <v>61.438182405444294</v>
      </c>
      <c r="DR168" s="20">
        <f t="shared" si="177"/>
        <v>549.35960435614891</v>
      </c>
      <c r="DS168" s="59">
        <f t="shared" si="125"/>
        <v>842.69293768948228</v>
      </c>
      <c r="DT168" s="59">
        <f ca="1">AVERAGE(OFFSET($DS$3,0,0,'Données projet'!$E$14+1,1))-AVERAGE(OFFSET($H$3,0,0,'Données projet'!$E$14+1,1))</f>
        <v>330.14201227773452</v>
      </c>
      <c r="DU168" s="59">
        <f t="shared" si="152"/>
        <v>307.07297894926467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8.9998768430853158</v>
      </c>
      <c r="EB168" s="21">
        <f>EXP(-LN(2)/25)*EB167+(1-EXP(-LN(2)/25))/(LN(2)/25)*Calculateur!DW168*Calculateur!DY168*VLOOKUP('Données projet'!$B$14,Paramètres!$A$1:$I$89,3,0)*0.475*44/12</f>
        <v>2.9384547098965683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11.938331552981884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236.00000000000009</v>
      </c>
      <c r="EK168" s="17">
        <f>EJ168*VLOOKUP('Données projet'!$B$15,Paramètres!$A$1:$I$89,3,0)*VLOOKUP('Données projet'!$B$15,Paramètres!$A$1:$I$89,5,0)</f>
        <v>154.62720000000004</v>
      </c>
      <c r="EL168" s="13">
        <f t="shared" si="179"/>
        <v>39.62826685000794</v>
      </c>
      <c r="EM168" s="20">
        <f t="shared" si="180"/>
        <v>338.32827143043056</v>
      </c>
      <c r="EN168" s="59">
        <f t="shared" si="128"/>
        <v>631.66160476376388</v>
      </c>
      <c r="EO168" s="59">
        <f ca="1">AVERAGE(OFFSET($EN$3,0,0,'Données projet'!$E$15+1,1))-AVERAGE(OFFSET($H$3,0,0,'Données projet'!$E$15+1,1))</f>
        <v>183.30081488041924</v>
      </c>
      <c r="EP168" s="59">
        <f t="shared" si="154"/>
        <v>199.33099759570928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0.84466126176822476</v>
      </c>
      <c r="EW168" s="21">
        <f>EXP(-LN(2)/25)*EW167+(1-EXP(-LN(2)/25))/(LN(2)/25)*Calculateur!ER168*Calculateur!ET168*VLOOKUP('Données projet'!$B$15,Paramètres!$A$1:$I$89,3,0)*0.475*44/12</f>
        <v>1.7403335517145486</v>
      </c>
      <c r="EX168" s="21">
        <f>EXP(-LN(2)/2)*EX167+(1-EXP(-LN(2)/2))/(LN(2)/2)*ER168*EU168*VLOOKUP('Données projet'!$B$15,Paramètres!$A$1:$I$89,3,0)*0.475*44/12</f>
        <v>1.1027028300338829E-11</v>
      </c>
      <c r="EY168" s="22">
        <f t="shared" si="181"/>
        <v>2.5849948134938008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1.5961632016114892E-13</v>
      </c>
      <c r="P169" s="13">
        <f t="shared" si="141"/>
        <v>2.2708641912150958E-12</v>
      </c>
      <c r="Q169" s="20">
        <f t="shared" si="162"/>
        <v>4.2330868906469593E-12</v>
      </c>
      <c r="R169" s="59">
        <f t="shared" si="109"/>
        <v>293.33333333333752</v>
      </c>
      <c r="S169" s="59">
        <f ca="1">AVERAGE(OFFSET($R$3,0,0,'Données projet'!$E$9+1,1))-AVERAGE(OFFSET($H$3,0,0,'Données projet'!$E$9+1,1))</f>
        <v>205.73717397588365</v>
      </c>
      <c r="T169" s="59">
        <f t="shared" si="142"/>
        <v>190.64998698136026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52.352058145553293</v>
      </c>
      <c r="AA169" s="21">
        <f>EXP(-LN(2)/25)*AA168+(1-EXP(-LN(2)/25))/(LN(2)/25)*Calculateur!V169*Calculateur!X169*VLOOKUP('Données projet'!$B$9,Paramètres!$A$1:$I$89,3,0)*0.475*44/12</f>
        <v>8.0939562975180834</v>
      </c>
      <c r="AB169" s="21">
        <f>EXP(-LN(2)/2)*AB168+(1-EXP(-LN(2)/2))/(LN(2)/2)*V169*Y169*VLOOKUP('Données projet'!$B$9,Paramètres!$A$1:$I$89,3,0)*0.475*44/12</f>
        <v>1.46108907419196E-8</v>
      </c>
      <c r="AC169" s="22">
        <f t="shared" si="163"/>
        <v>60.446014457682267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283.73369613548124</v>
      </c>
      <c r="AO169" s="59">
        <f t="shared" si="144"/>
        <v>249.77804091581208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-6.3550942286383367E-14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278.5296012747549</v>
      </c>
      <c r="BJ169" s="59">
        <f t="shared" si="146"/>
        <v>370.55343097937077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25.157887118799476</v>
      </c>
      <c r="BQ169" s="21">
        <f>EXP(-LN(2)/25)*BQ168+(1-EXP(-LN(2)/25))/(LN(2)/25)*Calculateur!BL169*Calculateur!BN169*VLOOKUP('Données projet'!$B$11,Paramètres!$A$1:$I$89,3,0)*0.475*44/12</f>
        <v>2.6540384336227025</v>
      </c>
      <c r="BR169" s="21">
        <f>EXP(-LN(2)/2)*BR168+(1-EXP(-LN(2)/2))/(LN(2)/2)*BL169*BO169*VLOOKUP('Données projet'!$B$11,Paramètres!$A$1:$I$89,3,0)*0.475*44/12</f>
        <v>6.7045507244576054E-16</v>
      </c>
      <c r="BS169" s="22">
        <f t="shared" si="169"/>
        <v>27.811925552422178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-3.1036506698001178E-14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159.92263609041913</v>
      </c>
      <c r="CE169" s="59">
        <f t="shared" si="148"/>
        <v>271.78119133009307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5.5617066519279321</v>
      </c>
      <c r="CL169" s="21">
        <f>EXP(-LN(2)/25)*CL168+(1-EXP(-LN(2)/25))/(LN(2)/25)*Calculateur!CG169*Calculateur!CI169*VLOOKUP('Données projet'!$B$12,Paramètres!$A$1:$I$89,3,0)*0.475*44/12</f>
        <v>4.557012982421325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10.118719634349258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5.6843418860808015E-13</v>
      </c>
      <c r="CU169" s="17">
        <f>CT169*VLOOKUP('Données projet'!$B$13,Paramètres!$A$1:$I$89,3,0)*VLOOKUP('Données projet'!$B$13,Paramètres!$A$1:$I$89,5,0)</f>
        <v>5.1431925385259092E-13</v>
      </c>
      <c r="CV169" s="13">
        <f t="shared" si="173"/>
        <v>6.3855359115685756E-12</v>
      </c>
      <c r="CW169" s="20">
        <f t="shared" si="174"/>
        <v>1.2017247746441865E-11</v>
      </c>
      <c r="CX169" s="59">
        <f t="shared" si="122"/>
        <v>293.33333333334531</v>
      </c>
      <c r="CY169" s="59">
        <f ca="1">AVERAGE(OFFSET($CX$3,0,0,'Données projet'!$E$13+1,1))-AVERAGE(OFFSET($H$3,0,0,'Données projet'!$E$13+1,1))</f>
        <v>280.25710840677186</v>
      </c>
      <c r="CZ169" s="59">
        <f t="shared" si="150"/>
        <v>209.65224013288037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85.492910083710797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85.492910083710797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243</v>
      </c>
      <c r="DP169" s="17">
        <f>DO169*VLOOKUP('Données projet'!$B$14,Paramètres!$A$1:$I$89,3,0)*VLOOKUP('Données projet'!$B$14,Paramètres!$A$1:$I$89,5,0)</f>
        <v>253.98360000000002</v>
      </c>
      <c r="DQ169" s="13">
        <f t="shared" si="176"/>
        <v>61.438182405444294</v>
      </c>
      <c r="DR169" s="20">
        <f t="shared" si="177"/>
        <v>549.35960435614891</v>
      </c>
      <c r="DS169" s="59">
        <f t="shared" si="125"/>
        <v>842.69293768948228</v>
      </c>
      <c r="DT169" s="59">
        <f ca="1">AVERAGE(OFFSET($DS$3,0,0,'Données projet'!$E$14+1,1))-AVERAGE(OFFSET($H$3,0,0,'Données projet'!$E$14+1,1))</f>
        <v>330.14201227773452</v>
      </c>
      <c r="DU169" s="59">
        <f t="shared" si="152"/>
        <v>307.07297894926467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8.8233947475752554</v>
      </c>
      <c r="EB169" s="21">
        <f>EXP(-LN(2)/25)*EB168+(1-EXP(-LN(2)/25))/(LN(2)/25)*Calculateur!DW169*Calculateur!DY169*VLOOKUP('Données projet'!$B$14,Paramètres!$A$1:$I$89,3,0)*0.475*44/12</f>
        <v>2.8581025113278296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11.681497258903086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236.00000000000009</v>
      </c>
      <c r="EK169" s="17">
        <f>EJ169*VLOOKUP('Données projet'!$B$15,Paramètres!$A$1:$I$89,3,0)*VLOOKUP('Données projet'!$B$15,Paramètres!$A$1:$I$89,5,0)</f>
        <v>154.62720000000004</v>
      </c>
      <c r="EL169" s="13">
        <f t="shared" si="179"/>
        <v>39.62826685000794</v>
      </c>
      <c r="EM169" s="20">
        <f t="shared" si="180"/>
        <v>338.32827143043056</v>
      </c>
      <c r="EN169" s="59">
        <f t="shared" si="128"/>
        <v>631.66160476376388</v>
      </c>
      <c r="EO169" s="59">
        <f ca="1">AVERAGE(OFFSET($EN$3,0,0,'Données projet'!$E$15+1,1))-AVERAGE(OFFSET($H$3,0,0,'Données projet'!$E$15+1,1))</f>
        <v>183.30081488041924</v>
      </c>
      <c r="EP169" s="59">
        <f t="shared" si="154"/>
        <v>199.33099759570928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0.82809796961744853</v>
      </c>
      <c r="EW169" s="21">
        <f>EXP(-LN(2)/25)*EW168+(1-EXP(-LN(2)/25))/(LN(2)/25)*Calculateur!ER169*Calculateur!ET169*VLOOKUP('Données projet'!$B$15,Paramètres!$A$1:$I$89,3,0)*0.475*44/12</f>
        <v>1.6927440392227504</v>
      </c>
      <c r="EX169" s="21">
        <f>EXP(-LN(2)/2)*EX168+(1-EXP(-LN(2)/2))/(LN(2)/2)*ER169*EU169*VLOOKUP('Données projet'!$B$15,Paramètres!$A$1:$I$89,3,0)*0.475*44/12</f>
        <v>7.7972864875055554E-12</v>
      </c>
      <c r="EY169" s="22">
        <f t="shared" si="181"/>
        <v>2.5208420088479961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1.5961632016114892E-13</v>
      </c>
      <c r="P170" s="13">
        <f t="shared" si="141"/>
        <v>2.2708641912150958E-12</v>
      </c>
      <c r="Q170" s="20">
        <f t="shared" si="162"/>
        <v>4.2330868906469593E-12</v>
      </c>
      <c r="R170" s="59">
        <f t="shared" si="109"/>
        <v>293.33333333333752</v>
      </c>
      <c r="S170" s="59">
        <f ca="1">AVERAGE(OFFSET($R$3,0,0,'Données projet'!$E$9+1,1))-AVERAGE(OFFSET($H$3,0,0,'Données projet'!$E$9+1,1))</f>
        <v>205.73717397588365</v>
      </c>
      <c r="T170" s="59">
        <f t="shared" si="142"/>
        <v>190.64998698136026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51.325466216921477</v>
      </c>
      <c r="AA170" s="21">
        <f>EXP(-LN(2)/25)*AA169+(1-EXP(-LN(2)/25))/(LN(2)/25)*Calculateur!V170*Calculateur!X170*VLOOKUP('Données projet'!$B$9,Paramètres!$A$1:$I$89,3,0)*0.475*44/12</f>
        <v>7.8726266369197884</v>
      </c>
      <c r="AB170" s="21">
        <f>EXP(-LN(2)/2)*AB169+(1-EXP(-LN(2)/2))/(LN(2)/2)*V170*Y170*VLOOKUP('Données projet'!$B$9,Paramètres!$A$1:$I$89,3,0)*0.475*44/12</f>
        <v>1.0331459922787096E-8</v>
      </c>
      <c r="AC170" s="22">
        <f t="shared" si="163"/>
        <v>59.198092864172729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283.73369613548124</v>
      </c>
      <c r="AO170" s="59">
        <f t="shared" si="144"/>
        <v>249.77804091581208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-6.3550942286383367E-14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278.5296012747549</v>
      </c>
      <c r="BJ170" s="59">
        <f t="shared" si="146"/>
        <v>370.55343097937077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24.664556297195787</v>
      </c>
      <c r="BQ170" s="21">
        <f>EXP(-LN(2)/25)*BQ169+(1-EXP(-LN(2)/25))/(LN(2)/25)*Calculateur!BL170*Calculateur!BN170*VLOOKUP('Données projet'!$B$11,Paramètres!$A$1:$I$89,3,0)*0.475*44/12</f>
        <v>2.5814636130854742</v>
      </c>
      <c r="BR170" s="21">
        <f>EXP(-LN(2)/2)*BR169+(1-EXP(-LN(2)/2))/(LN(2)/2)*BL170*BO170*VLOOKUP('Données projet'!$B$11,Paramètres!$A$1:$I$89,3,0)*0.475*44/12</f>
        <v>4.7408332820731527E-16</v>
      </c>
      <c r="BS170" s="22">
        <f t="shared" si="169"/>
        <v>27.246019910281262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-3.1036506698001178E-14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159.92263609041913</v>
      </c>
      <c r="CE170" s="59">
        <f t="shared" si="148"/>
        <v>271.78119133009307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5.4526449767897205</v>
      </c>
      <c r="CL170" s="21">
        <f>EXP(-LN(2)/25)*CL169+(1-EXP(-LN(2)/25))/(LN(2)/25)*Calculateur!CG170*Calculateur!CI170*VLOOKUP('Données projet'!$B$12,Paramètres!$A$1:$I$89,3,0)*0.475*44/12</f>
        <v>4.4324012227741161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9.8850461995638366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5.6843418860808015E-13</v>
      </c>
      <c r="CU170" s="17">
        <f>CT170*VLOOKUP('Données projet'!$B$13,Paramètres!$A$1:$I$89,3,0)*VLOOKUP('Données projet'!$B$13,Paramètres!$A$1:$I$89,5,0)</f>
        <v>5.1431925385259092E-13</v>
      </c>
      <c r="CV170" s="13">
        <f t="shared" si="173"/>
        <v>6.3855359115685756E-12</v>
      </c>
      <c r="CW170" s="20">
        <f t="shared" si="174"/>
        <v>1.2017247746441865E-11</v>
      </c>
      <c r="CX170" s="59">
        <f t="shared" si="122"/>
        <v>293.33333333334531</v>
      </c>
      <c r="CY170" s="59">
        <f ca="1">AVERAGE(OFFSET($CX$3,0,0,'Données projet'!$E$13+1,1))-AVERAGE(OFFSET($H$3,0,0,'Données projet'!$E$13+1,1))</f>
        <v>280.25710840677186</v>
      </c>
      <c r="CZ170" s="59">
        <f t="shared" si="150"/>
        <v>209.65224013288037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83.816446262495433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83.816446262495433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243</v>
      </c>
      <c r="DP170" s="17">
        <f>DO170*VLOOKUP('Données projet'!$B$14,Paramètres!$A$1:$I$89,3,0)*VLOOKUP('Données projet'!$B$14,Paramètres!$A$1:$I$89,5,0)</f>
        <v>253.98360000000002</v>
      </c>
      <c r="DQ170" s="13">
        <f t="shared" si="176"/>
        <v>61.438182405444294</v>
      </c>
      <c r="DR170" s="20">
        <f t="shared" si="177"/>
        <v>549.35960435614891</v>
      </c>
      <c r="DS170" s="59">
        <f t="shared" si="125"/>
        <v>842.69293768948228</v>
      </c>
      <c r="DT170" s="59">
        <f ca="1">AVERAGE(OFFSET($DS$3,0,0,'Données projet'!$E$14+1,1))-AVERAGE(OFFSET($H$3,0,0,'Données projet'!$E$14+1,1))</f>
        <v>330.14201227773452</v>
      </c>
      <c r="DU170" s="59">
        <f t="shared" si="152"/>
        <v>307.07297894926467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8.6503733583146989</v>
      </c>
      <c r="EB170" s="21">
        <f>EXP(-LN(2)/25)*EB169+(1-EXP(-LN(2)/25))/(LN(2)/25)*Calculateur!DW170*Calculateur!DY170*VLOOKUP('Données projet'!$B$14,Paramètres!$A$1:$I$89,3,0)*0.475*44/12</f>
        <v>2.7799475478544911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11.430320906169189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236.00000000000009</v>
      </c>
      <c r="EK170" s="17">
        <f>EJ170*VLOOKUP('Données projet'!$B$15,Paramètres!$A$1:$I$89,3,0)*VLOOKUP('Données projet'!$B$15,Paramètres!$A$1:$I$89,5,0)</f>
        <v>154.62720000000004</v>
      </c>
      <c r="EL170" s="13">
        <f t="shared" si="179"/>
        <v>39.62826685000794</v>
      </c>
      <c r="EM170" s="20">
        <f t="shared" si="180"/>
        <v>338.32827143043056</v>
      </c>
      <c r="EN170" s="59">
        <f t="shared" si="128"/>
        <v>631.66160476376388</v>
      </c>
      <c r="EO170" s="59">
        <f ca="1">AVERAGE(OFFSET($EN$3,0,0,'Données projet'!$E$15+1,1))-AVERAGE(OFFSET($H$3,0,0,'Données projet'!$E$15+1,1))</f>
        <v>183.30081488041924</v>
      </c>
      <c r="EP170" s="59">
        <f t="shared" si="154"/>
        <v>199.33099759570928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0.81185947352313836</v>
      </c>
      <c r="EW170" s="21">
        <f>EXP(-LN(2)/25)*EW169+(1-EXP(-LN(2)/25))/(LN(2)/25)*Calculateur!ER170*Calculateur!ET170*VLOOKUP('Données projet'!$B$15,Paramètres!$A$1:$I$89,3,0)*0.475*44/12</f>
        <v>1.6464558644526641</v>
      </c>
      <c r="EX170" s="21">
        <f>EXP(-LN(2)/2)*EX169+(1-EXP(-LN(2)/2))/(LN(2)/2)*ER170*EU170*VLOOKUP('Données projet'!$B$15,Paramètres!$A$1:$I$89,3,0)*0.475*44/12</f>
        <v>5.5135141501694145E-12</v>
      </c>
      <c r="EY170" s="22">
        <f t="shared" si="181"/>
        <v>2.4583153379813161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1.5961632016114892E-13</v>
      </c>
      <c r="P171" s="13">
        <f t="shared" si="141"/>
        <v>2.2708641912150958E-12</v>
      </c>
      <c r="Q171" s="20">
        <f t="shared" si="162"/>
        <v>4.2330868906469593E-12</v>
      </c>
      <c r="R171" s="59">
        <f t="shared" si="109"/>
        <v>293.33333333333752</v>
      </c>
      <c r="S171" s="59">
        <f ca="1">AVERAGE(OFFSET($R$3,0,0,'Données projet'!$E$9+1,1))-AVERAGE(OFFSET($H$3,0,0,'Données projet'!$E$9+1,1))</f>
        <v>205.73717397588365</v>
      </c>
      <c r="T171" s="59">
        <f t="shared" si="142"/>
        <v>190.64998698136026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50.319005129850886</v>
      </c>
      <c r="AA171" s="21">
        <f>EXP(-LN(2)/25)*AA170+(1-EXP(-LN(2)/25))/(LN(2)/25)*Calculateur!V171*Calculateur!X171*VLOOKUP('Données projet'!$B$9,Paramètres!$A$1:$I$89,3,0)*0.475*44/12</f>
        <v>7.6573492475297753</v>
      </c>
      <c r="AB171" s="21">
        <f>EXP(-LN(2)/2)*AB170+(1-EXP(-LN(2)/2))/(LN(2)/2)*V171*Y171*VLOOKUP('Données projet'!$B$9,Paramètres!$A$1:$I$89,3,0)*0.475*44/12</f>
        <v>7.3054453709598009E-9</v>
      </c>
      <c r="AC171" s="22">
        <f t="shared" si="163"/>
        <v>57.976354384686104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283.73369613548124</v>
      </c>
      <c r="AO171" s="59">
        <f t="shared" si="144"/>
        <v>249.77804091581208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-6.3550942286383367E-14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278.5296012747549</v>
      </c>
      <c r="BJ171" s="59">
        <f t="shared" si="146"/>
        <v>370.55343097937077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24.180899392101658</v>
      </c>
      <c r="BQ171" s="21">
        <f>EXP(-LN(2)/25)*BQ170+(1-EXP(-LN(2)/25))/(LN(2)/25)*Calculateur!BL171*Calculateur!BN171*VLOOKUP('Données projet'!$B$11,Paramètres!$A$1:$I$89,3,0)*0.475*44/12</f>
        <v>2.5108733548323805</v>
      </c>
      <c r="BR171" s="21">
        <f>EXP(-LN(2)/2)*BR170+(1-EXP(-LN(2)/2))/(LN(2)/2)*BL171*BO171*VLOOKUP('Données projet'!$B$11,Paramètres!$A$1:$I$89,3,0)*0.475*44/12</f>
        <v>3.3522753622288027E-16</v>
      </c>
      <c r="BS171" s="22">
        <f t="shared" si="169"/>
        <v>26.691772746934038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-3.1036506698001178E-14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159.92263609041913</v>
      </c>
      <c r="CE171" s="59">
        <f t="shared" si="148"/>
        <v>271.78119133009307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5.3457219345799158</v>
      </c>
      <c r="CL171" s="21">
        <f>EXP(-LN(2)/25)*CL170+(1-EXP(-LN(2)/25))/(LN(2)/25)*Calculateur!CG171*Calculateur!CI171*VLOOKUP('Données projet'!$B$12,Paramètres!$A$1:$I$89,3,0)*0.475*44/12</f>
        <v>4.3111969782475077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9.6569189128274235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5.6843418860808015E-13</v>
      </c>
      <c r="CU171" s="17">
        <f>CT171*VLOOKUP('Données projet'!$B$13,Paramètres!$A$1:$I$89,3,0)*VLOOKUP('Données projet'!$B$13,Paramètres!$A$1:$I$89,5,0)</f>
        <v>5.1431925385259092E-13</v>
      </c>
      <c r="CV171" s="13">
        <f t="shared" si="173"/>
        <v>6.3855359115685756E-12</v>
      </c>
      <c r="CW171" s="20">
        <f t="shared" si="174"/>
        <v>1.2017247746441865E-11</v>
      </c>
      <c r="CX171" s="59">
        <f t="shared" si="122"/>
        <v>293.33333333334531</v>
      </c>
      <c r="CY171" s="59">
        <f ca="1">AVERAGE(OFFSET($CX$3,0,0,'Données projet'!$E$13+1,1))-AVERAGE(OFFSET($H$3,0,0,'Données projet'!$E$13+1,1))</f>
        <v>280.25710840677186</v>
      </c>
      <c r="CZ171" s="59">
        <f t="shared" si="150"/>
        <v>209.65224013288037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82.172856874272142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82.172856874272142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243</v>
      </c>
      <c r="DP171" s="17">
        <f>DO171*VLOOKUP('Données projet'!$B$14,Paramètres!$A$1:$I$89,3,0)*VLOOKUP('Données projet'!$B$14,Paramètres!$A$1:$I$89,5,0)</f>
        <v>253.98360000000002</v>
      </c>
      <c r="DQ171" s="13">
        <f t="shared" si="176"/>
        <v>61.438182405444294</v>
      </c>
      <c r="DR171" s="20">
        <f t="shared" si="177"/>
        <v>549.35960435614891</v>
      </c>
      <c r="DS171" s="59">
        <f t="shared" si="125"/>
        <v>842.69293768948228</v>
      </c>
      <c r="DT171" s="59">
        <f ca="1">AVERAGE(OFFSET($DS$3,0,0,'Données projet'!$E$14+1,1))-AVERAGE(OFFSET($H$3,0,0,'Données projet'!$E$14+1,1))</f>
        <v>330.14201227773452</v>
      </c>
      <c r="DU171" s="59">
        <f t="shared" si="152"/>
        <v>307.07297894926467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8.4807448129649146</v>
      </c>
      <c r="EB171" s="21">
        <f>EXP(-LN(2)/25)*EB170+(1-EXP(-LN(2)/25))/(LN(2)/25)*Calculateur!DW171*Calculateur!DY171*VLOOKUP('Données projet'!$B$14,Paramètres!$A$1:$I$89,3,0)*0.475*44/12</f>
        <v>2.7039297359673222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11.184674548932236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236.00000000000009</v>
      </c>
      <c r="EK171" s="17">
        <f>EJ171*VLOOKUP('Données projet'!$B$15,Paramètres!$A$1:$I$89,3,0)*VLOOKUP('Données projet'!$B$15,Paramètres!$A$1:$I$89,5,0)</f>
        <v>154.62720000000004</v>
      </c>
      <c r="EL171" s="13">
        <f t="shared" si="179"/>
        <v>39.62826685000794</v>
      </c>
      <c r="EM171" s="20">
        <f t="shared" si="180"/>
        <v>338.32827143043056</v>
      </c>
      <c r="EN171" s="59">
        <f t="shared" si="128"/>
        <v>631.66160476376388</v>
      </c>
      <c r="EO171" s="59">
        <f ca="1">AVERAGE(OFFSET($EN$3,0,0,'Données projet'!$E$15+1,1))-AVERAGE(OFFSET($H$3,0,0,'Données projet'!$E$15+1,1))</f>
        <v>183.30081488041924</v>
      </c>
      <c r="EP171" s="59">
        <f t="shared" si="154"/>
        <v>199.33099759570928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0.79593940443273292</v>
      </c>
      <c r="EW171" s="21">
        <f>EXP(-LN(2)/25)*EW170+(1-EXP(-LN(2)/25))/(LN(2)/25)*Calculateur!ER171*Calculateur!ET171*VLOOKUP('Données projet'!$B$15,Paramètres!$A$1:$I$89,3,0)*0.475*44/12</f>
        <v>1.6014334422558552</v>
      </c>
      <c r="EX171" s="21">
        <f>EXP(-LN(2)/2)*EX170+(1-EXP(-LN(2)/2))/(LN(2)/2)*ER171*EU171*VLOOKUP('Données projet'!$B$15,Paramètres!$A$1:$I$89,3,0)*0.475*44/12</f>
        <v>3.8986432437527777E-12</v>
      </c>
      <c r="EY171" s="22">
        <f t="shared" si="181"/>
        <v>2.3973728466924866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1.5961632016114892E-13</v>
      </c>
      <c r="P172" s="13">
        <f t="shared" si="141"/>
        <v>2.2708641912150958E-12</v>
      </c>
      <c r="Q172" s="20">
        <f t="shared" si="162"/>
        <v>4.2330868906469593E-12</v>
      </c>
      <c r="R172" s="59">
        <f t="shared" si="109"/>
        <v>293.33333333333752</v>
      </c>
      <c r="S172" s="59">
        <f ca="1">AVERAGE(OFFSET($R$3,0,0,'Données projet'!$E$9+1,1))-AVERAGE(OFFSET($H$3,0,0,'Données projet'!$E$9+1,1))</f>
        <v>205.73717397588365</v>
      </c>
      <c r="T172" s="59">
        <f t="shared" si="142"/>
        <v>190.64998698136026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49.332280130817097</v>
      </c>
      <c r="AA172" s="21">
        <f>EXP(-LN(2)/25)*AA171+(1-EXP(-LN(2)/25))/(LN(2)/25)*Calculateur!V172*Calculateur!X172*VLOOKUP('Données projet'!$B$9,Paramètres!$A$1:$I$89,3,0)*0.475*44/12</f>
        <v>7.447958629673578</v>
      </c>
      <c r="AB172" s="21">
        <f>EXP(-LN(2)/2)*AB171+(1-EXP(-LN(2)/2))/(LN(2)/2)*V172*Y172*VLOOKUP('Données projet'!$B$9,Paramètres!$A$1:$I$89,3,0)*0.475*44/12</f>
        <v>5.165729961393549E-9</v>
      </c>
      <c r="AC172" s="22">
        <f t="shared" si="163"/>
        <v>56.780238765656406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283.73369613548124</v>
      </c>
      <c r="AO172" s="59">
        <f t="shared" si="144"/>
        <v>249.77804091581208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-6.3550942286383367E-14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278.5296012747549</v>
      </c>
      <c r="BJ172" s="59">
        <f t="shared" si="146"/>
        <v>370.55343097937077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23.706726703914843</v>
      </c>
      <c r="BQ172" s="21">
        <f>EXP(-LN(2)/25)*BQ171+(1-EXP(-LN(2)/25))/(LN(2)/25)*Calculateur!BL172*Calculateur!BN172*VLOOKUP('Données projet'!$B$11,Paramètres!$A$1:$I$89,3,0)*0.475*44/12</f>
        <v>2.4422133909033978</v>
      </c>
      <c r="BR172" s="21">
        <f>EXP(-LN(2)/2)*BR171+(1-EXP(-LN(2)/2))/(LN(2)/2)*BL172*BO172*VLOOKUP('Données projet'!$B$11,Paramètres!$A$1:$I$89,3,0)*0.475*44/12</f>
        <v>2.3704166410365763E-16</v>
      </c>
      <c r="BS172" s="22">
        <f t="shared" si="169"/>
        <v>26.14894009481824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-3.1036506698001178E-14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159.92263609041913</v>
      </c>
      <c r="CE172" s="59">
        <f t="shared" si="148"/>
        <v>271.78119133009307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5.2408955880112291</v>
      </c>
      <c r="CL172" s="21">
        <f>EXP(-LN(2)/25)*CL171+(1-EXP(-LN(2)/25))/(LN(2)/25)*Calculateur!CG172*Calculateur!CI172*VLOOKUP('Données projet'!$B$12,Paramètres!$A$1:$I$89,3,0)*0.475*44/12</f>
        <v>4.1933070701613335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9.4342026581725626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5.6843418860808015E-13</v>
      </c>
      <c r="CU172" s="17">
        <f>CT172*VLOOKUP('Données projet'!$B$13,Paramètres!$A$1:$I$89,3,0)*VLOOKUP('Données projet'!$B$13,Paramètres!$A$1:$I$89,5,0)</f>
        <v>5.1431925385259092E-13</v>
      </c>
      <c r="CV172" s="13">
        <f t="shared" si="173"/>
        <v>6.3855359115685756E-12</v>
      </c>
      <c r="CW172" s="20">
        <f t="shared" si="174"/>
        <v>1.2017247746441865E-11</v>
      </c>
      <c r="CX172" s="59">
        <f t="shared" si="122"/>
        <v>293.33333333334531</v>
      </c>
      <c r="CY172" s="59">
        <f ca="1">AVERAGE(OFFSET($CX$3,0,0,'Données projet'!$E$13+1,1))-AVERAGE(OFFSET($H$3,0,0,'Données projet'!$E$13+1,1))</f>
        <v>280.25710840677186</v>
      </c>
      <c r="CZ172" s="59">
        <f t="shared" si="150"/>
        <v>209.65224013288037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80.561497271461377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80.561497271461377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243</v>
      </c>
      <c r="DP172" s="17">
        <f>DO172*VLOOKUP('Données projet'!$B$14,Paramètres!$A$1:$I$89,3,0)*VLOOKUP('Données projet'!$B$14,Paramètres!$A$1:$I$89,5,0)</f>
        <v>253.98360000000002</v>
      </c>
      <c r="DQ172" s="13">
        <f t="shared" si="176"/>
        <v>61.438182405444294</v>
      </c>
      <c r="DR172" s="20">
        <f t="shared" si="177"/>
        <v>549.35960435614891</v>
      </c>
      <c r="DS172" s="59">
        <f t="shared" si="125"/>
        <v>842.69293768948228</v>
      </c>
      <c r="DT172" s="59">
        <f ca="1">AVERAGE(OFFSET($DS$3,0,0,'Données projet'!$E$14+1,1))-AVERAGE(OFFSET($H$3,0,0,'Données projet'!$E$14+1,1))</f>
        <v>330.14201227773452</v>
      </c>
      <c r="DU172" s="59">
        <f t="shared" si="152"/>
        <v>307.07297894926467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8.3144425799262418</v>
      </c>
      <c r="EB172" s="21">
        <f>EXP(-LN(2)/25)*EB171+(1-EXP(-LN(2)/25))/(LN(2)/25)*Calculateur!DW172*Calculateur!DY172*VLOOKUP('Données projet'!$B$14,Paramètres!$A$1:$I$89,3,0)*0.475*44/12</f>
        <v>2.6299906351438107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10.944433215070053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236.00000000000009</v>
      </c>
      <c r="EK172" s="17">
        <f>EJ172*VLOOKUP('Données projet'!$B$15,Paramètres!$A$1:$I$89,3,0)*VLOOKUP('Données projet'!$B$15,Paramètres!$A$1:$I$89,5,0)</f>
        <v>154.62720000000004</v>
      </c>
      <c r="EL172" s="13">
        <f t="shared" si="179"/>
        <v>39.62826685000794</v>
      </c>
      <c r="EM172" s="20">
        <f t="shared" si="180"/>
        <v>338.32827143043056</v>
      </c>
      <c r="EN172" s="59">
        <f t="shared" si="128"/>
        <v>631.66160476376388</v>
      </c>
      <c r="EO172" s="59">
        <f ca="1">AVERAGE(OFFSET($EN$3,0,0,'Données projet'!$E$15+1,1))-AVERAGE(OFFSET($H$3,0,0,'Données projet'!$E$15+1,1))</f>
        <v>183.30081488041924</v>
      </c>
      <c r="EP172" s="59">
        <f t="shared" si="154"/>
        <v>199.33099759570928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0.78033151818690705</v>
      </c>
      <c r="EW172" s="21">
        <f>EXP(-LN(2)/25)*EW171+(1-EXP(-LN(2)/25))/(LN(2)/25)*Calculateur!ER172*Calculateur!ET172*VLOOKUP('Données projet'!$B$15,Paramètres!$A$1:$I$89,3,0)*0.475*44/12</f>
        <v>1.5576421605616442</v>
      </c>
      <c r="EX172" s="21">
        <f>EXP(-LN(2)/2)*EX171+(1-EXP(-LN(2)/2))/(LN(2)/2)*ER172*EU172*VLOOKUP('Données projet'!$B$15,Paramètres!$A$1:$I$89,3,0)*0.475*44/12</f>
        <v>2.7567570750847072E-12</v>
      </c>
      <c r="EY172" s="22">
        <f t="shared" si="181"/>
        <v>2.3379736787513083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1.5961632016114892E-13</v>
      </c>
      <c r="P173" s="13">
        <f t="shared" si="141"/>
        <v>2.2708641912150958E-12</v>
      </c>
      <c r="Q173" s="20">
        <f t="shared" si="162"/>
        <v>4.2330868906469593E-12</v>
      </c>
      <c r="R173" s="59">
        <f t="shared" si="109"/>
        <v>293.33333333333752</v>
      </c>
      <c r="S173" s="59">
        <f ca="1">AVERAGE(OFFSET($R$3,0,0,'Données projet'!$E$9+1,1))-AVERAGE(OFFSET($H$3,0,0,'Données projet'!$E$9+1,1))</f>
        <v>205.73717397588365</v>
      </c>
      <c r="T173" s="59">
        <f t="shared" si="142"/>
        <v>190.64998698136026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48.364904207171541</v>
      </c>
      <c r="AA173" s="21">
        <f>EXP(-LN(2)/25)*AA172+(1-EXP(-LN(2)/25))/(LN(2)/25)*Calculateur!V173*Calculateur!X173*VLOOKUP('Données projet'!$B$9,Paramètres!$A$1:$I$89,3,0)*0.475*44/12</f>
        <v>7.2442938092740325</v>
      </c>
      <c r="AB173" s="21">
        <f>EXP(-LN(2)/2)*AB172+(1-EXP(-LN(2)/2))/(LN(2)/2)*V173*Y173*VLOOKUP('Données projet'!$B$9,Paramètres!$A$1:$I$89,3,0)*0.475*44/12</f>
        <v>3.6527226854799013E-9</v>
      </c>
      <c r="AC173" s="22">
        <f t="shared" si="163"/>
        <v>55.609198020098297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283.73369613548124</v>
      </c>
      <c r="AO173" s="59">
        <f t="shared" si="144"/>
        <v>249.77804091581208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-6.3550942286383367E-14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278.5296012747549</v>
      </c>
      <c r="BJ173" s="59">
        <f t="shared" si="146"/>
        <v>370.55343097937077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23.241852252926588</v>
      </c>
      <c r="BQ173" s="21">
        <f>EXP(-LN(2)/25)*BQ172+(1-EXP(-LN(2)/25))/(LN(2)/25)*Calculateur!BL173*Calculateur!BN173*VLOOKUP('Données projet'!$B$11,Paramètres!$A$1:$I$89,3,0)*0.475*44/12</f>
        <v>2.3754309372987241</v>
      </c>
      <c r="BR173" s="21">
        <f>EXP(-LN(2)/2)*BR172+(1-EXP(-LN(2)/2))/(LN(2)/2)*BL173*BO173*VLOOKUP('Données projet'!$B$11,Paramètres!$A$1:$I$89,3,0)*0.475*44/12</f>
        <v>1.6761376811144013E-16</v>
      </c>
      <c r="BS173" s="22">
        <f t="shared" si="169"/>
        <v>25.617283190225312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-3.1036506698001178E-14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159.92263609041913</v>
      </c>
      <c r="CE173" s="59">
        <f t="shared" si="148"/>
        <v>271.78119133009307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5.1381248221609965</v>
      </c>
      <c r="CL173" s="21">
        <f>EXP(-LN(2)/25)*CL172+(1-EXP(-LN(2)/25))/(LN(2)/25)*Calculateur!CG173*Calculateur!CI173*VLOOKUP('Données projet'!$B$12,Paramètres!$A$1:$I$89,3,0)*0.475*44/12</f>
        <v>4.0786408678113366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9.216765689972334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5.6843418860808015E-13</v>
      </c>
      <c r="CU173" s="17">
        <f>CT173*VLOOKUP('Données projet'!$B$13,Paramètres!$A$1:$I$89,3,0)*VLOOKUP('Données projet'!$B$13,Paramètres!$A$1:$I$89,5,0)</f>
        <v>5.1431925385259092E-13</v>
      </c>
      <c r="CV173" s="13">
        <f t="shared" si="173"/>
        <v>6.3855359115685756E-12</v>
      </c>
      <c r="CW173" s="20">
        <f t="shared" si="174"/>
        <v>1.2017247746441865E-11</v>
      </c>
      <c r="CX173" s="59">
        <f t="shared" si="122"/>
        <v>293.33333333334531</v>
      </c>
      <c r="CY173" s="59">
        <f ca="1">AVERAGE(OFFSET($CX$3,0,0,'Données projet'!$E$13+1,1))-AVERAGE(OFFSET($H$3,0,0,'Données projet'!$E$13+1,1))</f>
        <v>280.25710840677186</v>
      </c>
      <c r="CZ173" s="59">
        <f t="shared" si="150"/>
        <v>209.65224013288037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78.981735447629418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78.981735447629418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243</v>
      </c>
      <c r="DP173" s="17">
        <f>DO173*VLOOKUP('Données projet'!$B$14,Paramètres!$A$1:$I$89,3,0)*VLOOKUP('Données projet'!$B$14,Paramètres!$A$1:$I$89,5,0)</f>
        <v>253.98360000000002</v>
      </c>
      <c r="DQ173" s="13">
        <f t="shared" si="176"/>
        <v>61.438182405444294</v>
      </c>
      <c r="DR173" s="20">
        <f t="shared" si="177"/>
        <v>549.35960435614891</v>
      </c>
      <c r="DS173" s="59">
        <f t="shared" si="125"/>
        <v>842.69293768948228</v>
      </c>
      <c r="DT173" s="59">
        <f ca="1">AVERAGE(OFFSET($DS$3,0,0,'Données projet'!$E$14+1,1))-AVERAGE(OFFSET($H$3,0,0,'Données projet'!$E$14+1,1))</f>
        <v>330.14201227773452</v>
      </c>
      <c r="DU173" s="59">
        <f t="shared" si="152"/>
        <v>307.07297894926467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8.1514014322431123</v>
      </c>
      <c r="EB173" s="21">
        <f>EXP(-LN(2)/25)*EB172+(1-EXP(-LN(2)/25))/(LN(2)/25)*Calculateur!DW173*Calculateur!DY173*VLOOKUP('Données projet'!$B$14,Paramètres!$A$1:$I$89,3,0)*0.475*44/12</f>
        <v>2.5580734029206065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10.709474835163718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236.00000000000009</v>
      </c>
      <c r="EK173" s="17">
        <f>EJ173*VLOOKUP('Données projet'!$B$15,Paramètres!$A$1:$I$89,3,0)*VLOOKUP('Données projet'!$B$15,Paramètres!$A$1:$I$89,5,0)</f>
        <v>154.62720000000004</v>
      </c>
      <c r="EL173" s="13">
        <f t="shared" si="179"/>
        <v>39.62826685000794</v>
      </c>
      <c r="EM173" s="20">
        <f t="shared" si="180"/>
        <v>338.32827143043056</v>
      </c>
      <c r="EN173" s="59">
        <f t="shared" si="128"/>
        <v>631.66160476376388</v>
      </c>
      <c r="EO173" s="59">
        <f ca="1">AVERAGE(OFFSET($EN$3,0,0,'Données projet'!$E$15+1,1))-AVERAGE(OFFSET($H$3,0,0,'Données projet'!$E$15+1,1))</f>
        <v>183.30081488041924</v>
      </c>
      <c r="EP173" s="59">
        <f t="shared" si="154"/>
        <v>199.33099759570928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0.76502969307049118</v>
      </c>
      <c r="EW173" s="21">
        <f>EXP(-LN(2)/25)*EW172+(1-EXP(-LN(2)/25))/(LN(2)/25)*Calculateur!ER173*Calculateur!ET173*VLOOKUP('Données projet'!$B$15,Paramètres!$A$1:$I$89,3,0)*0.475*44/12</f>
        <v>1.5150483537682449</v>
      </c>
      <c r="EX173" s="21">
        <f>EXP(-LN(2)/2)*EX172+(1-EXP(-LN(2)/2))/(LN(2)/2)*ER173*EU173*VLOOKUP('Données projet'!$B$15,Paramètres!$A$1:$I$89,3,0)*0.475*44/12</f>
        <v>1.9493216218763888E-12</v>
      </c>
      <c r="EY173" s="22">
        <f t="shared" si="181"/>
        <v>2.2800780468406852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1.5961632016114892E-13</v>
      </c>
      <c r="P174" s="13">
        <f t="shared" si="141"/>
        <v>2.2708641912150958E-12</v>
      </c>
      <c r="Q174" s="20">
        <f t="shared" si="162"/>
        <v>4.2330868906469593E-12</v>
      </c>
      <c r="R174" s="59">
        <f t="shared" si="109"/>
        <v>293.33333333333752</v>
      </c>
      <c r="S174" s="59">
        <f ca="1">AVERAGE(OFFSET($R$3,0,0,'Données projet'!$E$9+1,1))-AVERAGE(OFFSET($H$3,0,0,'Données projet'!$E$9+1,1))</f>
        <v>205.73717397588365</v>
      </c>
      <c r="T174" s="59">
        <f t="shared" si="142"/>
        <v>190.64998698136026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47.416497935347621</v>
      </c>
      <c r="AA174" s="21">
        <f>EXP(-LN(2)/25)*AA173+(1-EXP(-LN(2)/25))/(LN(2)/25)*Calculateur!V174*Calculateur!X174*VLOOKUP('Données projet'!$B$9,Paramètres!$A$1:$I$89,3,0)*0.475*44/12</f>
        <v>7.0461982140985802</v>
      </c>
      <c r="AB174" s="21">
        <f>EXP(-LN(2)/2)*AB173+(1-EXP(-LN(2)/2))/(LN(2)/2)*V174*Y174*VLOOKUP('Données projet'!$B$9,Paramètres!$A$1:$I$89,3,0)*0.475*44/12</f>
        <v>2.5828649806967749E-9</v>
      </c>
      <c r="AC174" s="22">
        <f t="shared" si="163"/>
        <v>54.462696152029068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283.73369613548124</v>
      </c>
      <c r="AO174" s="59">
        <f t="shared" si="144"/>
        <v>249.77804091581208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-6.3550942286383367E-14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278.5296012747549</v>
      </c>
      <c r="BJ174" s="59">
        <f t="shared" si="146"/>
        <v>370.55343097937077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22.786093706376796</v>
      </c>
      <c r="BQ174" s="21">
        <f>EXP(-LN(2)/25)*BQ173+(1-EXP(-LN(2)/25))/(LN(2)/25)*Calculateur!BL174*Calculateur!BN174*VLOOKUP('Données projet'!$B$11,Paramètres!$A$1:$I$89,3,0)*0.475*44/12</f>
        <v>2.3104746533998068</v>
      </c>
      <c r="BR174" s="21">
        <f>EXP(-LN(2)/2)*BR173+(1-EXP(-LN(2)/2))/(LN(2)/2)*BL174*BO174*VLOOKUP('Données projet'!$B$11,Paramètres!$A$1:$I$89,3,0)*0.475*44/12</f>
        <v>1.1852083205182882E-16</v>
      </c>
      <c r="BS174" s="22">
        <f t="shared" si="169"/>
        <v>25.096568359776604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-3.1036506698001178E-14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159.92263609041913</v>
      </c>
      <c r="CE174" s="59">
        <f t="shared" si="148"/>
        <v>271.78119133009307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5.0373693283451093</v>
      </c>
      <c r="CL174" s="21">
        <f>EXP(-LN(2)/25)*CL173+(1-EXP(-LN(2)/25))/(LN(2)/25)*Calculateur!CG174*Calculateur!CI174*VLOOKUP('Données projet'!$B$12,Paramètres!$A$1:$I$89,3,0)*0.475*44/12</f>
        <v>3.9671102187946343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9.0044795471397432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5.6843418860808015E-13</v>
      </c>
      <c r="CU174" s="17">
        <f>CT174*VLOOKUP('Données projet'!$B$13,Paramètres!$A$1:$I$89,3,0)*VLOOKUP('Données projet'!$B$13,Paramètres!$A$1:$I$89,5,0)</f>
        <v>5.1431925385259092E-13</v>
      </c>
      <c r="CV174" s="13">
        <f t="shared" si="173"/>
        <v>6.3855359115685756E-12</v>
      </c>
      <c r="CW174" s="20">
        <f t="shared" si="174"/>
        <v>1.2017247746441865E-11</v>
      </c>
      <c r="CX174" s="59">
        <f t="shared" si="122"/>
        <v>293.33333333334531</v>
      </c>
      <c r="CY174" s="59">
        <f ca="1">AVERAGE(OFFSET($CX$3,0,0,'Données projet'!$E$13+1,1))-AVERAGE(OFFSET($H$3,0,0,'Données projet'!$E$13+1,1))</f>
        <v>280.25710840677186</v>
      </c>
      <c r="CZ174" s="59">
        <f t="shared" si="150"/>
        <v>209.65224013288037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77.432951789603237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77.432951789603237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243</v>
      </c>
      <c r="DP174" s="17">
        <f>DO174*VLOOKUP('Données projet'!$B$14,Paramètres!$A$1:$I$89,3,0)*VLOOKUP('Données projet'!$B$14,Paramètres!$A$1:$I$89,5,0)</f>
        <v>253.98360000000002</v>
      </c>
      <c r="DQ174" s="13">
        <f t="shared" si="176"/>
        <v>61.438182405444294</v>
      </c>
      <c r="DR174" s="20">
        <f t="shared" si="177"/>
        <v>549.35960435614891</v>
      </c>
      <c r="DS174" s="59">
        <f t="shared" si="125"/>
        <v>842.69293768948228</v>
      </c>
      <c r="DT174" s="59">
        <f ca="1">AVERAGE(OFFSET($DS$3,0,0,'Données projet'!$E$14+1,1))-AVERAGE(OFFSET($H$3,0,0,'Données projet'!$E$14+1,1))</f>
        <v>330.14201227773452</v>
      </c>
      <c r="DU174" s="59">
        <f t="shared" si="152"/>
        <v>307.07297894926467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7.9915574220207679</v>
      </c>
      <c r="EB174" s="21">
        <f>EXP(-LN(2)/25)*EB173+(1-EXP(-LN(2)/25))/(LN(2)/25)*Calculateur!DW174*Calculateur!DY174*VLOOKUP('Données projet'!$B$14,Paramètres!$A$1:$I$89,3,0)*0.475*44/12</f>
        <v>2.488122751194509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10.479680173215277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236.00000000000009</v>
      </c>
      <c r="EK174" s="17">
        <f>EJ174*VLOOKUP('Données projet'!$B$15,Paramètres!$A$1:$I$89,3,0)*VLOOKUP('Données projet'!$B$15,Paramètres!$A$1:$I$89,5,0)</f>
        <v>154.62720000000004</v>
      </c>
      <c r="EL174" s="13">
        <f t="shared" si="179"/>
        <v>39.62826685000794</v>
      </c>
      <c r="EM174" s="20">
        <f t="shared" si="180"/>
        <v>338.32827143043056</v>
      </c>
      <c r="EN174" s="59">
        <f t="shared" si="128"/>
        <v>631.66160476376388</v>
      </c>
      <c r="EO174" s="59">
        <f ca="1">AVERAGE(OFFSET($EN$3,0,0,'Données projet'!$E$15+1,1))-AVERAGE(OFFSET($H$3,0,0,'Données projet'!$E$15+1,1))</f>
        <v>183.30081488041924</v>
      </c>
      <c r="EP174" s="59">
        <f t="shared" si="154"/>
        <v>199.33099759570928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0.75002792741141655</v>
      </c>
      <c r="EW174" s="21">
        <f>EXP(-LN(2)/25)*EW173+(1-EXP(-LN(2)/25))/(LN(2)/25)*Calculateur!ER174*Calculateur!ET174*VLOOKUP('Données projet'!$B$15,Paramètres!$A$1:$I$89,3,0)*0.475*44/12</f>
        <v>1.4736192768615219</v>
      </c>
      <c r="EX174" s="21">
        <f>EXP(-LN(2)/2)*EX173+(1-EXP(-LN(2)/2))/(LN(2)/2)*ER174*EU174*VLOOKUP('Données projet'!$B$15,Paramètres!$A$1:$I$89,3,0)*0.475*44/12</f>
        <v>1.3783785375423536E-12</v>
      </c>
      <c r="EY174" s="22">
        <f t="shared" si="181"/>
        <v>2.2236472042743172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1.5961632016114892E-13</v>
      </c>
      <c r="P175" s="13">
        <f t="shared" si="141"/>
        <v>2.2708641912150958E-12</v>
      </c>
      <c r="Q175" s="20">
        <f t="shared" si="162"/>
        <v>4.2330868906469593E-12</v>
      </c>
      <c r="R175" s="59">
        <f t="shared" si="109"/>
        <v>293.33333333333752</v>
      </c>
      <c r="S175" s="59">
        <f ca="1">AVERAGE(OFFSET($R$3,0,0,'Données projet'!$E$9+1,1))-AVERAGE(OFFSET($H$3,0,0,'Données projet'!$E$9+1,1))</f>
        <v>205.73717397588365</v>
      </c>
      <c r="T175" s="59">
        <f t="shared" si="142"/>
        <v>190.64998698136026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46.486689332043461</v>
      </c>
      <c r="AA175" s="21">
        <f>EXP(-LN(2)/25)*AA174+(1-EXP(-LN(2)/25))/(LN(2)/25)*Calculateur!V175*Calculateur!X175*VLOOKUP('Données projet'!$B$9,Paramètres!$A$1:$I$89,3,0)*0.475*44/12</f>
        <v>6.853519553390595</v>
      </c>
      <c r="AB175" s="21">
        <f>EXP(-LN(2)/2)*AB174+(1-EXP(-LN(2)/2))/(LN(2)/2)*V175*Y175*VLOOKUP('Données projet'!$B$9,Paramètres!$A$1:$I$89,3,0)*0.475*44/12</f>
        <v>1.8263613427399508E-9</v>
      </c>
      <c r="AC175" s="22">
        <f t="shared" si="163"/>
        <v>53.340208887260424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283.73369613548124</v>
      </c>
      <c r="AO175" s="59">
        <f t="shared" si="144"/>
        <v>249.77804091581208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-6.3550942286383367E-14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278.5296012747549</v>
      </c>
      <c r="BJ175" s="59">
        <f t="shared" si="146"/>
        <v>370.55343097937077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22.339272306939581</v>
      </c>
      <c r="BQ175" s="21">
        <f>EXP(-LN(2)/25)*BQ174+(1-EXP(-LN(2)/25))/(LN(2)/25)*Calculateur!BL175*Calculateur!BN175*VLOOKUP('Données projet'!$B$11,Paramètres!$A$1:$I$89,3,0)*0.475*44/12</f>
        <v>2.2472946025000078</v>
      </c>
      <c r="BR175" s="21">
        <f>EXP(-LN(2)/2)*BR174+(1-EXP(-LN(2)/2))/(LN(2)/2)*BL175*BO175*VLOOKUP('Données projet'!$B$11,Paramètres!$A$1:$I$89,3,0)*0.475*44/12</f>
        <v>8.3806884055720067E-17</v>
      </c>
      <c r="BS175" s="22">
        <f t="shared" si="169"/>
        <v>24.58656690943959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-3.1036506698001178E-14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159.92263609041913</v>
      </c>
      <c r="CE175" s="59">
        <f t="shared" si="148"/>
        <v>271.78119133009307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4.9385895883081687</v>
      </c>
      <c r="CL175" s="21">
        <f>EXP(-LN(2)/25)*CL174+(1-EXP(-LN(2)/25))/(LN(2)/25)*Calculateur!CG175*Calculateur!CI175*VLOOKUP('Données projet'!$B$12,Paramètres!$A$1:$I$89,3,0)*0.475*44/12</f>
        <v>3.8586293812404358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8.7972189695486041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5.6843418860808015E-13</v>
      </c>
      <c r="CU175" s="17">
        <f>CT175*VLOOKUP('Données projet'!$B$13,Paramètres!$A$1:$I$89,3,0)*VLOOKUP('Données projet'!$B$13,Paramètres!$A$1:$I$89,5,0)</f>
        <v>5.1431925385259092E-13</v>
      </c>
      <c r="CV175" s="13">
        <f t="shared" si="173"/>
        <v>6.3855359115685756E-12</v>
      </c>
      <c r="CW175" s="20">
        <f t="shared" si="174"/>
        <v>1.2017247746441865E-11</v>
      </c>
      <c r="CX175" s="59">
        <f t="shared" si="122"/>
        <v>293.33333333334531</v>
      </c>
      <c r="CY175" s="59">
        <f ca="1">AVERAGE(OFFSET($CX$3,0,0,'Données projet'!$E$13+1,1))-AVERAGE(OFFSET($H$3,0,0,'Données projet'!$E$13+1,1))</f>
        <v>280.25710840677186</v>
      </c>
      <c r="CZ175" s="59">
        <f t="shared" si="150"/>
        <v>209.65224013288037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75.914538834446191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75.914538834446191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243</v>
      </c>
      <c r="DP175" s="17">
        <f>DO175*VLOOKUP('Données projet'!$B$14,Paramètres!$A$1:$I$89,3,0)*VLOOKUP('Données projet'!$B$14,Paramètres!$A$1:$I$89,5,0)</f>
        <v>253.98360000000002</v>
      </c>
      <c r="DQ175" s="13">
        <f t="shared" si="176"/>
        <v>61.438182405444294</v>
      </c>
      <c r="DR175" s="20">
        <f t="shared" si="177"/>
        <v>549.35960435614891</v>
      </c>
      <c r="DS175" s="59">
        <f t="shared" si="125"/>
        <v>842.69293768948228</v>
      </c>
      <c r="DT175" s="59">
        <f ca="1">AVERAGE(OFFSET($DS$3,0,0,'Données projet'!$E$14+1,1))-AVERAGE(OFFSET($H$3,0,0,'Données projet'!$E$14+1,1))</f>
        <v>330.14201227773452</v>
      </c>
      <c r="DU175" s="59">
        <f t="shared" si="152"/>
        <v>307.07297894926467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7.8348478553436642</v>
      </c>
      <c r="EB175" s="21">
        <f>EXP(-LN(2)/25)*EB174+(1-EXP(-LN(2)/25))/(LN(2)/25)*Calculateur!DW175*Calculateur!DY175*VLOOKUP('Données projet'!$B$14,Paramètres!$A$1:$I$89,3,0)*0.475*44/12</f>
        <v>2.4200849037184065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10.25493275906207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236.00000000000009</v>
      </c>
      <c r="EK175" s="17">
        <f>EJ175*VLOOKUP('Données projet'!$B$15,Paramètres!$A$1:$I$89,3,0)*VLOOKUP('Données projet'!$B$15,Paramètres!$A$1:$I$89,5,0)</f>
        <v>154.62720000000004</v>
      </c>
      <c r="EL175" s="13">
        <f t="shared" si="179"/>
        <v>39.62826685000794</v>
      </c>
      <c r="EM175" s="20">
        <f t="shared" si="180"/>
        <v>338.32827143043056</v>
      </c>
      <c r="EN175" s="59">
        <f t="shared" si="128"/>
        <v>631.66160476376388</v>
      </c>
      <c r="EO175" s="59">
        <f ca="1">AVERAGE(OFFSET($EN$3,0,0,'Données projet'!$E$15+1,1))-AVERAGE(OFFSET($H$3,0,0,'Données projet'!$E$15+1,1))</f>
        <v>183.30081488041924</v>
      </c>
      <c r="EP175" s="59">
        <f t="shared" si="154"/>
        <v>199.33099759570928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0.73532033722674284</v>
      </c>
      <c r="EW175" s="21">
        <f>EXP(-LN(2)/25)*EW174+(1-EXP(-LN(2)/25))/(LN(2)/25)*Calculateur!ER175*Calculateur!ET175*VLOOKUP('Données projet'!$B$15,Paramètres!$A$1:$I$89,3,0)*0.475*44/12</f>
        <v>1.4333230802414738</v>
      </c>
      <c r="EX175" s="21">
        <f>EXP(-LN(2)/2)*EX174+(1-EXP(-LN(2)/2))/(LN(2)/2)*ER175*EU175*VLOOKUP('Données projet'!$B$15,Paramètres!$A$1:$I$89,3,0)*0.475*44/12</f>
        <v>9.7466081093819442E-13</v>
      </c>
      <c r="EY175" s="22">
        <f t="shared" si="181"/>
        <v>2.1686434174691915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1.5961632016114892E-13</v>
      </c>
      <c r="P176" s="13">
        <f t="shared" si="141"/>
        <v>2.2708641912150958E-12</v>
      </c>
      <c r="Q176" s="20">
        <f t="shared" si="162"/>
        <v>4.2330868906469593E-12</v>
      </c>
      <c r="R176" s="59">
        <f t="shared" si="109"/>
        <v>293.33333333333752</v>
      </c>
      <c r="S176" s="59">
        <f ca="1">AVERAGE(OFFSET($R$3,0,0,'Données projet'!$E$9+1,1))-AVERAGE(OFFSET($H$3,0,0,'Données projet'!$E$9+1,1))</f>
        <v>205.73717397588365</v>
      </c>
      <c r="T176" s="59">
        <f t="shared" si="142"/>
        <v>190.64998698136026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45.575113708322846</v>
      </c>
      <c r="AA176" s="21">
        <f>EXP(-LN(2)/25)*AA175+(1-EXP(-LN(2)/25))/(LN(2)/25)*Calculateur!V176*Calculateur!X176*VLOOKUP('Données projet'!$B$9,Paramètres!$A$1:$I$89,3,0)*0.475*44/12</f>
        <v>6.6661097007921999</v>
      </c>
      <c r="AB176" s="21">
        <f>EXP(-LN(2)/2)*AB175+(1-EXP(-LN(2)/2))/(LN(2)/2)*V176*Y176*VLOOKUP('Données projet'!$B$9,Paramètres!$A$1:$I$89,3,0)*0.475*44/12</f>
        <v>1.2914324903483877E-9</v>
      </c>
      <c r="AC176" s="22">
        <f t="shared" si="163"/>
        <v>52.241223410406477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283.73369613548124</v>
      </c>
      <c r="AO176" s="59">
        <f t="shared" si="144"/>
        <v>249.77804091581208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-6.3550942286383367E-14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278.5296012747549</v>
      </c>
      <c r="BJ176" s="59">
        <f t="shared" si="146"/>
        <v>370.55343097937077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21.901212802611184</v>
      </c>
      <c r="BQ176" s="21">
        <f>EXP(-LN(2)/25)*BQ175+(1-EXP(-LN(2)/25))/(LN(2)/25)*Calculateur!BL176*Calculateur!BN176*VLOOKUP('Données projet'!$B$11,Paramètres!$A$1:$I$89,3,0)*0.475*44/12</f>
        <v>2.1858422134145581</v>
      </c>
      <c r="BR176" s="21">
        <f>EXP(-LN(2)/2)*BR175+(1-EXP(-LN(2)/2))/(LN(2)/2)*BL176*BO176*VLOOKUP('Données projet'!$B$11,Paramètres!$A$1:$I$89,3,0)*0.475*44/12</f>
        <v>5.9260416025914408E-17</v>
      </c>
      <c r="BS176" s="22">
        <f t="shared" si="169"/>
        <v>24.087055016025744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-3.1036506698001178E-14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159.92263609041913</v>
      </c>
      <c r="CE176" s="59">
        <f t="shared" si="148"/>
        <v>271.78119133009307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4.8417468587236598</v>
      </c>
      <c r="CL176" s="21">
        <f>EXP(-LN(2)/25)*CL175+(1-EXP(-LN(2)/25))/(LN(2)/25)*Calculateur!CG176*Calculateur!CI176*VLOOKUP('Données projet'!$B$12,Paramètres!$A$1:$I$89,3,0)*0.475*44/12</f>
        <v>3.7531149578939158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8.5948618166175752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5.6843418860808015E-13</v>
      </c>
      <c r="CU176" s="17">
        <f>CT176*VLOOKUP('Données projet'!$B$13,Paramètres!$A$1:$I$89,3,0)*VLOOKUP('Données projet'!$B$13,Paramètres!$A$1:$I$89,5,0)</f>
        <v>5.1431925385259092E-13</v>
      </c>
      <c r="CV176" s="13">
        <f t="shared" si="173"/>
        <v>6.3855359115685756E-12</v>
      </c>
      <c r="CW176" s="20">
        <f t="shared" si="174"/>
        <v>1.2017247746441865E-11</v>
      </c>
      <c r="CX176" s="59">
        <f t="shared" si="122"/>
        <v>293.33333333334531</v>
      </c>
      <c r="CY176" s="59">
        <f ca="1">AVERAGE(OFFSET($CX$3,0,0,'Données projet'!$E$13+1,1))-AVERAGE(OFFSET($H$3,0,0,'Données projet'!$E$13+1,1))</f>
        <v>280.25710840677186</v>
      </c>
      <c r="CZ176" s="59">
        <f t="shared" si="150"/>
        <v>209.65224013288037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74.425901031199317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74.425901031199317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243</v>
      </c>
      <c r="DP176" s="17">
        <f>DO176*VLOOKUP('Données projet'!$B$14,Paramètres!$A$1:$I$89,3,0)*VLOOKUP('Données projet'!$B$14,Paramètres!$A$1:$I$89,5,0)</f>
        <v>253.98360000000002</v>
      </c>
      <c r="DQ176" s="13">
        <f t="shared" si="176"/>
        <v>61.438182405444294</v>
      </c>
      <c r="DR176" s="20">
        <f t="shared" si="177"/>
        <v>549.35960435614891</v>
      </c>
      <c r="DS176" s="59">
        <f t="shared" si="125"/>
        <v>842.69293768948228</v>
      </c>
      <c r="DT176" s="59">
        <f ca="1">AVERAGE(OFFSET($DS$3,0,0,'Données projet'!$E$14+1,1))-AVERAGE(OFFSET($H$3,0,0,'Données projet'!$E$14+1,1))</f>
        <v>330.14201227773452</v>
      </c>
      <c r="DU176" s="59">
        <f t="shared" si="152"/>
        <v>307.07297894926467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7.6812112676857005</v>
      </c>
      <c r="EB176" s="21">
        <f>EXP(-LN(2)/25)*EB175+(1-EXP(-LN(2)/25))/(LN(2)/25)*Calculateur!DW176*Calculateur!DY176*VLOOKUP('Données projet'!$B$14,Paramètres!$A$1:$I$89,3,0)*0.475*44/12</f>
        <v>2.3539075547594925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10.035118822445193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236.00000000000009</v>
      </c>
      <c r="EK176" s="17">
        <f>EJ176*VLOOKUP('Données projet'!$B$15,Paramètres!$A$1:$I$89,3,0)*VLOOKUP('Données projet'!$B$15,Paramètres!$A$1:$I$89,5,0)</f>
        <v>154.62720000000004</v>
      </c>
      <c r="EL176" s="13">
        <f t="shared" si="179"/>
        <v>39.62826685000794</v>
      </c>
      <c r="EM176" s="20">
        <f t="shared" si="180"/>
        <v>338.32827143043056</v>
      </c>
      <c r="EN176" s="59">
        <f t="shared" si="128"/>
        <v>631.66160476376388</v>
      </c>
      <c r="EO176" s="59">
        <f ca="1">AVERAGE(OFFSET($EN$3,0,0,'Données projet'!$E$15+1,1))-AVERAGE(OFFSET($H$3,0,0,'Données projet'!$E$15+1,1))</f>
        <v>183.30081488041924</v>
      </c>
      <c r="EP176" s="59">
        <f t="shared" si="154"/>
        <v>199.33099759570928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0.72090115391484633</v>
      </c>
      <c r="EW176" s="21">
        <f>EXP(-LN(2)/25)*EW175+(1-EXP(-LN(2)/25))/(LN(2)/25)*Calculateur!ER176*Calculateur!ET176*VLOOKUP('Données projet'!$B$15,Paramètres!$A$1:$I$89,3,0)*0.475*44/12</f>
        <v>1.3941287852370858</v>
      </c>
      <c r="EX176" s="21">
        <f>EXP(-LN(2)/2)*EX175+(1-EXP(-LN(2)/2))/(LN(2)/2)*ER176*EU176*VLOOKUP('Données projet'!$B$15,Paramètres!$A$1:$I$89,3,0)*0.475*44/12</f>
        <v>6.8918926877117681E-13</v>
      </c>
      <c r="EY176" s="22">
        <f t="shared" si="181"/>
        <v>2.1150299391526213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1.5961632016114892E-13</v>
      </c>
      <c r="P177" s="13">
        <f t="shared" si="141"/>
        <v>2.2708641912150958E-12</v>
      </c>
      <c r="Q177" s="20">
        <f t="shared" si="162"/>
        <v>4.2330868906469593E-12</v>
      </c>
      <c r="R177" s="59">
        <f t="shared" si="109"/>
        <v>293.33333333333752</v>
      </c>
      <c r="S177" s="59">
        <f ca="1">AVERAGE(OFFSET($R$3,0,0,'Données projet'!$E$9+1,1))-AVERAGE(OFFSET($H$3,0,0,'Données projet'!$E$9+1,1))</f>
        <v>205.73717397588365</v>
      </c>
      <c r="T177" s="59">
        <f t="shared" si="142"/>
        <v>190.64998698136026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44.681413526577167</v>
      </c>
      <c r="AA177" s="21">
        <f>EXP(-LN(2)/25)*AA176+(1-EXP(-LN(2)/25))/(LN(2)/25)*Calculateur!V177*Calculateur!X177*VLOOKUP('Données projet'!$B$9,Paramètres!$A$1:$I$89,3,0)*0.475*44/12</f>
        <v>6.4838245804685632</v>
      </c>
      <c r="AB177" s="21">
        <f>EXP(-LN(2)/2)*AB176+(1-EXP(-LN(2)/2))/(LN(2)/2)*V177*Y177*VLOOKUP('Données projet'!$B$9,Paramètres!$A$1:$I$89,3,0)*0.475*44/12</f>
        <v>9.1318067136997553E-10</v>
      </c>
      <c r="AC177" s="22">
        <f t="shared" si="163"/>
        <v>51.165238107958913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283.73369613548124</v>
      </c>
      <c r="AO177" s="59">
        <f t="shared" si="144"/>
        <v>249.77804091581208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-6.3550942286383367E-14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278.5296012747549</v>
      </c>
      <c r="BJ177" s="59">
        <f t="shared" si="146"/>
        <v>370.55343097937077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21.471743377972754</v>
      </c>
      <c r="BQ177" s="21">
        <f>EXP(-LN(2)/25)*BQ176+(1-EXP(-LN(2)/25))/(LN(2)/25)*Calculateur!BL177*Calculateur!BN177*VLOOKUP('Données projet'!$B$11,Paramètres!$A$1:$I$89,3,0)*0.475*44/12</f>
        <v>2.1260702431402909</v>
      </c>
      <c r="BR177" s="21">
        <f>EXP(-LN(2)/2)*BR176+(1-EXP(-LN(2)/2))/(LN(2)/2)*BL177*BO177*VLOOKUP('Données projet'!$B$11,Paramètres!$A$1:$I$89,3,0)*0.475*44/12</f>
        <v>4.1903442027860034E-17</v>
      </c>
      <c r="BS177" s="22">
        <f t="shared" si="169"/>
        <v>23.597813621113044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-3.1036506698001178E-14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159.92263609041913</v>
      </c>
      <c r="CE177" s="59">
        <f t="shared" si="148"/>
        <v>271.78119133009307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4.7468031559980712</v>
      </c>
      <c r="CL177" s="21">
        <f>EXP(-LN(2)/25)*CL176+(1-EXP(-LN(2)/25))/(LN(2)/25)*Calculateur!CG177*Calculateur!CI177*VLOOKUP('Données projet'!$B$12,Paramètres!$A$1:$I$89,3,0)*0.475*44/12</f>
        <v>3.6504858320025688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8.3972889880006392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5.6843418860808015E-13</v>
      </c>
      <c r="CU177" s="17">
        <f>CT177*VLOOKUP('Données projet'!$B$13,Paramètres!$A$1:$I$89,3,0)*VLOOKUP('Données projet'!$B$13,Paramètres!$A$1:$I$89,5,0)</f>
        <v>5.1431925385259092E-13</v>
      </c>
      <c r="CV177" s="13">
        <f t="shared" si="173"/>
        <v>6.3855359115685756E-12</v>
      </c>
      <c r="CW177" s="20">
        <f t="shared" si="174"/>
        <v>1.2017247746441865E-11</v>
      </c>
      <c r="CX177" s="59">
        <f t="shared" si="122"/>
        <v>293.33333333334531</v>
      </c>
      <c r="CY177" s="59">
        <f ca="1">AVERAGE(OFFSET($CX$3,0,0,'Données projet'!$E$13+1,1))-AVERAGE(OFFSET($H$3,0,0,'Données projet'!$E$13+1,1))</f>
        <v>280.25710840677186</v>
      </c>
      <c r="CZ177" s="59">
        <f t="shared" si="150"/>
        <v>209.65224013288037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72.966454507294713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72.966454507294713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243</v>
      </c>
      <c r="DP177" s="17">
        <f>DO177*VLOOKUP('Données projet'!$B$14,Paramètres!$A$1:$I$89,3,0)*VLOOKUP('Données projet'!$B$14,Paramètres!$A$1:$I$89,5,0)</f>
        <v>253.98360000000002</v>
      </c>
      <c r="DQ177" s="13">
        <f t="shared" si="176"/>
        <v>61.438182405444294</v>
      </c>
      <c r="DR177" s="20">
        <f t="shared" si="177"/>
        <v>549.35960435614891</v>
      </c>
      <c r="DS177" s="59">
        <f t="shared" si="125"/>
        <v>842.69293768948228</v>
      </c>
      <c r="DT177" s="59">
        <f ca="1">AVERAGE(OFFSET($DS$3,0,0,'Données projet'!$E$14+1,1))-AVERAGE(OFFSET($H$3,0,0,'Données projet'!$E$14+1,1))</f>
        <v>330.14201227773452</v>
      </c>
      <c r="DU177" s="59">
        <f t="shared" si="152"/>
        <v>307.07297894926467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7.530587399802644</v>
      </c>
      <c r="EB177" s="21">
        <f>EXP(-LN(2)/25)*EB176+(1-EXP(-LN(2)/25))/(LN(2)/25)*Calculateur!DW177*Calculateur!DY177*VLOOKUP('Données projet'!$B$14,Paramètres!$A$1:$I$89,3,0)*0.475*44/12</f>
        <v>2.289539828887976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9.8201272286906196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236.00000000000009</v>
      </c>
      <c r="EK177" s="17">
        <f>EJ177*VLOOKUP('Données projet'!$B$15,Paramètres!$A$1:$I$89,3,0)*VLOOKUP('Données projet'!$B$15,Paramètres!$A$1:$I$89,5,0)</f>
        <v>154.62720000000004</v>
      </c>
      <c r="EL177" s="13">
        <f t="shared" si="179"/>
        <v>39.62826685000794</v>
      </c>
      <c r="EM177" s="20">
        <f t="shared" si="180"/>
        <v>338.32827143043056</v>
      </c>
      <c r="EN177" s="59">
        <f t="shared" si="128"/>
        <v>631.66160476376388</v>
      </c>
      <c r="EO177" s="59">
        <f ca="1">AVERAGE(OFFSET($EN$3,0,0,'Données projet'!$E$15+1,1))-AVERAGE(OFFSET($H$3,0,0,'Données projet'!$E$15+1,1))</f>
        <v>183.30081488041924</v>
      </c>
      <c r="EP177" s="59">
        <f t="shared" si="154"/>
        <v>199.33099759570928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0.70676472199286267</v>
      </c>
      <c r="EW177" s="21">
        <f>EXP(-LN(2)/25)*EW176+(1-EXP(-LN(2)/25))/(LN(2)/25)*Calculateur!ER177*Calculateur!ET177*VLOOKUP('Données projet'!$B$15,Paramètres!$A$1:$I$89,3,0)*0.475*44/12</f>
        <v>1.3560062602907312</v>
      </c>
      <c r="EX177" s="21">
        <f>EXP(-LN(2)/2)*EX176+(1-EXP(-LN(2)/2))/(LN(2)/2)*ER177*EU177*VLOOKUP('Données projet'!$B$15,Paramètres!$A$1:$I$89,3,0)*0.475*44/12</f>
        <v>4.8733040546909721E-13</v>
      </c>
      <c r="EY177" s="22">
        <f t="shared" si="181"/>
        <v>2.0627709822840812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1.5961632016114892E-13</v>
      </c>
      <c r="P178" s="13">
        <f t="shared" si="141"/>
        <v>2.2708641912150958E-12</v>
      </c>
      <c r="Q178" s="20">
        <f t="shared" si="162"/>
        <v>4.2330868906469593E-12</v>
      </c>
      <c r="R178" s="59">
        <f t="shared" si="109"/>
        <v>293.33333333333752</v>
      </c>
      <c r="S178" s="59">
        <f ca="1">AVERAGE(OFFSET($R$3,0,0,'Données projet'!$E$9+1,1))-AVERAGE(OFFSET($H$3,0,0,'Données projet'!$E$9+1,1))</f>
        <v>205.73717397588365</v>
      </c>
      <c r="T178" s="59">
        <f t="shared" si="142"/>
        <v>190.64998698136026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43.805238260292235</v>
      </c>
      <c r="AA178" s="21">
        <f>EXP(-LN(2)/25)*AA177+(1-EXP(-LN(2)/25))/(LN(2)/25)*Calculateur!V178*Calculateur!X178*VLOOKUP('Données projet'!$B$9,Paramètres!$A$1:$I$89,3,0)*0.475*44/12</f>
        <v>6.3065240563461344</v>
      </c>
      <c r="AB178" s="21">
        <f>EXP(-LN(2)/2)*AB177+(1-EXP(-LN(2)/2))/(LN(2)/2)*V178*Y178*VLOOKUP('Données projet'!$B$9,Paramètres!$A$1:$I$89,3,0)*0.475*44/12</f>
        <v>6.4571624517419394E-10</v>
      </c>
      <c r="AC178" s="22">
        <f t="shared" si="163"/>
        <v>50.111762317284082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283.73369613548124</v>
      </c>
      <c r="AO178" s="59">
        <f t="shared" si="144"/>
        <v>249.77804091581208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-6.3550942286383367E-14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278.5296012747549</v>
      </c>
      <c r="BJ178" s="59">
        <f t="shared" si="146"/>
        <v>370.55343097937077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21.050695586800998</v>
      </c>
      <c r="BQ178" s="21">
        <f>EXP(-LN(2)/25)*BQ177+(1-EXP(-LN(2)/25))/(LN(2)/25)*Calculateur!BL178*Calculateur!BN178*VLOOKUP('Données projet'!$B$11,Paramètres!$A$1:$I$89,3,0)*0.475*44/12</f>
        <v>2.0679327405364449</v>
      </c>
      <c r="BR178" s="21">
        <f>EXP(-LN(2)/2)*BR177+(1-EXP(-LN(2)/2))/(LN(2)/2)*BL178*BO178*VLOOKUP('Données projet'!$B$11,Paramètres!$A$1:$I$89,3,0)*0.475*44/12</f>
        <v>2.9630208012957204E-17</v>
      </c>
      <c r="BS178" s="22">
        <f t="shared" si="169"/>
        <v>23.118628327337444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-3.1036506698001178E-14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159.92263609041913</v>
      </c>
      <c r="CE178" s="59">
        <f t="shared" si="148"/>
        <v>271.78119133009307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4.6537212413729909</v>
      </c>
      <c r="CL178" s="21">
        <f>EXP(-LN(2)/25)*CL177+(1-EXP(-LN(2)/25))/(LN(2)/25)*Calculateur!CG178*Calculateur!CI178*VLOOKUP('Données projet'!$B$12,Paramètres!$A$1:$I$89,3,0)*0.475*44/12</f>
        <v>3.5506631049557518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8.2043843463287427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5.6843418860808015E-13</v>
      </c>
      <c r="CU178" s="17">
        <f>CT178*VLOOKUP('Données projet'!$B$13,Paramètres!$A$1:$I$89,3,0)*VLOOKUP('Données projet'!$B$13,Paramètres!$A$1:$I$89,5,0)</f>
        <v>5.1431925385259092E-13</v>
      </c>
      <c r="CV178" s="13">
        <f t="shared" si="173"/>
        <v>6.3855359115685756E-12</v>
      </c>
      <c r="CW178" s="20">
        <f t="shared" si="174"/>
        <v>1.2017247746441865E-11</v>
      </c>
      <c r="CX178" s="59">
        <f t="shared" si="122"/>
        <v>293.33333333334531</v>
      </c>
      <c r="CY178" s="59">
        <f ca="1">AVERAGE(OFFSET($CX$3,0,0,'Données projet'!$E$13+1,1))-AVERAGE(OFFSET($H$3,0,0,'Données projet'!$E$13+1,1))</f>
        <v>280.25710840677186</v>
      </c>
      <c r="CZ178" s="59">
        <f t="shared" si="150"/>
        <v>209.65224013288037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71.535626839549394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71.535626839549394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243</v>
      </c>
      <c r="DP178" s="17">
        <f>DO178*VLOOKUP('Données projet'!$B$14,Paramètres!$A$1:$I$89,3,0)*VLOOKUP('Données projet'!$B$14,Paramètres!$A$1:$I$89,5,0)</f>
        <v>253.98360000000002</v>
      </c>
      <c r="DQ178" s="13">
        <f t="shared" si="176"/>
        <v>61.438182405444294</v>
      </c>
      <c r="DR178" s="20">
        <f t="shared" si="177"/>
        <v>549.35960435614891</v>
      </c>
      <c r="DS178" s="59">
        <f t="shared" si="125"/>
        <v>842.69293768948228</v>
      </c>
      <c r="DT178" s="59">
        <f ca="1">AVERAGE(OFFSET($DS$3,0,0,'Données projet'!$E$14+1,1))-AVERAGE(OFFSET($H$3,0,0,'Données projet'!$E$14+1,1))</f>
        <v>330.14201227773452</v>
      </c>
      <c r="DU178" s="59">
        <f t="shared" si="152"/>
        <v>307.07297894926467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7.3829171740972868</v>
      </c>
      <c r="EB178" s="21">
        <f>EXP(-LN(2)/25)*EB177+(1-EXP(-LN(2)/25))/(LN(2)/25)*Calculateur!DW178*Calculateur!DY178*VLOOKUP('Données projet'!$B$14,Paramètres!$A$1:$I$89,3,0)*0.475*44/12</f>
        <v>2.2269322418653674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9.6098494159626533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236.00000000000009</v>
      </c>
      <c r="EK178" s="17">
        <f>EJ178*VLOOKUP('Données projet'!$B$15,Paramètres!$A$1:$I$89,3,0)*VLOOKUP('Données projet'!$B$15,Paramètres!$A$1:$I$89,5,0)</f>
        <v>154.62720000000004</v>
      </c>
      <c r="EL178" s="13">
        <f t="shared" si="179"/>
        <v>39.62826685000794</v>
      </c>
      <c r="EM178" s="20">
        <f t="shared" si="180"/>
        <v>338.32827143043056</v>
      </c>
      <c r="EN178" s="59">
        <f t="shared" si="128"/>
        <v>631.66160476376388</v>
      </c>
      <c r="EO178" s="59">
        <f ca="1">AVERAGE(OFFSET($EN$3,0,0,'Données projet'!$E$15+1,1))-AVERAGE(OFFSET($H$3,0,0,'Données projet'!$E$15+1,1))</f>
        <v>183.30081488041924</v>
      </c>
      <c r="EP178" s="59">
        <f t="shared" si="154"/>
        <v>199.33099759570928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0.69290549687849701</v>
      </c>
      <c r="EW178" s="21">
        <f>EXP(-LN(2)/25)*EW177+(1-EXP(-LN(2)/25))/(LN(2)/25)*Calculateur!ER178*Calculateur!ET178*VLOOKUP('Données projet'!$B$15,Paramètres!$A$1:$I$89,3,0)*0.475*44/12</f>
        <v>1.3189261977938112</v>
      </c>
      <c r="EX178" s="21">
        <f>EXP(-LN(2)/2)*EX177+(1-EXP(-LN(2)/2))/(LN(2)/2)*ER178*EU178*VLOOKUP('Données projet'!$B$15,Paramètres!$A$1:$I$89,3,0)*0.475*44/12</f>
        <v>3.445946343855884E-13</v>
      </c>
      <c r="EY178" s="22">
        <f t="shared" si="181"/>
        <v>2.0118316946726527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1.5961632016114892E-13</v>
      </c>
      <c r="P179" s="13">
        <f t="shared" si="141"/>
        <v>2.2708641912150958E-12</v>
      </c>
      <c r="Q179" s="20">
        <f t="shared" si="162"/>
        <v>4.2330868906469593E-12</v>
      </c>
      <c r="R179" s="59">
        <f t="shared" si="109"/>
        <v>293.33333333333752</v>
      </c>
      <c r="S179" s="59">
        <f ca="1">AVERAGE(OFFSET($R$3,0,0,'Données projet'!$E$9+1,1))-AVERAGE(OFFSET($H$3,0,0,'Données projet'!$E$9+1,1))</f>
        <v>205.73717397588365</v>
      </c>
      <c r="T179" s="59">
        <f t="shared" si="142"/>
        <v>190.64998698136026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42.946244256565002</v>
      </c>
      <c r="AA179" s="21">
        <f>EXP(-LN(2)/25)*AA178+(1-EXP(-LN(2)/25))/(LN(2)/25)*Calculateur!V179*Calculateur!X179*VLOOKUP('Données projet'!$B$9,Paramètres!$A$1:$I$89,3,0)*0.475*44/12</f>
        <v>6.1340718243796628</v>
      </c>
      <c r="AB179" s="21">
        <f>EXP(-LN(2)/2)*AB178+(1-EXP(-LN(2)/2))/(LN(2)/2)*V179*Y179*VLOOKUP('Données projet'!$B$9,Paramètres!$A$1:$I$89,3,0)*0.475*44/12</f>
        <v>4.5659033568498787E-10</v>
      </c>
      <c r="AC179" s="22">
        <f t="shared" si="163"/>
        <v>49.08031608140125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283.73369613548124</v>
      </c>
      <c r="AO179" s="59">
        <f t="shared" si="144"/>
        <v>249.77804091581208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-6.3550942286383367E-14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278.5296012747549</v>
      </c>
      <c r="BJ179" s="59">
        <f t="shared" si="146"/>
        <v>370.55343097937077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20.637904286000328</v>
      </c>
      <c r="BQ179" s="21">
        <f>EXP(-LN(2)/25)*BQ178+(1-EXP(-LN(2)/25))/(LN(2)/25)*Calculateur!BL179*Calculateur!BN179*VLOOKUP('Données projet'!$B$11,Paramètres!$A$1:$I$89,3,0)*0.475*44/12</f>
        <v>2.0113850109986195</v>
      </c>
      <c r="BR179" s="21">
        <f>EXP(-LN(2)/2)*BR178+(1-EXP(-LN(2)/2))/(LN(2)/2)*BL179*BO179*VLOOKUP('Données projet'!$B$11,Paramètres!$A$1:$I$89,3,0)*0.475*44/12</f>
        <v>2.0951721013930017E-17</v>
      </c>
      <c r="BS179" s="22">
        <f t="shared" si="169"/>
        <v>22.649289296998948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-3.1036506698001178E-14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159.92263609041913</v>
      </c>
      <c r="CE179" s="59">
        <f t="shared" si="148"/>
        <v>271.78119133009307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4.5624646063193461</v>
      </c>
      <c r="CL179" s="21">
        <f>EXP(-LN(2)/25)*CL178+(1-EXP(-LN(2)/25))/(LN(2)/25)*Calculateur!CG179*Calculateur!CI179*VLOOKUP('Données projet'!$B$12,Paramètres!$A$1:$I$89,3,0)*0.475*44/12</f>
        <v>3.4535700356294794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8.016034641948826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5.6843418860808015E-13</v>
      </c>
      <c r="CU179" s="17">
        <f>CT179*VLOOKUP('Données projet'!$B$13,Paramètres!$A$1:$I$89,3,0)*VLOOKUP('Données projet'!$B$13,Paramètres!$A$1:$I$89,5,0)</f>
        <v>5.1431925385259092E-13</v>
      </c>
      <c r="CV179" s="13">
        <f t="shared" si="173"/>
        <v>6.3855359115685756E-12</v>
      </c>
      <c r="CW179" s="20">
        <f t="shared" si="174"/>
        <v>1.2017247746441865E-11</v>
      </c>
      <c r="CX179" s="59">
        <f t="shared" si="122"/>
        <v>293.33333333334531</v>
      </c>
      <c r="CY179" s="59">
        <f ca="1">AVERAGE(OFFSET($CX$3,0,0,'Données projet'!$E$13+1,1))-AVERAGE(OFFSET($H$3,0,0,'Données projet'!$E$13+1,1))</f>
        <v>280.25710840677186</v>
      </c>
      <c r="CZ179" s="59">
        <f t="shared" si="150"/>
        <v>209.65224013288037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70.132856829649853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70.132856829649853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243</v>
      </c>
      <c r="DP179" s="17">
        <f>DO179*VLOOKUP('Données projet'!$B$14,Paramètres!$A$1:$I$89,3,0)*VLOOKUP('Données projet'!$B$14,Paramètres!$A$1:$I$89,5,0)</f>
        <v>253.98360000000002</v>
      </c>
      <c r="DQ179" s="13">
        <f t="shared" si="176"/>
        <v>61.438182405444294</v>
      </c>
      <c r="DR179" s="20">
        <f t="shared" si="177"/>
        <v>549.35960435614891</v>
      </c>
      <c r="DS179" s="59">
        <f t="shared" si="125"/>
        <v>842.69293768948228</v>
      </c>
      <c r="DT179" s="59">
        <f ca="1">AVERAGE(OFFSET($DS$3,0,0,'Données projet'!$E$14+1,1))-AVERAGE(OFFSET($H$3,0,0,'Données projet'!$E$14+1,1))</f>
        <v>330.14201227773452</v>
      </c>
      <c r="DU179" s="59">
        <f t="shared" si="152"/>
        <v>307.07297894926467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7.2381426714480677</v>
      </c>
      <c r="EB179" s="21">
        <f>EXP(-LN(2)/25)*EB178+(1-EXP(-LN(2)/25))/(LN(2)/25)*Calculateur!DW179*Calculateur!DY179*VLOOKUP('Données projet'!$B$14,Paramètres!$A$1:$I$89,3,0)*0.475*44/12</f>
        <v>2.166036662602282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9.4041793340503492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236.00000000000009</v>
      </c>
      <c r="EK179" s="17">
        <f>EJ179*VLOOKUP('Données projet'!$B$15,Paramètres!$A$1:$I$89,3,0)*VLOOKUP('Données projet'!$B$15,Paramètres!$A$1:$I$89,5,0)</f>
        <v>154.62720000000004</v>
      </c>
      <c r="EL179" s="13">
        <f t="shared" si="179"/>
        <v>39.62826685000794</v>
      </c>
      <c r="EM179" s="20">
        <f t="shared" si="180"/>
        <v>338.32827143043056</v>
      </c>
      <c r="EN179" s="59">
        <f t="shared" si="128"/>
        <v>631.66160476376388</v>
      </c>
      <c r="EO179" s="59">
        <f ca="1">AVERAGE(OFFSET($EN$3,0,0,'Données projet'!$E$15+1,1))-AVERAGE(OFFSET($H$3,0,0,'Données projet'!$E$15+1,1))</f>
        <v>183.30081488041924</v>
      </c>
      <c r="EP179" s="59">
        <f t="shared" si="154"/>
        <v>199.33099759570928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0.67931804271533147</v>
      </c>
      <c r="EW179" s="21">
        <f>EXP(-LN(2)/25)*EW178+(1-EXP(-LN(2)/25))/(LN(2)/25)*Calculateur!ER179*Calculateur!ET179*VLOOKUP('Données projet'!$B$15,Paramètres!$A$1:$I$89,3,0)*0.475*44/12</f>
        <v>1.282860091555825</v>
      </c>
      <c r="EX179" s="21">
        <f>EXP(-LN(2)/2)*EX178+(1-EXP(-LN(2)/2))/(LN(2)/2)*ER179*EU179*VLOOKUP('Données projet'!$B$15,Paramètres!$A$1:$I$89,3,0)*0.475*44/12</f>
        <v>2.4366520273454861E-13</v>
      </c>
      <c r="EY179" s="22">
        <f t="shared" si="181"/>
        <v>1.9621781342714002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1.5961632016114892E-13</v>
      </c>
      <c r="P180" s="13">
        <f t="shared" si="141"/>
        <v>2.2708641912150958E-12</v>
      </c>
      <c r="Q180" s="20">
        <f t="shared" si="162"/>
        <v>4.2330868906469593E-12</v>
      </c>
      <c r="R180" s="59">
        <f t="shared" si="109"/>
        <v>293.33333333333752</v>
      </c>
      <c r="S180" s="59">
        <f ca="1">AVERAGE(OFFSET($R$3,0,0,'Données projet'!$E$9+1,1))-AVERAGE(OFFSET($H$3,0,0,'Données projet'!$E$9+1,1))</f>
        <v>205.73717397588365</v>
      </c>
      <c r="T180" s="59">
        <f t="shared" si="142"/>
        <v>190.64998698136026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42.104094601316255</v>
      </c>
      <c r="AA180" s="21">
        <f>EXP(-LN(2)/25)*AA179+(1-EXP(-LN(2)/25))/(LN(2)/25)*Calculateur!V180*Calculateur!X180*VLOOKUP('Données projet'!$B$9,Paramètres!$A$1:$I$89,3,0)*0.475*44/12</f>
        <v>5.9663353077651831</v>
      </c>
      <c r="AB180" s="21">
        <f>EXP(-LN(2)/2)*AB179+(1-EXP(-LN(2)/2))/(LN(2)/2)*V180*Y180*VLOOKUP('Données projet'!$B$9,Paramètres!$A$1:$I$89,3,0)*0.475*44/12</f>
        <v>3.2285812258709702E-10</v>
      </c>
      <c r="AC180" s="22">
        <f t="shared" si="163"/>
        <v>48.070429909404297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283.73369613548124</v>
      </c>
      <c r="AO180" s="59">
        <f t="shared" si="144"/>
        <v>249.77804091581208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-6.3550942286383367E-14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278.5296012747549</v>
      </c>
      <c r="BJ180" s="59">
        <f t="shared" si="146"/>
        <v>370.55343097937077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20.233207570830526</v>
      </c>
      <c r="BQ180" s="21">
        <f>EXP(-LN(2)/25)*BQ179+(1-EXP(-LN(2)/25))/(LN(2)/25)*Calculateur!BL180*Calculateur!BN180*VLOOKUP('Données projet'!$B$11,Paramètres!$A$1:$I$89,3,0)*0.475*44/12</f>
        <v>1.9563835820987217</v>
      </c>
      <c r="BR180" s="21">
        <f>EXP(-LN(2)/2)*BR179+(1-EXP(-LN(2)/2))/(LN(2)/2)*BL180*BO180*VLOOKUP('Données projet'!$B$11,Paramètres!$A$1:$I$89,3,0)*0.475*44/12</f>
        <v>1.4815104006478602E-17</v>
      </c>
      <c r="BS180" s="22">
        <f t="shared" si="169"/>
        <v>22.189591152929246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-3.1036506698001178E-14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159.92263609041913</v>
      </c>
      <c r="CE180" s="59">
        <f t="shared" si="148"/>
        <v>271.78119133009307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4.4729974582180523</v>
      </c>
      <c r="CL180" s="21">
        <f>EXP(-LN(2)/25)*CL179+(1-EXP(-LN(2)/25))/(LN(2)/25)*Calculateur!CG180*Calculateur!CI180*VLOOKUP('Données projet'!$B$12,Paramètres!$A$1:$I$89,3,0)*0.475*44/12</f>
        <v>3.3591319813898362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7.832129439607888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5.6843418860808015E-13</v>
      </c>
      <c r="CU180" s="17">
        <f>CT180*VLOOKUP('Données projet'!$B$13,Paramètres!$A$1:$I$89,3,0)*VLOOKUP('Données projet'!$B$13,Paramètres!$A$1:$I$89,5,0)</f>
        <v>5.1431925385259092E-13</v>
      </c>
      <c r="CV180" s="13">
        <f t="shared" si="173"/>
        <v>6.3855359115685756E-12</v>
      </c>
      <c r="CW180" s="20">
        <f t="shared" si="174"/>
        <v>1.2017247746441865E-11</v>
      </c>
      <c r="CX180" s="59">
        <f t="shared" si="122"/>
        <v>293.33333333334531</v>
      </c>
      <c r="CY180" s="59">
        <f ca="1">AVERAGE(OFFSET($CX$3,0,0,'Données projet'!$E$13+1,1))-AVERAGE(OFFSET($H$3,0,0,'Données projet'!$E$13+1,1))</f>
        <v>280.25710840677186</v>
      </c>
      <c r="CZ180" s="59">
        <f t="shared" si="150"/>
        <v>209.65224013288037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68.757594284039229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68.757594284039229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243</v>
      </c>
      <c r="DP180" s="17">
        <f>DO180*VLOOKUP('Données projet'!$B$14,Paramètres!$A$1:$I$89,3,0)*VLOOKUP('Données projet'!$B$14,Paramètres!$A$1:$I$89,5,0)</f>
        <v>253.98360000000002</v>
      </c>
      <c r="DQ180" s="13">
        <f t="shared" si="176"/>
        <v>61.438182405444294</v>
      </c>
      <c r="DR180" s="20">
        <f t="shared" si="177"/>
        <v>549.35960435614891</v>
      </c>
      <c r="DS180" s="59">
        <f t="shared" si="125"/>
        <v>842.69293768948228</v>
      </c>
      <c r="DT180" s="59">
        <f ca="1">AVERAGE(OFFSET($DS$3,0,0,'Données projet'!$E$14+1,1))-AVERAGE(OFFSET($H$3,0,0,'Données projet'!$E$14+1,1))</f>
        <v>330.14201227773452</v>
      </c>
      <c r="DU180" s="59">
        <f t="shared" si="152"/>
        <v>307.07297894926467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7.0962071084920719</v>
      </c>
      <c r="EB180" s="21">
        <f>EXP(-LN(2)/25)*EB179+(1-EXP(-LN(2)/25))/(LN(2)/25)*Calculateur!DW180*Calculateur!DY180*VLOOKUP('Données projet'!$B$14,Paramètres!$A$1:$I$89,3,0)*0.475*44/12</f>
        <v>2.106806276156505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9.2030133846485764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236.00000000000009</v>
      </c>
      <c r="EK180" s="17">
        <f>EJ180*VLOOKUP('Données projet'!$B$15,Paramètres!$A$1:$I$89,3,0)*VLOOKUP('Données projet'!$B$15,Paramètres!$A$1:$I$89,5,0)</f>
        <v>154.62720000000004</v>
      </c>
      <c r="EL180" s="13">
        <f t="shared" si="179"/>
        <v>39.62826685000794</v>
      </c>
      <c r="EM180" s="20">
        <f t="shared" si="180"/>
        <v>338.32827143043056</v>
      </c>
      <c r="EN180" s="59">
        <f t="shared" si="128"/>
        <v>631.66160476376388</v>
      </c>
      <c r="EO180" s="59">
        <f ca="1">AVERAGE(OFFSET($EN$3,0,0,'Données projet'!$E$15+1,1))-AVERAGE(OFFSET($H$3,0,0,'Données projet'!$E$15+1,1))</f>
        <v>183.30081488041924</v>
      </c>
      <c r="EP180" s="59">
        <f t="shared" si="154"/>
        <v>199.33099759570928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0.66599703024077694</v>
      </c>
      <c r="EW180" s="21">
        <f>EXP(-LN(2)/25)*EW179+(1-EXP(-LN(2)/25))/(LN(2)/25)*Calculateur!ER180*Calculateur!ET180*VLOOKUP('Données projet'!$B$15,Paramètres!$A$1:$I$89,3,0)*0.475*44/12</f>
        <v>1.2477802148895507</v>
      </c>
      <c r="EX180" s="21">
        <f>EXP(-LN(2)/2)*EX179+(1-EXP(-LN(2)/2))/(LN(2)/2)*ER180*EU180*VLOOKUP('Données projet'!$B$15,Paramètres!$A$1:$I$89,3,0)*0.475*44/12</f>
        <v>1.722973171927942E-13</v>
      </c>
      <c r="EY180" s="22">
        <f t="shared" si="181"/>
        <v>1.9137772451305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1.5961632016114892E-13</v>
      </c>
      <c r="P181" s="13">
        <f t="shared" si="141"/>
        <v>2.2708641912150958E-12</v>
      </c>
      <c r="Q181" s="20">
        <f t="shared" si="162"/>
        <v>4.2330868906469593E-12</v>
      </c>
      <c r="R181" s="59">
        <f t="shared" si="109"/>
        <v>293.33333333333752</v>
      </c>
      <c r="S181" s="59">
        <f ca="1">AVERAGE(OFFSET($R$3,0,0,'Données projet'!$E$9+1,1))-AVERAGE(OFFSET($H$3,0,0,'Données projet'!$E$9+1,1))</f>
        <v>205.73717397588365</v>
      </c>
      <c r="T181" s="59">
        <f t="shared" si="142"/>
        <v>190.64998698136026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41.278458987146365</v>
      </c>
      <c r="AA181" s="21">
        <f>EXP(-LN(2)/25)*AA180+(1-EXP(-LN(2)/25))/(LN(2)/25)*Calculateur!V181*Calculateur!X181*VLOOKUP('Données projet'!$B$9,Paramètres!$A$1:$I$89,3,0)*0.475*44/12</f>
        <v>5.8031855550184064</v>
      </c>
      <c r="AB181" s="21">
        <f>EXP(-LN(2)/2)*AB180+(1-EXP(-LN(2)/2))/(LN(2)/2)*V181*Y181*VLOOKUP('Données projet'!$B$9,Paramètres!$A$1:$I$89,3,0)*0.475*44/12</f>
        <v>2.2829516784249396E-10</v>
      </c>
      <c r="AC181" s="22">
        <f t="shared" si="163"/>
        <v>47.081644542393072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283.73369613548124</v>
      </c>
      <c r="AO181" s="59">
        <f t="shared" si="144"/>
        <v>249.77804091581208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-6.3550942286383367E-14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278.5296012747549</v>
      </c>
      <c r="BJ181" s="59">
        <f t="shared" si="146"/>
        <v>370.55343097937077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19.83644671140458</v>
      </c>
      <c r="BQ181" s="21">
        <f>EXP(-LN(2)/25)*BQ180+(1-EXP(-LN(2)/25))/(LN(2)/25)*Calculateur!BL181*Calculateur!BN181*VLOOKUP('Données projet'!$B$11,Paramètres!$A$1:$I$89,3,0)*0.475*44/12</f>
        <v>1.9028861701644908</v>
      </c>
      <c r="BR181" s="21">
        <f>EXP(-LN(2)/2)*BR180+(1-EXP(-LN(2)/2))/(LN(2)/2)*BL181*BO181*VLOOKUP('Données projet'!$B$11,Paramètres!$A$1:$I$89,3,0)*0.475*44/12</f>
        <v>1.0475860506965008E-17</v>
      </c>
      <c r="BS181" s="22">
        <f t="shared" si="169"/>
        <v>21.739332881569069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-3.1036506698001178E-14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159.92263609041913</v>
      </c>
      <c r="CE181" s="59">
        <f t="shared" si="148"/>
        <v>271.78119133009307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4.3852847063214524</v>
      </c>
      <c r="CL181" s="21">
        <f>EXP(-LN(2)/25)*CL180+(1-EXP(-LN(2)/25))/(LN(2)/25)*Calculateur!CG181*Calculateur!CI181*VLOOKUP('Données projet'!$B$12,Paramètres!$A$1:$I$89,3,0)*0.475*44/12</f>
        <v>3.2672763407096577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7.6525610470311101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5.6843418860808015E-13</v>
      </c>
      <c r="CU181" s="17">
        <f>CT181*VLOOKUP('Données projet'!$B$13,Paramètres!$A$1:$I$89,3,0)*VLOOKUP('Données projet'!$B$13,Paramètres!$A$1:$I$89,5,0)</f>
        <v>5.1431925385259092E-13</v>
      </c>
      <c r="CV181" s="13">
        <f t="shared" si="173"/>
        <v>6.3855359115685756E-12</v>
      </c>
      <c r="CW181" s="20">
        <f t="shared" si="174"/>
        <v>1.2017247746441865E-11</v>
      </c>
      <c r="CX181" s="59">
        <f t="shared" si="122"/>
        <v>293.33333333334531</v>
      </c>
      <c r="CY181" s="59">
        <f ca="1">AVERAGE(OFFSET($CX$3,0,0,'Données projet'!$E$13+1,1))-AVERAGE(OFFSET($H$3,0,0,'Données projet'!$E$13+1,1))</f>
        <v>280.25710840677186</v>
      </c>
      <c r="CZ181" s="59">
        <f t="shared" si="150"/>
        <v>209.65224013288037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67.409299798120699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67.409299798120699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243</v>
      </c>
      <c r="DP181" s="17">
        <f>DO181*VLOOKUP('Données projet'!$B$14,Paramètres!$A$1:$I$89,3,0)*VLOOKUP('Données projet'!$B$14,Paramètres!$A$1:$I$89,5,0)</f>
        <v>253.98360000000002</v>
      </c>
      <c r="DQ181" s="13">
        <f t="shared" si="176"/>
        <v>61.438182405444294</v>
      </c>
      <c r="DR181" s="20">
        <f t="shared" si="177"/>
        <v>549.35960435614891</v>
      </c>
      <c r="DS181" s="59">
        <f t="shared" si="125"/>
        <v>842.69293768948228</v>
      </c>
      <c r="DT181" s="59">
        <f ca="1">AVERAGE(OFFSET($DS$3,0,0,'Données projet'!$E$14+1,1))-AVERAGE(OFFSET($H$3,0,0,'Données projet'!$E$14+1,1))</f>
        <v>330.14201227773452</v>
      </c>
      <c r="DU181" s="59">
        <f t="shared" si="152"/>
        <v>307.07297894926467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6.9570548153534988</v>
      </c>
      <c r="EB181" s="21">
        <f>EXP(-LN(2)/25)*EB180+(1-EXP(-LN(2)/25))/(LN(2)/25)*Calculateur!DW181*Calculateur!DY181*VLOOKUP('Données projet'!$B$14,Paramètres!$A$1:$I$89,3,0)*0.475*44/12</f>
        <v>2.0491955477428783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9.0062503630963775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236.00000000000009</v>
      </c>
      <c r="EK181" s="17">
        <f>EJ181*VLOOKUP('Données projet'!$B$15,Paramètres!$A$1:$I$89,3,0)*VLOOKUP('Données projet'!$B$15,Paramètres!$A$1:$I$89,5,0)</f>
        <v>154.62720000000004</v>
      </c>
      <c r="EL181" s="13">
        <f t="shared" si="179"/>
        <v>39.62826685000794</v>
      </c>
      <c r="EM181" s="20">
        <f t="shared" si="180"/>
        <v>338.32827143043056</v>
      </c>
      <c r="EN181" s="59">
        <f t="shared" si="128"/>
        <v>631.66160476376388</v>
      </c>
      <c r="EO181" s="59">
        <f ca="1">AVERAGE(OFFSET($EN$3,0,0,'Données projet'!$E$15+1,1))-AVERAGE(OFFSET($H$3,0,0,'Données projet'!$E$15+1,1))</f>
        <v>183.30081488041924</v>
      </c>
      <c r="EP181" s="59">
        <f t="shared" si="154"/>
        <v>199.33099759570928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0.65293723469583309</v>
      </c>
      <c r="EW181" s="21">
        <f>EXP(-LN(2)/25)*EW180+(1-EXP(-LN(2)/25))/(LN(2)/25)*Calculateur!ER181*Calculateur!ET181*VLOOKUP('Données projet'!$B$15,Paramètres!$A$1:$I$89,3,0)*0.475*44/12</f>
        <v>1.2136595992954864</v>
      </c>
      <c r="EX181" s="21">
        <f>EXP(-LN(2)/2)*EX180+(1-EXP(-LN(2)/2))/(LN(2)/2)*ER181*EU181*VLOOKUP('Données projet'!$B$15,Paramètres!$A$1:$I$89,3,0)*0.475*44/12</f>
        <v>1.218326013672743E-13</v>
      </c>
      <c r="EY181" s="22">
        <f t="shared" si="181"/>
        <v>1.8665968339914414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1.5961632016114892E-13</v>
      </c>
      <c r="P182" s="13">
        <f t="shared" si="141"/>
        <v>2.2708641912150958E-12</v>
      </c>
      <c r="Q182" s="20">
        <f t="shared" si="162"/>
        <v>4.2330868906469593E-12</v>
      </c>
      <c r="R182" s="59">
        <f t="shared" si="109"/>
        <v>293.33333333333752</v>
      </c>
      <c r="S182" s="59">
        <f ca="1">AVERAGE(OFFSET($R$3,0,0,'Données projet'!$E$9+1,1))-AVERAGE(OFFSET($H$3,0,0,'Données projet'!$E$9+1,1))</f>
        <v>205.73717397588365</v>
      </c>
      <c r="T182" s="59">
        <f t="shared" si="142"/>
        <v>190.64998698136026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40.469013583782349</v>
      </c>
      <c r="AA182" s="21">
        <f>EXP(-LN(2)/25)*AA181+(1-EXP(-LN(2)/25))/(LN(2)/25)*Calculateur!V182*Calculateur!X182*VLOOKUP('Données projet'!$B$9,Paramètres!$A$1:$I$89,3,0)*0.475*44/12</f>
        <v>5.644497140840163</v>
      </c>
      <c r="AB182" s="21">
        <f>EXP(-LN(2)/2)*AB181+(1-EXP(-LN(2)/2))/(LN(2)/2)*V182*Y182*VLOOKUP('Données projet'!$B$9,Paramètres!$A$1:$I$89,3,0)*0.475*44/12</f>
        <v>1.6142906129354854E-10</v>
      </c>
      <c r="AC182" s="22">
        <f t="shared" si="163"/>
        <v>46.113510724783943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283.73369613548124</v>
      </c>
      <c r="AO182" s="59">
        <f t="shared" si="144"/>
        <v>249.77804091581208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-6.3550942286383367E-14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278.5296012747549</v>
      </c>
      <c r="BJ182" s="59">
        <f t="shared" si="146"/>
        <v>370.55343097937077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19.44746609043175</v>
      </c>
      <c r="BQ182" s="21">
        <f>EXP(-LN(2)/25)*BQ181+(1-EXP(-LN(2)/25))/(LN(2)/25)*Calculateur!BL182*Calculateur!BN182*VLOOKUP('Données projet'!$B$11,Paramètres!$A$1:$I$89,3,0)*0.475*44/12</f>
        <v>1.8508516477729082</v>
      </c>
      <c r="BR182" s="21">
        <f>EXP(-LN(2)/2)*BR181+(1-EXP(-LN(2)/2))/(LN(2)/2)*BL182*BO182*VLOOKUP('Données projet'!$B$11,Paramètres!$A$1:$I$89,3,0)*0.475*44/12</f>
        <v>7.407552003239301E-18</v>
      </c>
      <c r="BS182" s="22">
        <f t="shared" si="169"/>
        <v>21.298317738204659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-3.1036506698001178E-14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159.92263609041913</v>
      </c>
      <c r="CE182" s="59">
        <f t="shared" si="148"/>
        <v>271.78119133009307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4.2992919479900493</v>
      </c>
      <c r="CL182" s="21">
        <f>EXP(-LN(2)/25)*CL181+(1-EXP(-LN(2)/25))/(LN(2)/25)*Calculateur!CG182*Calculateur!CI182*VLOOKUP('Données projet'!$B$12,Paramètres!$A$1:$I$89,3,0)*0.475*44/12</f>
        <v>3.1779324973543566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7.4772244453444063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5.6843418860808015E-13</v>
      </c>
      <c r="CU182" s="17">
        <f>CT182*VLOOKUP('Données projet'!$B$13,Paramètres!$A$1:$I$89,3,0)*VLOOKUP('Données projet'!$B$13,Paramètres!$A$1:$I$89,5,0)</f>
        <v>5.1431925385259092E-13</v>
      </c>
      <c r="CV182" s="13">
        <f t="shared" si="173"/>
        <v>6.3855359115685756E-12</v>
      </c>
      <c r="CW182" s="20">
        <f t="shared" si="174"/>
        <v>1.2017247746441865E-11</v>
      </c>
      <c r="CX182" s="59">
        <f t="shared" si="122"/>
        <v>293.33333333334531</v>
      </c>
      <c r="CY182" s="59">
        <f ca="1">AVERAGE(OFFSET($CX$3,0,0,'Données projet'!$E$13+1,1))-AVERAGE(OFFSET($H$3,0,0,'Données projet'!$E$13+1,1))</f>
        <v>280.25710840677186</v>
      </c>
      <c r="CZ182" s="59">
        <f t="shared" si="150"/>
        <v>209.65224013288037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66.087444544692602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66.087444544692602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243</v>
      </c>
      <c r="DP182" s="17">
        <f>DO182*VLOOKUP('Données projet'!$B$14,Paramètres!$A$1:$I$89,3,0)*VLOOKUP('Données projet'!$B$14,Paramètres!$A$1:$I$89,5,0)</f>
        <v>253.98360000000002</v>
      </c>
      <c r="DQ182" s="13">
        <f t="shared" si="176"/>
        <v>61.438182405444294</v>
      </c>
      <c r="DR182" s="20">
        <f t="shared" si="177"/>
        <v>549.35960435614891</v>
      </c>
      <c r="DS182" s="59">
        <f t="shared" si="125"/>
        <v>842.69293768948228</v>
      </c>
      <c r="DT182" s="59">
        <f ca="1">AVERAGE(OFFSET($DS$3,0,0,'Données projet'!$E$14+1,1))-AVERAGE(OFFSET($H$3,0,0,'Données projet'!$E$14+1,1))</f>
        <v>330.14201227773452</v>
      </c>
      <c r="DU182" s="59">
        <f t="shared" si="152"/>
        <v>307.07297894926467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6.8206312138088547</v>
      </c>
      <c r="EB182" s="21">
        <f>EXP(-LN(2)/25)*EB181+(1-EXP(-LN(2)/25))/(LN(2)/25)*Calculateur!DW182*Calculateur!DY182*VLOOKUP('Données projet'!$B$14,Paramètres!$A$1:$I$89,3,0)*0.475*44/12</f>
        <v>1.9931601877273388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8.8137914015361929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236.00000000000009</v>
      </c>
      <c r="EK182" s="17">
        <f>EJ182*VLOOKUP('Données projet'!$B$15,Paramètres!$A$1:$I$89,3,0)*VLOOKUP('Données projet'!$B$15,Paramètres!$A$1:$I$89,5,0)</f>
        <v>154.62720000000004</v>
      </c>
      <c r="EL182" s="13">
        <f t="shared" si="179"/>
        <v>39.62826685000794</v>
      </c>
      <c r="EM182" s="20">
        <f t="shared" si="180"/>
        <v>338.32827143043056</v>
      </c>
      <c r="EN182" s="59">
        <f t="shared" si="128"/>
        <v>631.66160476376388</v>
      </c>
      <c r="EO182" s="59">
        <f ca="1">AVERAGE(OFFSET($EN$3,0,0,'Données projet'!$E$15+1,1))-AVERAGE(OFFSET($H$3,0,0,'Données projet'!$E$15+1,1))</f>
        <v>183.30081488041924</v>
      </c>
      <c r="EP182" s="59">
        <f t="shared" si="154"/>
        <v>199.33099759570928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0.64013353377583682</v>
      </c>
      <c r="EW182" s="21">
        <f>EXP(-LN(2)/25)*EW181+(1-EXP(-LN(2)/25))/(LN(2)/25)*Calculateur!ER182*Calculateur!ET182*VLOOKUP('Données projet'!$B$15,Paramètres!$A$1:$I$89,3,0)*0.475*44/12</f>
        <v>1.1804720137291669</v>
      </c>
      <c r="EX182" s="21">
        <f>EXP(-LN(2)/2)*EX181+(1-EXP(-LN(2)/2))/(LN(2)/2)*ER182*EU182*VLOOKUP('Données projet'!$B$15,Paramètres!$A$1:$I$89,3,0)*0.475*44/12</f>
        <v>8.6148658596397101E-14</v>
      </c>
      <c r="EY182" s="22">
        <f t="shared" si="181"/>
        <v>1.8206055475050897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1.5961632016114892E-13</v>
      </c>
      <c r="P183" s="13">
        <f t="shared" si="141"/>
        <v>2.2708641912150958E-12</v>
      </c>
      <c r="Q183" s="20">
        <f t="shared" si="162"/>
        <v>4.2330868906469593E-12</v>
      </c>
      <c r="R183" s="59">
        <f t="shared" si="109"/>
        <v>293.33333333333752</v>
      </c>
      <c r="S183" s="59">
        <f ca="1">AVERAGE(OFFSET($R$3,0,0,'Données projet'!$E$9+1,1))-AVERAGE(OFFSET($H$3,0,0,'Données projet'!$E$9+1,1))</f>
        <v>205.73717397588365</v>
      </c>
      <c r="T183" s="59">
        <f t="shared" si="142"/>
        <v>190.64998698136026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39.675440911065351</v>
      </c>
      <c r="AA183" s="21">
        <f>EXP(-LN(2)/25)*AA182+(1-EXP(-LN(2)/25))/(LN(2)/25)*Calculateur!V183*Calculateur!X183*VLOOKUP('Données projet'!$B$9,Paramètres!$A$1:$I$89,3,0)*0.475*44/12</f>
        <v>5.490148069692685</v>
      </c>
      <c r="AB183" s="21">
        <f>EXP(-LN(2)/2)*AB182+(1-EXP(-LN(2)/2))/(LN(2)/2)*V183*Y183*VLOOKUP('Données projet'!$B$9,Paramètres!$A$1:$I$89,3,0)*0.475*44/12</f>
        <v>1.1414758392124701E-10</v>
      </c>
      <c r="AC183" s="22">
        <f t="shared" si="163"/>
        <v>45.165588980872187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283.73369613548124</v>
      </c>
      <c r="AO183" s="59">
        <f t="shared" si="144"/>
        <v>249.77804091581208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-6.3550942286383367E-14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278.5296012747549</v>
      </c>
      <c r="BJ183" s="59">
        <f t="shared" si="146"/>
        <v>370.55343097937077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19.066113142181443</v>
      </c>
      <c r="BQ183" s="21">
        <f>EXP(-LN(2)/25)*BQ182+(1-EXP(-LN(2)/25))/(LN(2)/25)*Calculateur!BL183*Calculateur!BN183*VLOOKUP('Données projet'!$B$11,Paramètres!$A$1:$I$89,3,0)*0.475*44/12</f>
        <v>1.8002400121325002</v>
      </c>
      <c r="BR183" s="21">
        <f>EXP(-LN(2)/2)*BR182+(1-EXP(-LN(2)/2))/(LN(2)/2)*BL183*BO183*VLOOKUP('Données projet'!$B$11,Paramètres!$A$1:$I$89,3,0)*0.475*44/12</f>
        <v>5.2379302534825042E-18</v>
      </c>
      <c r="BS183" s="22">
        <f t="shared" si="169"/>
        <v>20.866353154313945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-3.1036506698001178E-14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159.92263609041913</v>
      </c>
      <c r="CE183" s="59">
        <f t="shared" si="148"/>
        <v>271.78119133009307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4.2149854551991215</v>
      </c>
      <c r="CL183" s="21">
        <f>EXP(-LN(2)/25)*CL182+(1-EXP(-LN(2)/25))/(LN(2)/25)*Calculateur!CG183*Calculateur!CI183*VLOOKUP('Données projet'!$B$12,Paramètres!$A$1:$I$89,3,0)*0.475*44/12</f>
        <v>3.091031766093995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7.306017221293116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5.6843418860808015E-13</v>
      </c>
      <c r="CU183" s="17">
        <f>CT183*VLOOKUP('Données projet'!$B$13,Paramètres!$A$1:$I$89,3,0)*VLOOKUP('Données projet'!$B$13,Paramètres!$A$1:$I$89,5,0)</f>
        <v>5.1431925385259092E-13</v>
      </c>
      <c r="CV183" s="13">
        <f t="shared" si="173"/>
        <v>6.3855359115685756E-12</v>
      </c>
      <c r="CW183" s="20">
        <f t="shared" si="174"/>
        <v>1.2017247746441865E-11</v>
      </c>
      <c r="CX183" s="59">
        <f t="shared" si="122"/>
        <v>293.33333333334531</v>
      </c>
      <c r="CY183" s="59">
        <f ca="1">AVERAGE(OFFSET($CX$3,0,0,'Données projet'!$E$13+1,1))-AVERAGE(OFFSET($H$3,0,0,'Données projet'!$E$13+1,1))</f>
        <v>280.25710840677186</v>
      </c>
      <c r="CZ183" s="59">
        <f t="shared" si="150"/>
        <v>209.65224013288037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64.79151006653214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64.79151006653214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243</v>
      </c>
      <c r="DP183" s="17">
        <f>DO183*VLOOKUP('Données projet'!$B$14,Paramètres!$A$1:$I$89,3,0)*VLOOKUP('Données projet'!$B$14,Paramètres!$A$1:$I$89,5,0)</f>
        <v>253.98360000000002</v>
      </c>
      <c r="DQ183" s="13">
        <f t="shared" si="176"/>
        <v>61.438182405444294</v>
      </c>
      <c r="DR183" s="20">
        <f t="shared" si="177"/>
        <v>549.35960435614891</v>
      </c>
      <c r="DS183" s="59">
        <f t="shared" si="125"/>
        <v>842.69293768948228</v>
      </c>
      <c r="DT183" s="59">
        <f ca="1">AVERAGE(OFFSET($DS$3,0,0,'Données projet'!$E$14+1,1))-AVERAGE(OFFSET($H$3,0,0,'Données projet'!$E$14+1,1))</f>
        <v>330.14201227773452</v>
      </c>
      <c r="DU183" s="59">
        <f t="shared" si="152"/>
        <v>307.07297894926467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6.6868827958803205</v>
      </c>
      <c r="EB183" s="21">
        <f>EXP(-LN(2)/25)*EB182+(1-EXP(-LN(2)/25))/(LN(2)/25)*Calculateur!DW183*Calculateur!DY183*VLOOKUP('Données projet'!$B$14,Paramètres!$A$1:$I$89,3,0)*0.475*44/12</f>
        <v>1.9386571175781959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8.6255399134585158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236.00000000000009</v>
      </c>
      <c r="EK183" s="17">
        <f>EJ183*VLOOKUP('Données projet'!$B$15,Paramètres!$A$1:$I$89,3,0)*VLOOKUP('Données projet'!$B$15,Paramètres!$A$1:$I$89,5,0)</f>
        <v>154.62720000000004</v>
      </c>
      <c r="EL183" s="13">
        <f t="shared" si="179"/>
        <v>39.62826685000794</v>
      </c>
      <c r="EM183" s="20">
        <f t="shared" si="180"/>
        <v>338.32827143043056</v>
      </c>
      <c r="EN183" s="59">
        <f t="shared" si="128"/>
        <v>631.66160476376388</v>
      </c>
      <c r="EO183" s="59">
        <f ca="1">AVERAGE(OFFSET($EN$3,0,0,'Données projet'!$E$15+1,1))-AVERAGE(OFFSET($H$3,0,0,'Données projet'!$E$15+1,1))</f>
        <v>183.30081488041924</v>
      </c>
      <c r="EP183" s="59">
        <f t="shared" si="154"/>
        <v>199.33099759570928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0.62758090562139524</v>
      </c>
      <c r="EW183" s="21">
        <f>EXP(-LN(2)/25)*EW182+(1-EXP(-LN(2)/25))/(LN(2)/25)*Calculateur!ER183*Calculateur!ET183*VLOOKUP('Données projet'!$B$15,Paramètres!$A$1:$I$89,3,0)*0.475*44/12</f>
        <v>1.1481919444354176</v>
      </c>
      <c r="EX183" s="21">
        <f>EXP(-LN(2)/2)*EX182+(1-EXP(-LN(2)/2))/(LN(2)/2)*ER183*EU183*VLOOKUP('Données projet'!$B$15,Paramètres!$A$1:$I$89,3,0)*0.475*44/12</f>
        <v>6.0916300683637151E-14</v>
      </c>
      <c r="EY183" s="22">
        <f t="shared" si="181"/>
        <v>1.7757728500568737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1.5961632016114892E-13</v>
      </c>
      <c r="P184" s="13">
        <f t="shared" si="141"/>
        <v>2.2708641912150958E-12</v>
      </c>
      <c r="Q184" s="20">
        <f t="shared" si="162"/>
        <v>4.2330868906469593E-12</v>
      </c>
      <c r="R184" s="59">
        <f t="shared" si="109"/>
        <v>293.33333333333752</v>
      </c>
      <c r="S184" s="59">
        <f ca="1">AVERAGE(OFFSET($R$3,0,0,'Données projet'!$E$9+1,1))-AVERAGE(OFFSET($H$3,0,0,'Données projet'!$E$9+1,1))</f>
        <v>205.73717397588365</v>
      </c>
      <c r="T184" s="59">
        <f t="shared" si="142"/>
        <v>190.64998698136026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38.897429714428803</v>
      </c>
      <c r="AA184" s="21">
        <f>EXP(-LN(2)/25)*AA183+(1-EXP(-LN(2)/25))/(LN(2)/25)*Calculateur!V184*Calculateur!X184*VLOOKUP('Données projet'!$B$9,Paramètres!$A$1:$I$89,3,0)*0.475*44/12</f>
        <v>5.3400196820125991</v>
      </c>
      <c r="AB184" s="21">
        <f>EXP(-LN(2)/2)*AB183+(1-EXP(-LN(2)/2))/(LN(2)/2)*V184*Y184*VLOOKUP('Données projet'!$B$9,Paramètres!$A$1:$I$89,3,0)*0.475*44/12</f>
        <v>8.0714530646774281E-11</v>
      </c>
      <c r="AC184" s="22">
        <f t="shared" si="163"/>
        <v>44.237449396522123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283.73369613548124</v>
      </c>
      <c r="AO184" s="59">
        <f t="shared" si="144"/>
        <v>249.77804091581208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-6.3550942286383367E-14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278.5296012747549</v>
      </c>
      <c r="BJ184" s="59">
        <f t="shared" si="146"/>
        <v>370.55343097937077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18.692238292643996</v>
      </c>
      <c r="BQ184" s="21">
        <f>EXP(-LN(2)/25)*BQ183+(1-EXP(-LN(2)/25))/(LN(2)/25)*Calculateur!BL184*Calculateur!BN184*VLOOKUP('Données projet'!$B$11,Paramètres!$A$1:$I$89,3,0)*0.475*44/12</f>
        <v>1.7510123543302292</v>
      </c>
      <c r="BR184" s="21">
        <f>EXP(-LN(2)/2)*BR183+(1-EXP(-LN(2)/2))/(LN(2)/2)*BL184*BO184*VLOOKUP('Données projet'!$B$11,Paramètres!$A$1:$I$89,3,0)*0.475*44/12</f>
        <v>3.7037760016196505E-18</v>
      </c>
      <c r="BS184" s="22">
        <f t="shared" si="169"/>
        <v>20.443250646974224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-3.1036506698001178E-14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159.92263609041913</v>
      </c>
      <c r="CE184" s="59">
        <f t="shared" si="148"/>
        <v>271.78119133009307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4.1323321613099404</v>
      </c>
      <c r="CL184" s="21">
        <f>EXP(-LN(2)/25)*CL183+(1-EXP(-LN(2)/25))/(LN(2)/25)*Calculateur!CG184*Calculateur!CI184*VLOOKUP('Données projet'!$B$12,Paramètres!$A$1:$I$89,3,0)*0.475*44/12</f>
        <v>3.006507339899859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7.1388395012097998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5.6843418860808015E-13</v>
      </c>
      <c r="CU184" s="17">
        <f>CT184*VLOOKUP('Données projet'!$B$13,Paramètres!$A$1:$I$89,3,0)*VLOOKUP('Données projet'!$B$13,Paramètres!$A$1:$I$89,5,0)</f>
        <v>5.1431925385259092E-13</v>
      </c>
      <c r="CV184" s="13">
        <f t="shared" si="173"/>
        <v>6.3855359115685756E-12</v>
      </c>
      <c r="CW184" s="20">
        <f t="shared" si="174"/>
        <v>1.2017247746441865E-11</v>
      </c>
      <c r="CX184" s="59">
        <f t="shared" si="122"/>
        <v>293.33333333334531</v>
      </c>
      <c r="CY184" s="59">
        <f ca="1">AVERAGE(OFFSET($CX$3,0,0,'Données projet'!$E$13+1,1))-AVERAGE(OFFSET($H$3,0,0,'Données projet'!$E$13+1,1))</f>
        <v>280.25710840677186</v>
      </c>
      <c r="CZ184" s="59">
        <f t="shared" si="150"/>
        <v>209.65224013288037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63.520988073046418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63.520988073046418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243</v>
      </c>
      <c r="DP184" s="17">
        <f>DO184*VLOOKUP('Données projet'!$B$14,Paramètres!$A$1:$I$89,3,0)*VLOOKUP('Données projet'!$B$14,Paramètres!$A$1:$I$89,5,0)</f>
        <v>253.98360000000002</v>
      </c>
      <c r="DQ184" s="13">
        <f t="shared" si="176"/>
        <v>61.438182405444294</v>
      </c>
      <c r="DR184" s="20">
        <f t="shared" si="177"/>
        <v>549.35960435614891</v>
      </c>
      <c r="DS184" s="59">
        <f t="shared" si="125"/>
        <v>842.69293768948228</v>
      </c>
      <c r="DT184" s="59">
        <f ca="1">AVERAGE(OFFSET($DS$3,0,0,'Données projet'!$E$14+1,1))-AVERAGE(OFFSET($H$3,0,0,'Données projet'!$E$14+1,1))</f>
        <v>330.14201227773452</v>
      </c>
      <c r="DU184" s="59">
        <f t="shared" si="152"/>
        <v>307.07297894926467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6.5557571028488848</v>
      </c>
      <c r="EB184" s="21">
        <f>EXP(-LN(2)/25)*EB183+(1-EXP(-LN(2)/25))/(LN(2)/25)*Calculateur!DW184*Calculateur!DY184*VLOOKUP('Données projet'!$B$14,Paramètres!$A$1:$I$89,3,0)*0.475*44/12</f>
        <v>1.8856444367484733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8.4414015395973578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236.00000000000009</v>
      </c>
      <c r="EK184" s="17">
        <f>EJ184*VLOOKUP('Données projet'!$B$15,Paramètres!$A$1:$I$89,3,0)*VLOOKUP('Données projet'!$B$15,Paramètres!$A$1:$I$89,5,0)</f>
        <v>154.62720000000004</v>
      </c>
      <c r="EL184" s="13">
        <f t="shared" si="179"/>
        <v>39.62826685000794</v>
      </c>
      <c r="EM184" s="20">
        <f t="shared" si="180"/>
        <v>338.32827143043056</v>
      </c>
      <c r="EN184" s="59">
        <f t="shared" si="128"/>
        <v>631.66160476376388</v>
      </c>
      <c r="EO184" s="59">
        <f ca="1">AVERAGE(OFFSET($EN$3,0,0,'Données projet'!$E$15+1,1))-AVERAGE(OFFSET($H$3,0,0,'Données projet'!$E$15+1,1))</f>
        <v>183.30081488041924</v>
      </c>
      <c r="EP184" s="59">
        <f t="shared" si="154"/>
        <v>199.33099759570928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0.61527442684871503</v>
      </c>
      <c r="EW184" s="21">
        <f>EXP(-LN(2)/25)*EW183+(1-EXP(-LN(2)/25))/(LN(2)/25)*Calculateur!ER184*Calculateur!ET184*VLOOKUP('Données projet'!$B$15,Paramètres!$A$1:$I$89,3,0)*0.475*44/12</f>
        <v>1.1167945753340409</v>
      </c>
      <c r="EX184" s="21">
        <f>EXP(-LN(2)/2)*EX183+(1-EXP(-LN(2)/2))/(LN(2)/2)*ER184*EU184*VLOOKUP('Données projet'!$B$15,Paramètres!$A$1:$I$89,3,0)*0.475*44/12</f>
        <v>4.3074329298198551E-14</v>
      </c>
      <c r="EY184" s="22">
        <f t="shared" si="181"/>
        <v>1.7320690021827989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1.5961632016114892E-13</v>
      </c>
      <c r="P185" s="13">
        <f t="shared" si="141"/>
        <v>2.2708641912150958E-12</v>
      </c>
      <c r="Q185" s="20">
        <f t="shared" si="162"/>
        <v>4.2330868906469593E-12</v>
      </c>
      <c r="R185" s="59">
        <f t="shared" si="109"/>
        <v>293.33333333333752</v>
      </c>
      <c r="S185" s="59">
        <f ca="1">AVERAGE(OFFSET($R$3,0,0,'Données projet'!$E$9+1,1))-AVERAGE(OFFSET($H$3,0,0,'Données projet'!$E$9+1,1))</f>
        <v>205.73717397588365</v>
      </c>
      <c r="T185" s="59">
        <f t="shared" si="142"/>
        <v>190.64998698136026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38.13467484281832</v>
      </c>
      <c r="AA185" s="21">
        <f>EXP(-LN(2)/25)*AA184+(1-EXP(-LN(2)/25))/(LN(2)/25)*Calculateur!V185*Calculateur!X185*VLOOKUP('Données projet'!$B$9,Paramètres!$A$1:$I$89,3,0)*0.475*44/12</f>
        <v>5.1939965629885343</v>
      </c>
      <c r="AB185" s="21">
        <f>EXP(-LN(2)/2)*AB184+(1-EXP(-LN(2)/2))/(LN(2)/2)*V185*Y185*VLOOKUP('Données projet'!$B$9,Paramètres!$A$1:$I$89,3,0)*0.475*44/12</f>
        <v>5.7073791960623509E-11</v>
      </c>
      <c r="AC185" s="22">
        <f t="shared" si="163"/>
        <v>43.328671405863929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283.73369613548124</v>
      </c>
      <c r="AO185" s="59">
        <f t="shared" si="144"/>
        <v>249.77804091581208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-6.3550942286383367E-14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278.5296012747549</v>
      </c>
      <c r="BJ185" s="59">
        <f t="shared" si="146"/>
        <v>370.55343097937077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18.325694900864836</v>
      </c>
      <c r="BQ185" s="21">
        <f>EXP(-LN(2)/25)*BQ184+(1-EXP(-LN(2)/25))/(LN(2)/25)*Calculateur!BL185*Calculateur!BN185*VLOOKUP('Données projet'!$B$11,Paramètres!$A$1:$I$89,3,0)*0.475*44/12</f>
        <v>1.7031308294193312</v>
      </c>
      <c r="BR185" s="21">
        <f>EXP(-LN(2)/2)*BR184+(1-EXP(-LN(2)/2))/(LN(2)/2)*BL185*BO185*VLOOKUP('Données projet'!$B$11,Paramètres!$A$1:$I$89,3,0)*0.475*44/12</f>
        <v>2.6189651267412521E-18</v>
      </c>
      <c r="BS185" s="22">
        <f t="shared" si="169"/>
        <v>20.028825730284169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-3.1036506698001178E-14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159.92263609041913</v>
      </c>
      <c r="CE185" s="59">
        <f t="shared" si="148"/>
        <v>271.78119133009307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4.0512996481003949</v>
      </c>
      <c r="CL185" s="21">
        <f>EXP(-LN(2)/25)*CL184+(1-EXP(-LN(2)/25))/(LN(2)/25)*Calculateur!CG185*Calculateur!CI185*VLOOKUP('Données projet'!$B$12,Paramètres!$A$1:$I$89,3,0)*0.475*44/12</f>
        <v>2.924294238584948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6.9755938866853429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5.6843418860808015E-13</v>
      </c>
      <c r="CU185" s="17">
        <f>CT185*VLOOKUP('Données projet'!$B$13,Paramètres!$A$1:$I$89,3,0)*VLOOKUP('Données projet'!$B$13,Paramètres!$A$1:$I$89,5,0)</f>
        <v>5.1431925385259092E-13</v>
      </c>
      <c r="CV185" s="13">
        <f t="shared" si="173"/>
        <v>6.3855359115685756E-12</v>
      </c>
      <c r="CW185" s="20">
        <f t="shared" si="174"/>
        <v>1.2017247746441865E-11</v>
      </c>
      <c r="CX185" s="59">
        <f t="shared" si="122"/>
        <v>293.33333333334531</v>
      </c>
      <c r="CY185" s="59">
        <f ca="1">AVERAGE(OFFSET($CX$3,0,0,'Données projet'!$E$13+1,1))-AVERAGE(OFFSET($H$3,0,0,'Données projet'!$E$13+1,1))</f>
        <v>280.25710840677186</v>
      </c>
      <c r="CZ185" s="59">
        <f t="shared" si="150"/>
        <v>209.65224013288037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62.275380240911055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62.275380240911055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243</v>
      </c>
      <c r="DP185" s="17">
        <f>DO185*VLOOKUP('Données projet'!$B$14,Paramètres!$A$1:$I$89,3,0)*VLOOKUP('Données projet'!$B$14,Paramètres!$A$1:$I$89,5,0)</f>
        <v>253.98360000000002</v>
      </c>
      <c r="DQ185" s="13">
        <f t="shared" si="176"/>
        <v>61.438182405444294</v>
      </c>
      <c r="DR185" s="20">
        <f t="shared" si="177"/>
        <v>549.35960435614891</v>
      </c>
      <c r="DS185" s="59">
        <f t="shared" si="125"/>
        <v>842.69293768948228</v>
      </c>
      <c r="DT185" s="59">
        <f ca="1">AVERAGE(OFFSET($DS$3,0,0,'Données projet'!$E$14+1,1))-AVERAGE(OFFSET($H$3,0,0,'Données projet'!$E$14+1,1))</f>
        <v>330.14201227773452</v>
      </c>
      <c r="DU185" s="59">
        <f t="shared" si="152"/>
        <v>307.07297894926467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6.4272027046790203</v>
      </c>
      <c r="EB185" s="21">
        <f>EXP(-LN(2)/25)*EB184+(1-EXP(-LN(2)/25))/(LN(2)/25)*Calculateur!DW185*Calculateur!DY185*VLOOKUP('Données projet'!$B$14,Paramètres!$A$1:$I$89,3,0)*0.475*44/12</f>
        <v>1.8340813904638551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8.2612840951428748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236.00000000000009</v>
      </c>
      <c r="EK185" s="17">
        <f>EJ185*VLOOKUP('Données projet'!$B$15,Paramètres!$A$1:$I$89,3,0)*VLOOKUP('Données projet'!$B$15,Paramètres!$A$1:$I$89,5,0)</f>
        <v>154.62720000000004</v>
      </c>
      <c r="EL185" s="13">
        <f t="shared" si="179"/>
        <v>39.62826685000794</v>
      </c>
      <c r="EM185" s="20">
        <f t="shared" si="180"/>
        <v>338.32827143043056</v>
      </c>
      <c r="EN185" s="59">
        <f t="shared" si="128"/>
        <v>631.66160476376388</v>
      </c>
      <c r="EO185" s="59">
        <f ca="1">AVERAGE(OFFSET($EN$3,0,0,'Données projet'!$E$15+1,1))-AVERAGE(OFFSET($H$3,0,0,'Données projet'!$E$15+1,1))</f>
        <v>183.30081488041924</v>
      </c>
      <c r="EP185" s="59">
        <f t="shared" si="154"/>
        <v>199.33099759570928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0.60320927061855623</v>
      </c>
      <c r="EW185" s="21">
        <f>EXP(-LN(2)/25)*EW184+(1-EXP(-LN(2)/25))/(LN(2)/25)*Calculateur!ER185*Calculateur!ET185*VLOOKUP('Données projet'!$B$15,Paramètres!$A$1:$I$89,3,0)*0.475*44/12</f>
        <v>1.0862557689418573</v>
      </c>
      <c r="EX185" s="21">
        <f>EXP(-LN(2)/2)*EX184+(1-EXP(-LN(2)/2))/(LN(2)/2)*ER185*EU185*VLOOKUP('Données projet'!$B$15,Paramètres!$A$1:$I$89,3,0)*0.475*44/12</f>
        <v>3.0458150341818576E-14</v>
      </c>
      <c r="EY185" s="22">
        <f t="shared" si="181"/>
        <v>1.6894650395604438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1.5961632016114892E-13</v>
      </c>
      <c r="P186" s="13">
        <f t="shared" si="141"/>
        <v>2.2708641912150958E-12</v>
      </c>
      <c r="Q186" s="20">
        <f t="shared" si="162"/>
        <v>4.2330868906469593E-12</v>
      </c>
      <c r="R186" s="59">
        <f t="shared" si="109"/>
        <v>293.33333333333752</v>
      </c>
      <c r="S186" s="59">
        <f ca="1">AVERAGE(OFFSET($R$3,0,0,'Données projet'!$E$9+1,1))-AVERAGE(OFFSET($H$3,0,0,'Données projet'!$E$9+1,1))</f>
        <v>205.73717397588365</v>
      </c>
      <c r="T186" s="59">
        <f t="shared" si="142"/>
        <v>190.64998698136026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37.38687712900559</v>
      </c>
      <c r="AA186" s="21">
        <f>EXP(-LN(2)/25)*AA185+(1-EXP(-LN(2)/25))/(LN(2)/25)*Calculateur!V186*Calculateur!X186*VLOOKUP('Données projet'!$B$9,Paramètres!$A$1:$I$89,3,0)*0.475*44/12</f>
        <v>5.051966453833205</v>
      </c>
      <c r="AB186" s="21">
        <f>EXP(-LN(2)/2)*AB185+(1-EXP(-LN(2)/2))/(LN(2)/2)*V186*Y186*VLOOKUP('Données projet'!$B$9,Paramètres!$A$1:$I$89,3,0)*0.475*44/12</f>
        <v>4.0357265323387147E-11</v>
      </c>
      <c r="AC186" s="22">
        <f t="shared" si="163"/>
        <v>42.438843582879151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283.73369613548124</v>
      </c>
      <c r="AO186" s="59">
        <f t="shared" si="144"/>
        <v>249.77804091581208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-6.3550942286383367E-14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278.5296012747549</v>
      </c>
      <c r="BJ186" s="59">
        <f t="shared" si="146"/>
        <v>370.55343097937077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17.966339201429072</v>
      </c>
      <c r="BQ186" s="21">
        <f>EXP(-LN(2)/25)*BQ185+(1-EXP(-LN(2)/25))/(LN(2)/25)*Calculateur!BL186*Calculateur!BN186*VLOOKUP('Données projet'!$B$11,Paramètres!$A$1:$I$89,3,0)*0.475*44/12</f>
        <v>1.6565586273251018</v>
      </c>
      <c r="BR186" s="21">
        <f>EXP(-LN(2)/2)*BR185+(1-EXP(-LN(2)/2))/(LN(2)/2)*BL186*BO186*VLOOKUP('Données projet'!$B$11,Paramètres!$A$1:$I$89,3,0)*0.475*44/12</f>
        <v>1.8518880008098253E-18</v>
      </c>
      <c r="BS186" s="22">
        <f t="shared" si="169"/>
        <v>19.622897828754173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-3.1036506698001178E-14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159.92263609041913</v>
      </c>
      <c r="CE186" s="59">
        <f t="shared" si="148"/>
        <v>271.78119133009307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3.9718561330499358</v>
      </c>
      <c r="CL186" s="21">
        <f>EXP(-LN(2)/25)*CL185+(1-EXP(-LN(2)/25))/(LN(2)/25)*Calculateur!CG186*Calculateur!CI186*VLOOKUP('Données projet'!$B$12,Paramètres!$A$1:$I$89,3,0)*0.475*44/12</f>
        <v>2.8443292588488922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6.816185391898828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5.6843418860808015E-13</v>
      </c>
      <c r="CU186" s="17">
        <f>CT186*VLOOKUP('Données projet'!$B$13,Paramètres!$A$1:$I$89,3,0)*VLOOKUP('Données projet'!$B$13,Paramètres!$A$1:$I$89,5,0)</f>
        <v>5.1431925385259092E-13</v>
      </c>
      <c r="CV186" s="13">
        <f t="shared" si="173"/>
        <v>6.3855359115685756E-12</v>
      </c>
      <c r="CW186" s="20">
        <f t="shared" si="174"/>
        <v>1.2017247746441865E-11</v>
      </c>
      <c r="CX186" s="59">
        <f t="shared" si="122"/>
        <v>293.33333333334531</v>
      </c>
      <c r="CY186" s="59">
        <f ca="1">AVERAGE(OFFSET($CX$3,0,0,'Données projet'!$E$13+1,1))-AVERAGE(OFFSET($H$3,0,0,'Données projet'!$E$13+1,1))</f>
        <v>280.25710840677186</v>
      </c>
      <c r="CZ186" s="59">
        <f t="shared" si="150"/>
        <v>209.65224013288037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61.054198018618102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61.054198018618102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243</v>
      </c>
      <c r="DP186" s="17">
        <f>DO186*VLOOKUP('Données projet'!$B$14,Paramètres!$A$1:$I$89,3,0)*VLOOKUP('Données projet'!$B$14,Paramètres!$A$1:$I$89,5,0)</f>
        <v>253.98360000000002</v>
      </c>
      <c r="DQ186" s="13">
        <f t="shared" si="176"/>
        <v>61.438182405444294</v>
      </c>
      <c r="DR186" s="20">
        <f t="shared" si="177"/>
        <v>549.35960435614891</v>
      </c>
      <c r="DS186" s="59">
        <f t="shared" si="125"/>
        <v>842.69293768948228</v>
      </c>
      <c r="DT186" s="59">
        <f ca="1">AVERAGE(OFFSET($DS$3,0,0,'Données projet'!$E$14+1,1))-AVERAGE(OFFSET($H$3,0,0,'Données projet'!$E$14+1,1))</f>
        <v>330.14201227773452</v>
      </c>
      <c r="DU186" s="59">
        <f t="shared" si="152"/>
        <v>307.07297894926467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6.3011691798468261</v>
      </c>
      <c r="EB186" s="21">
        <f>EXP(-LN(2)/25)*EB185+(1-EXP(-LN(2)/25))/(LN(2)/25)*Calculateur!DW186*Calculateur!DY186*VLOOKUP('Données projet'!$B$14,Paramètres!$A$1:$I$89,3,0)*0.475*44/12</f>
        <v>1.7839283383914726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8.0850975182382996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236.00000000000009</v>
      </c>
      <c r="EK186" s="17">
        <f>EJ186*VLOOKUP('Données projet'!$B$15,Paramètres!$A$1:$I$89,3,0)*VLOOKUP('Données projet'!$B$15,Paramètres!$A$1:$I$89,5,0)</f>
        <v>154.62720000000004</v>
      </c>
      <c r="EL186" s="13">
        <f t="shared" si="179"/>
        <v>39.62826685000794</v>
      </c>
      <c r="EM186" s="20">
        <f t="shared" si="180"/>
        <v>338.32827143043056</v>
      </c>
      <c r="EN186" s="59">
        <f t="shared" si="128"/>
        <v>631.66160476376388</v>
      </c>
      <c r="EO186" s="59">
        <f ca="1">AVERAGE(OFFSET($EN$3,0,0,'Données projet'!$E$15+1,1))-AVERAGE(OFFSET($H$3,0,0,'Données projet'!$E$15+1,1))</f>
        <v>183.30081488041924</v>
      </c>
      <c r="EP186" s="59">
        <f t="shared" si="154"/>
        <v>199.33099759570928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0.59138070474305215</v>
      </c>
      <c r="EW186" s="21">
        <f>EXP(-LN(2)/25)*EW185+(1-EXP(-LN(2)/25))/(LN(2)/25)*Calculateur!ER186*Calculateur!ET186*VLOOKUP('Données projet'!$B$15,Paramètres!$A$1:$I$89,3,0)*0.475*44/12</f>
        <v>1.0565520478164339</v>
      </c>
      <c r="EX186" s="21">
        <f>EXP(-LN(2)/2)*EX185+(1-EXP(-LN(2)/2))/(LN(2)/2)*ER186*EU186*VLOOKUP('Données projet'!$B$15,Paramètres!$A$1:$I$89,3,0)*0.475*44/12</f>
        <v>2.1537164649099275E-14</v>
      </c>
      <c r="EY186" s="22">
        <f t="shared" si="181"/>
        <v>1.6479327525595076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1.5961632016114892E-13</v>
      </c>
      <c r="P187" s="13">
        <f t="shared" si="141"/>
        <v>2.2708641912150958E-12</v>
      </c>
      <c r="Q187" s="20">
        <f t="shared" si="162"/>
        <v>4.2330868906469593E-12</v>
      </c>
      <c r="R187" s="59">
        <f t="shared" si="109"/>
        <v>293.33333333333752</v>
      </c>
      <c r="S187" s="59">
        <f ca="1">AVERAGE(OFFSET($R$3,0,0,'Données projet'!$E$9+1,1))-AVERAGE(OFFSET($H$3,0,0,'Données projet'!$E$9+1,1))</f>
        <v>205.73717397588365</v>
      </c>
      <c r="T187" s="59">
        <f t="shared" si="142"/>
        <v>190.64998698136026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36.653743272249159</v>
      </c>
      <c r="AA187" s="21">
        <f>EXP(-LN(2)/25)*AA186+(1-EXP(-LN(2)/25))/(LN(2)/25)*Calculateur!V187*Calculateur!X187*VLOOKUP('Données projet'!$B$9,Paramètres!$A$1:$I$89,3,0)*0.475*44/12</f>
        <v>4.9138201654817664</v>
      </c>
      <c r="AB187" s="21">
        <f>EXP(-LN(2)/2)*AB186+(1-EXP(-LN(2)/2))/(LN(2)/2)*V187*Y187*VLOOKUP('Données projet'!$B$9,Paramètres!$A$1:$I$89,3,0)*0.475*44/12</f>
        <v>2.8536895980311761E-11</v>
      </c>
      <c r="AC187" s="22">
        <f t="shared" si="163"/>
        <v>41.56756343775946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283.73369613548124</v>
      </c>
      <c r="AO187" s="59">
        <f t="shared" si="144"/>
        <v>249.77804091581208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-6.3550942286383367E-14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278.5296012747549</v>
      </c>
      <c r="BJ187" s="59">
        <f t="shared" si="146"/>
        <v>370.55343097937077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17.614030248073909</v>
      </c>
      <c r="BQ187" s="21">
        <f>EXP(-LN(2)/25)*BQ186+(1-EXP(-LN(2)/25))/(LN(2)/25)*Calculateur!BL187*Calculateur!BN187*VLOOKUP('Données projet'!$B$11,Paramètres!$A$1:$I$89,3,0)*0.475*44/12</f>
        <v>1.6112599445462648</v>
      </c>
      <c r="BR187" s="21">
        <f>EXP(-LN(2)/2)*BR186+(1-EXP(-LN(2)/2))/(LN(2)/2)*BL187*BO187*VLOOKUP('Données projet'!$B$11,Paramètres!$A$1:$I$89,3,0)*0.475*44/12</f>
        <v>1.3094825633706261E-18</v>
      </c>
      <c r="BS187" s="22">
        <f t="shared" si="169"/>
        <v>19.225290192620175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-3.1036506698001178E-14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159.92263609041913</v>
      </c>
      <c r="CE187" s="59">
        <f t="shared" si="148"/>
        <v>271.78119133009307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3.8939704568738565</v>
      </c>
      <c r="CL187" s="21">
        <f>EXP(-LN(2)/25)*CL186+(1-EXP(-LN(2)/25))/(LN(2)/25)*Calculateur!CG187*Calculateur!CI187*VLOOKUP('Données projet'!$B$12,Paramètres!$A$1:$I$89,3,0)*0.475*44/12</f>
        <v>2.7665509256888945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6.6605213825627505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5.6843418860808015E-13</v>
      </c>
      <c r="CU187" s="17">
        <f>CT187*VLOOKUP('Données projet'!$B$13,Paramètres!$A$1:$I$89,3,0)*VLOOKUP('Données projet'!$B$13,Paramètres!$A$1:$I$89,5,0)</f>
        <v>5.1431925385259092E-13</v>
      </c>
      <c r="CV187" s="13">
        <f t="shared" si="173"/>
        <v>6.3855359115685756E-12</v>
      </c>
      <c r="CW187" s="20">
        <f t="shared" si="174"/>
        <v>1.2017247746441865E-11</v>
      </c>
      <c r="CX187" s="59">
        <f t="shared" si="122"/>
        <v>293.33333333334531</v>
      </c>
      <c r="CY187" s="59">
        <f ca="1">AVERAGE(OFFSET($CX$3,0,0,'Données projet'!$E$13+1,1))-AVERAGE(OFFSET($H$3,0,0,'Données projet'!$E$13+1,1))</f>
        <v>280.25710840677186</v>
      </c>
      <c r="CZ187" s="59">
        <f t="shared" si="150"/>
        <v>209.65224013288037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59.856962434856712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59.856962434856712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243</v>
      </c>
      <c r="DP187" s="17">
        <f>DO187*VLOOKUP('Données projet'!$B$14,Paramètres!$A$1:$I$89,3,0)*VLOOKUP('Données projet'!$B$14,Paramètres!$A$1:$I$89,5,0)</f>
        <v>253.98360000000002</v>
      </c>
      <c r="DQ187" s="13">
        <f t="shared" si="176"/>
        <v>61.438182405444294</v>
      </c>
      <c r="DR187" s="20">
        <f t="shared" si="177"/>
        <v>549.35960435614891</v>
      </c>
      <c r="DS187" s="59">
        <f t="shared" si="125"/>
        <v>842.69293768948228</v>
      </c>
      <c r="DT187" s="59">
        <f ca="1">AVERAGE(OFFSET($DS$3,0,0,'Données projet'!$E$14+1,1))-AVERAGE(OFFSET($H$3,0,0,'Données projet'!$E$14+1,1))</f>
        <v>330.14201227773452</v>
      </c>
      <c r="DU187" s="59">
        <f t="shared" si="152"/>
        <v>307.07297894926467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6.1776070955637321</v>
      </c>
      <c r="EB187" s="21">
        <f>EXP(-LN(2)/25)*EB186+(1-EXP(-LN(2)/25))/(LN(2)/25)*Calculateur!DW187*Calculateur!DY187*VLOOKUP('Données projet'!$B$14,Paramètres!$A$1:$I$89,3,0)*0.475*44/12</f>
        <v>1.7351467241654437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7.9127538197291756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236.00000000000009</v>
      </c>
      <c r="EK187" s="17">
        <f>EJ187*VLOOKUP('Données projet'!$B$15,Paramètres!$A$1:$I$89,3,0)*VLOOKUP('Données projet'!$B$15,Paramètres!$A$1:$I$89,5,0)</f>
        <v>154.62720000000004</v>
      </c>
      <c r="EL187" s="13">
        <f t="shared" si="179"/>
        <v>39.62826685000794</v>
      </c>
      <c r="EM187" s="20">
        <f t="shared" si="180"/>
        <v>338.32827143043056</v>
      </c>
      <c r="EN187" s="59">
        <f t="shared" si="128"/>
        <v>631.66160476376388</v>
      </c>
      <c r="EO187" s="59">
        <f ca="1">AVERAGE(OFFSET($EN$3,0,0,'Données projet'!$E$15+1,1))-AVERAGE(OFFSET($H$3,0,0,'Données projet'!$E$15+1,1))</f>
        <v>183.30081488041924</v>
      </c>
      <c r="EP187" s="59">
        <f t="shared" si="154"/>
        <v>199.33099759570928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0.57978408982965401</v>
      </c>
      <c r="EW187" s="21">
        <f>EXP(-LN(2)/25)*EW186+(1-EXP(-LN(2)/25))/(LN(2)/25)*Calculateur!ER187*Calculateur!ET187*VLOOKUP('Données projet'!$B$15,Paramètres!$A$1:$I$89,3,0)*0.475*44/12</f>
        <v>1.027660576507236</v>
      </c>
      <c r="EX187" s="21">
        <f>EXP(-LN(2)/2)*EX186+(1-EXP(-LN(2)/2))/(LN(2)/2)*ER187*EU187*VLOOKUP('Données projet'!$B$15,Paramètres!$A$1:$I$89,3,0)*0.475*44/12</f>
        <v>1.5229075170909288E-14</v>
      </c>
      <c r="EY187" s="22">
        <f t="shared" si="181"/>
        <v>1.6074446663369053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1.5961632016114892E-13</v>
      </c>
      <c r="P188" s="13">
        <f t="shared" si="141"/>
        <v>2.2708641912150958E-12</v>
      </c>
      <c r="Q188" s="20">
        <f t="shared" si="162"/>
        <v>4.2330868906469593E-12</v>
      </c>
      <c r="R188" s="59">
        <f t="shared" si="109"/>
        <v>293.33333333333752</v>
      </c>
      <c r="S188" s="59">
        <f ca="1">AVERAGE(OFFSET($R$3,0,0,'Données projet'!$E$9+1,1))-AVERAGE(OFFSET($H$3,0,0,'Données projet'!$E$9+1,1))</f>
        <v>205.73717397588365</v>
      </c>
      <c r="T188" s="59">
        <f t="shared" si="142"/>
        <v>190.64998698136026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35.934985723256219</v>
      </c>
      <c r="AA188" s="21">
        <f>EXP(-LN(2)/25)*AA187+(1-EXP(-LN(2)/25))/(LN(2)/25)*Calculateur!V188*Calculateur!X188*VLOOKUP('Données projet'!$B$9,Paramètres!$A$1:$I$89,3,0)*0.475*44/12</f>
        <v>4.7794514946500959</v>
      </c>
      <c r="AB188" s="21">
        <f>EXP(-LN(2)/2)*AB187+(1-EXP(-LN(2)/2))/(LN(2)/2)*V188*Y188*VLOOKUP('Données projet'!$B$9,Paramètres!$A$1:$I$89,3,0)*0.475*44/12</f>
        <v>2.0178632661693577E-11</v>
      </c>
      <c r="AC188" s="22">
        <f t="shared" si="163"/>
        <v>40.714437217926495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283.73369613548124</v>
      </c>
      <c r="AO188" s="59">
        <f t="shared" si="144"/>
        <v>249.77804091581208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-6.3550942286383367E-14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278.5296012747549</v>
      </c>
      <c r="BJ188" s="59">
        <f t="shared" si="146"/>
        <v>370.55343097937077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17.268629858406801</v>
      </c>
      <c r="BQ188" s="21">
        <f>EXP(-LN(2)/25)*BQ187+(1-EXP(-LN(2)/25))/(LN(2)/25)*Calculateur!BL188*Calculateur!BN188*VLOOKUP('Données projet'!$B$11,Paramètres!$A$1:$I$89,3,0)*0.475*44/12</f>
        <v>1.5671999566301693</v>
      </c>
      <c r="BR188" s="21">
        <f>EXP(-LN(2)/2)*BR187+(1-EXP(-LN(2)/2))/(LN(2)/2)*BL188*BO188*VLOOKUP('Données projet'!$B$11,Paramètres!$A$1:$I$89,3,0)*0.475*44/12</f>
        <v>9.2594400040491263E-19</v>
      </c>
      <c r="BS188" s="22">
        <f t="shared" si="169"/>
        <v>18.83582981503697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-3.1036506698001178E-14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159.92263609041913</v>
      </c>
      <c r="CE188" s="59">
        <f t="shared" si="148"/>
        <v>271.78119133009307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3.8176120713020185</v>
      </c>
      <c r="CL188" s="21">
        <f>EXP(-LN(2)/25)*CL187+(1-EXP(-LN(2)/25))/(LN(2)/25)*Calculateur!CG188*Calculateur!CI188*VLOOKUP('Données projet'!$B$12,Paramètres!$A$1:$I$89,3,0)*0.475*44/12</f>
        <v>2.6908994451393413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6.5085115164413594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5.6843418860808015E-13</v>
      </c>
      <c r="CU188" s="17">
        <f>CT188*VLOOKUP('Données projet'!$B$13,Paramètres!$A$1:$I$89,3,0)*VLOOKUP('Données projet'!$B$13,Paramètres!$A$1:$I$89,5,0)</f>
        <v>5.1431925385259092E-13</v>
      </c>
      <c r="CV188" s="13">
        <f t="shared" si="173"/>
        <v>6.3855359115685756E-12</v>
      </c>
      <c r="CW188" s="20">
        <f t="shared" si="174"/>
        <v>1.2017247746441865E-11</v>
      </c>
      <c r="CX188" s="59">
        <f t="shared" si="122"/>
        <v>293.33333333334531</v>
      </c>
      <c r="CY188" s="59">
        <f ca="1">AVERAGE(OFFSET($CX$3,0,0,'Données projet'!$E$13+1,1))-AVERAGE(OFFSET($H$3,0,0,'Données projet'!$E$13+1,1))</f>
        <v>280.25710840677186</v>
      </c>
      <c r="CZ188" s="59">
        <f t="shared" si="150"/>
        <v>209.65224013288037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58.68320391065128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58.68320391065128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243</v>
      </c>
      <c r="DP188" s="17">
        <f>DO188*VLOOKUP('Données projet'!$B$14,Paramètres!$A$1:$I$89,3,0)*VLOOKUP('Données projet'!$B$14,Paramètres!$A$1:$I$89,5,0)</f>
        <v>253.98360000000002</v>
      </c>
      <c r="DQ188" s="13">
        <f t="shared" si="176"/>
        <v>61.438182405444294</v>
      </c>
      <c r="DR188" s="20">
        <f t="shared" si="177"/>
        <v>549.35960435614891</v>
      </c>
      <c r="DS188" s="59">
        <f t="shared" si="125"/>
        <v>842.69293768948228</v>
      </c>
      <c r="DT188" s="59">
        <f ca="1">AVERAGE(OFFSET($DS$3,0,0,'Données projet'!$E$14+1,1))-AVERAGE(OFFSET($H$3,0,0,'Données projet'!$E$14+1,1))</f>
        <v>330.14201227773452</v>
      </c>
      <c r="DU188" s="59">
        <f t="shared" si="152"/>
        <v>307.07297894926467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6.0564679883879995</v>
      </c>
      <c r="EB188" s="21">
        <f>EXP(-LN(2)/25)*EB187+(1-EXP(-LN(2)/25))/(LN(2)/25)*Calculateur!DW188*Calculateur!DY188*VLOOKUP('Données projet'!$B$14,Paramètres!$A$1:$I$89,3,0)*0.475*44/12</f>
        <v>1.687699045745739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7.7441670341337385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236.00000000000009</v>
      </c>
      <c r="EK188" s="17">
        <f>EJ188*VLOOKUP('Données projet'!$B$15,Paramètres!$A$1:$I$89,3,0)*VLOOKUP('Données projet'!$B$15,Paramètres!$A$1:$I$89,5,0)</f>
        <v>154.62720000000004</v>
      </c>
      <c r="EL188" s="13">
        <f t="shared" si="179"/>
        <v>39.62826685000794</v>
      </c>
      <c r="EM188" s="20">
        <f t="shared" si="180"/>
        <v>338.32827143043056</v>
      </c>
      <c r="EN188" s="59">
        <f t="shared" si="128"/>
        <v>631.66160476376388</v>
      </c>
      <c r="EO188" s="59">
        <f ca="1">AVERAGE(OFFSET($EN$3,0,0,'Données projet'!$E$15+1,1))-AVERAGE(OFFSET($H$3,0,0,'Données projet'!$E$15+1,1))</f>
        <v>183.30081488041924</v>
      </c>
      <c r="EP188" s="59">
        <f t="shared" si="154"/>
        <v>199.33099759570928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0.5684148774614709</v>
      </c>
      <c r="EW188" s="21">
        <f>EXP(-LN(2)/25)*EW187+(1-EXP(-LN(2)/25))/(LN(2)/25)*Calculateur!ER188*Calculateur!ET188*VLOOKUP('Données projet'!$B$15,Paramètres!$A$1:$I$89,3,0)*0.475*44/12</f>
        <v>0.99955914400032464</v>
      </c>
      <c r="EX188" s="21">
        <f>EXP(-LN(2)/2)*EX187+(1-EXP(-LN(2)/2))/(LN(2)/2)*ER188*EU188*VLOOKUP('Données projet'!$B$15,Paramètres!$A$1:$I$89,3,0)*0.475*44/12</f>
        <v>1.0768582324549638E-14</v>
      </c>
      <c r="EY188" s="22">
        <f t="shared" si="181"/>
        <v>1.5679740214618061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1.5961632016114892E-13</v>
      </c>
      <c r="P189" s="13">
        <f t="shared" si="141"/>
        <v>2.2708641912150958E-12</v>
      </c>
      <c r="Q189" s="20">
        <f t="shared" si="162"/>
        <v>4.2330868906469593E-12</v>
      </c>
      <c r="R189" s="59">
        <f t="shared" si="109"/>
        <v>293.33333333333752</v>
      </c>
      <c r="S189" s="59">
        <f ca="1">AVERAGE(OFFSET($R$3,0,0,'Données projet'!$E$9+1,1))-AVERAGE(OFFSET($H$3,0,0,'Données projet'!$E$9+1,1))</f>
        <v>205.73717397588365</v>
      </c>
      <c r="T189" s="59">
        <f t="shared" si="142"/>
        <v>190.64998698136026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35.230322571400215</v>
      </c>
      <c r="AA189" s="21">
        <f>EXP(-LN(2)/25)*AA188+(1-EXP(-LN(2)/25))/(LN(2)/25)*Calculateur!V189*Calculateur!X189*VLOOKUP('Données projet'!$B$9,Paramètres!$A$1:$I$89,3,0)*0.475*44/12</f>
        <v>4.6487571421884581</v>
      </c>
      <c r="AB189" s="21">
        <f>EXP(-LN(2)/2)*AB188+(1-EXP(-LN(2)/2))/(LN(2)/2)*V189*Y189*VLOOKUP('Données projet'!$B$9,Paramètres!$A$1:$I$89,3,0)*0.475*44/12</f>
        <v>1.4268447990155882E-11</v>
      </c>
      <c r="AC189" s="22">
        <f t="shared" si="163"/>
        <v>39.879079713602941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283.73369613548124</v>
      </c>
      <c r="AO189" s="59">
        <f t="shared" si="144"/>
        <v>249.77804091581208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-6.3550942286383367E-14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278.5296012747549</v>
      </c>
      <c r="BJ189" s="59">
        <f t="shared" si="146"/>
        <v>370.55343097937077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16.930002559707628</v>
      </c>
      <c r="BQ189" s="21">
        <f>EXP(-LN(2)/25)*BQ188+(1-EXP(-LN(2)/25))/(LN(2)/25)*Calculateur!BL189*Calculateur!BN189*VLOOKUP('Données projet'!$B$11,Paramètres!$A$1:$I$89,3,0)*0.475*44/12</f>
        <v>1.5243447914006536</v>
      </c>
      <c r="BR189" s="21">
        <f>EXP(-LN(2)/2)*BR188+(1-EXP(-LN(2)/2))/(LN(2)/2)*BL189*BO189*VLOOKUP('Données projet'!$B$11,Paramètres!$A$1:$I$89,3,0)*0.475*44/12</f>
        <v>6.5474128168531303E-19</v>
      </c>
      <c r="BS189" s="22">
        <f t="shared" si="169"/>
        <v>18.454347351108282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-3.1036506698001178E-14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159.92263609041913</v>
      </c>
      <c r="CE189" s="59">
        <f t="shared" si="148"/>
        <v>271.78119133009307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3.7427510270972277</v>
      </c>
      <c r="CL189" s="21">
        <f>EXP(-LN(2)/25)*CL188+(1-EXP(-LN(2)/25))/(LN(2)/25)*Calculateur!CG189*Calculateur!CI189*VLOOKUP('Données projet'!$B$12,Paramètres!$A$1:$I$89,3,0)*0.475*44/12</f>
        <v>2.6173166583037544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6.3600676854009821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5.6843418860808015E-13</v>
      </c>
      <c r="CU189" s="17">
        <f>CT189*VLOOKUP('Données projet'!$B$13,Paramètres!$A$1:$I$89,3,0)*VLOOKUP('Données projet'!$B$13,Paramètres!$A$1:$I$89,5,0)</f>
        <v>5.1431925385259092E-13</v>
      </c>
      <c r="CV189" s="13">
        <f t="shared" si="173"/>
        <v>6.3855359115685756E-12</v>
      </c>
      <c r="CW189" s="20">
        <f t="shared" si="174"/>
        <v>1.2017247746441865E-11</v>
      </c>
      <c r="CX189" s="59">
        <f t="shared" si="122"/>
        <v>293.33333333334531</v>
      </c>
      <c r="CY189" s="59">
        <f ca="1">AVERAGE(OFFSET($CX$3,0,0,'Données projet'!$E$13+1,1))-AVERAGE(OFFSET($H$3,0,0,'Données projet'!$E$13+1,1))</f>
        <v>280.25710840677186</v>
      </c>
      <c r="CZ189" s="59">
        <f t="shared" si="150"/>
        <v>209.65224013288037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57.53246207518351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57.53246207518351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243</v>
      </c>
      <c r="DP189" s="17">
        <f>DO189*VLOOKUP('Données projet'!$B$14,Paramètres!$A$1:$I$89,3,0)*VLOOKUP('Données projet'!$B$14,Paramètres!$A$1:$I$89,5,0)</f>
        <v>253.98360000000002</v>
      </c>
      <c r="DQ189" s="13">
        <f t="shared" si="176"/>
        <v>61.438182405444294</v>
      </c>
      <c r="DR189" s="20">
        <f t="shared" si="177"/>
        <v>549.35960435614891</v>
      </c>
      <c r="DS189" s="59">
        <f t="shared" si="125"/>
        <v>842.69293768948228</v>
      </c>
      <c r="DT189" s="59">
        <f ca="1">AVERAGE(OFFSET($DS$3,0,0,'Données projet'!$E$14+1,1))-AVERAGE(OFFSET($H$3,0,0,'Données projet'!$E$14+1,1))</f>
        <v>330.14201227773452</v>
      </c>
      <c r="DU189" s="59">
        <f t="shared" si="152"/>
        <v>307.07297894926467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5.9377043452164235</v>
      </c>
      <c r="EB189" s="21">
        <f>EXP(-LN(2)/25)*EB188+(1-EXP(-LN(2)/25))/(LN(2)/25)*Calculateur!DW189*Calculateur!DY189*VLOOKUP('Données projet'!$B$14,Paramètres!$A$1:$I$89,3,0)*0.475*44/12</f>
        <v>1.6415488265875862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7.5792531718040097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236.00000000000009</v>
      </c>
      <c r="EK189" s="17">
        <f>EJ189*VLOOKUP('Données projet'!$B$15,Paramètres!$A$1:$I$89,3,0)*VLOOKUP('Données projet'!$B$15,Paramètres!$A$1:$I$89,5,0)</f>
        <v>154.62720000000004</v>
      </c>
      <c r="EL189" s="13">
        <f t="shared" si="179"/>
        <v>39.62826685000794</v>
      </c>
      <c r="EM189" s="20">
        <f t="shared" si="180"/>
        <v>338.32827143043056</v>
      </c>
      <c r="EN189" s="59">
        <f t="shared" si="128"/>
        <v>631.66160476376388</v>
      </c>
      <c r="EO189" s="59">
        <f ca="1">AVERAGE(OFFSET($EN$3,0,0,'Données projet'!$E$15+1,1))-AVERAGE(OFFSET($H$3,0,0,'Données projet'!$E$15+1,1))</f>
        <v>183.30081488041924</v>
      </c>
      <c r="EP189" s="59">
        <f t="shared" si="154"/>
        <v>199.33099759570928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0.55726860841329307</v>
      </c>
      <c r="EW189" s="21">
        <f>EXP(-LN(2)/25)*EW188+(1-EXP(-LN(2)/25))/(LN(2)/25)*Calculateur!ER189*Calculateur!ET189*VLOOKUP('Données projet'!$B$15,Paramètres!$A$1:$I$89,3,0)*0.475*44/12</f>
        <v>0.97222614664310492</v>
      </c>
      <c r="EX189" s="21">
        <f>EXP(-LN(2)/2)*EX188+(1-EXP(-LN(2)/2))/(LN(2)/2)*ER189*EU189*VLOOKUP('Données projet'!$B$15,Paramètres!$A$1:$I$89,3,0)*0.475*44/12</f>
        <v>7.6145375854546439E-15</v>
      </c>
      <c r="EY189" s="22">
        <f t="shared" si="181"/>
        <v>1.5294947550564055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1.5961632016114892E-13</v>
      </c>
      <c r="P190" s="13">
        <f t="shared" si="141"/>
        <v>2.2708641912150958E-12</v>
      </c>
      <c r="Q190" s="20">
        <f t="shared" si="162"/>
        <v>4.2330868906469593E-12</v>
      </c>
      <c r="R190" s="59">
        <f t="shared" si="109"/>
        <v>293.33333333333752</v>
      </c>
      <c r="S190" s="59">
        <f ca="1">AVERAGE(OFFSET($R$3,0,0,'Données projet'!$E$9+1,1))-AVERAGE(OFFSET($H$3,0,0,'Données projet'!$E$9+1,1))</f>
        <v>205.73717397588365</v>
      </c>
      <c r="T190" s="59">
        <f t="shared" si="142"/>
        <v>190.64998698136026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34.539477434150022</v>
      </c>
      <c r="AA190" s="21">
        <f>EXP(-LN(2)/25)*AA189+(1-EXP(-LN(2)/25))/(LN(2)/25)*Calculateur!V190*Calculateur!X190*VLOOKUP('Données projet'!$B$9,Paramètres!$A$1:$I$89,3,0)*0.475*44/12</f>
        <v>4.5216366336678018</v>
      </c>
      <c r="AB190" s="21">
        <f>EXP(-LN(2)/2)*AB189+(1-EXP(-LN(2)/2))/(LN(2)/2)*V190*Y190*VLOOKUP('Données projet'!$B$9,Paramètres!$A$1:$I$89,3,0)*0.475*44/12</f>
        <v>1.008931633084679E-11</v>
      </c>
      <c r="AC190" s="22">
        <f t="shared" si="163"/>
        <v>39.061114067827916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283.73369613548124</v>
      </c>
      <c r="AO190" s="59">
        <f t="shared" si="144"/>
        <v>249.77804091581208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-6.3550942286383367E-14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278.5296012747549</v>
      </c>
      <c r="BJ190" s="59">
        <f t="shared" si="146"/>
        <v>370.55343097937077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16.598015535793689</v>
      </c>
      <c r="BQ190" s="21">
        <f>EXP(-LN(2)/25)*BQ189+(1-EXP(-LN(2)/25))/(LN(2)/25)*Calculateur!BL190*Calculateur!BN190*VLOOKUP('Données projet'!$B$11,Paramètres!$A$1:$I$89,3,0)*0.475*44/12</f>
        <v>1.4826615029179941</v>
      </c>
      <c r="BR190" s="21">
        <f>EXP(-LN(2)/2)*BR189+(1-EXP(-LN(2)/2))/(LN(2)/2)*BL190*BO190*VLOOKUP('Données projet'!$B$11,Paramètres!$A$1:$I$89,3,0)*0.475*44/12</f>
        <v>4.6297200020245631E-19</v>
      </c>
      <c r="BS190" s="22">
        <f t="shared" si="169"/>
        <v>18.080677038711684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-3.1036506698001178E-14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159.92263609041913</v>
      </c>
      <c r="CE190" s="59">
        <f t="shared" si="148"/>
        <v>271.78119133009307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3.6693579623085646</v>
      </c>
      <c r="CL190" s="21">
        <f>EXP(-LN(2)/25)*CL189+(1-EXP(-LN(2)/25))/(LN(2)/25)*Calculateur!CG190*Calculateur!CI190*VLOOKUP('Données projet'!$B$12,Paramètres!$A$1:$I$89,3,0)*0.475*44/12</f>
        <v>2.545745996643737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6.2151039589523016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5.6843418860808015E-13</v>
      </c>
      <c r="CU190" s="17">
        <f>CT190*VLOOKUP('Données projet'!$B$13,Paramètres!$A$1:$I$89,3,0)*VLOOKUP('Données projet'!$B$13,Paramètres!$A$1:$I$89,5,0)</f>
        <v>5.1431925385259092E-13</v>
      </c>
      <c r="CV190" s="13">
        <f t="shared" si="173"/>
        <v>6.3855359115685756E-12</v>
      </c>
      <c r="CW190" s="20">
        <f t="shared" si="174"/>
        <v>1.2017247746441865E-11</v>
      </c>
      <c r="CX190" s="59">
        <f t="shared" si="122"/>
        <v>293.33333333334531</v>
      </c>
      <c r="CY190" s="59">
        <f ca="1">AVERAGE(OFFSET($CX$3,0,0,'Données projet'!$E$13+1,1))-AVERAGE(OFFSET($H$3,0,0,'Données projet'!$E$13+1,1))</f>
        <v>280.25710840677186</v>
      </c>
      <c r="CZ190" s="59">
        <f t="shared" si="150"/>
        <v>209.65224013288037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56.404285585226049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56.404285585226049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243</v>
      </c>
      <c r="DP190" s="17">
        <f>DO190*VLOOKUP('Données projet'!$B$14,Paramètres!$A$1:$I$89,3,0)*VLOOKUP('Données projet'!$B$14,Paramètres!$A$1:$I$89,5,0)</f>
        <v>253.98360000000002</v>
      </c>
      <c r="DQ190" s="13">
        <f t="shared" si="176"/>
        <v>61.438182405444294</v>
      </c>
      <c r="DR190" s="20">
        <f t="shared" si="177"/>
        <v>549.35960435614891</v>
      </c>
      <c r="DS190" s="59">
        <f t="shared" si="125"/>
        <v>842.69293768948228</v>
      </c>
      <c r="DT190" s="59">
        <f ca="1">AVERAGE(OFFSET($DS$3,0,0,'Données projet'!$E$14+1,1))-AVERAGE(OFFSET($H$3,0,0,'Données projet'!$E$14+1,1))</f>
        <v>330.14201227773452</v>
      </c>
      <c r="DU190" s="59">
        <f t="shared" si="152"/>
        <v>307.07297894926467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5.821269584648773</v>
      </c>
      <c r="EB190" s="21">
        <f>EXP(-LN(2)/25)*EB189+(1-EXP(-LN(2)/25))/(LN(2)/25)*Calculateur!DW190*Calculateur!DY190*VLOOKUP('Données projet'!$B$14,Paramètres!$A$1:$I$89,3,0)*0.475*44/12</f>
        <v>1.5966605875992477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7.4179301722480204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236.00000000000009</v>
      </c>
      <c r="EK190" s="17">
        <f>EJ190*VLOOKUP('Données projet'!$B$15,Paramètres!$A$1:$I$89,3,0)*VLOOKUP('Données projet'!$B$15,Paramètres!$A$1:$I$89,5,0)</f>
        <v>154.62720000000004</v>
      </c>
      <c r="EL190" s="13">
        <f t="shared" si="179"/>
        <v>39.62826685000794</v>
      </c>
      <c r="EM190" s="20">
        <f t="shared" si="180"/>
        <v>338.32827143043056</v>
      </c>
      <c r="EN190" s="59">
        <f t="shared" si="128"/>
        <v>631.66160476376388</v>
      </c>
      <c r="EO190" s="59">
        <f ca="1">AVERAGE(OFFSET($EN$3,0,0,'Données projet'!$E$15+1,1))-AVERAGE(OFFSET($H$3,0,0,'Données projet'!$E$15+1,1))</f>
        <v>183.30081488041924</v>
      </c>
      <c r="EP190" s="59">
        <f t="shared" si="154"/>
        <v>199.33099759570928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0.54634091090259718</v>
      </c>
      <c r="EW190" s="21">
        <f>EXP(-LN(2)/25)*EW189+(1-EXP(-LN(2)/25))/(LN(2)/25)*Calculateur!ER190*Calculateur!ET190*VLOOKUP('Données projet'!$B$15,Paramètres!$A$1:$I$89,3,0)*0.475*44/12</f>
        <v>0.94564057153599823</v>
      </c>
      <c r="EX190" s="21">
        <f>EXP(-LN(2)/2)*EX189+(1-EXP(-LN(2)/2))/(LN(2)/2)*ER190*EU190*VLOOKUP('Données projet'!$B$15,Paramètres!$A$1:$I$89,3,0)*0.475*44/12</f>
        <v>5.3842911622748188E-15</v>
      </c>
      <c r="EY190" s="22">
        <f t="shared" si="181"/>
        <v>1.4919814824386006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1.5961632016114892E-13</v>
      </c>
      <c r="P191" s="13">
        <f t="shared" si="141"/>
        <v>2.2708641912150958E-12</v>
      </c>
      <c r="Q191" s="20">
        <f t="shared" si="162"/>
        <v>4.2330868906469593E-12</v>
      </c>
      <c r="R191" s="59">
        <f t="shared" si="109"/>
        <v>293.33333333333752</v>
      </c>
      <c r="S191" s="59">
        <f ca="1">AVERAGE(OFFSET($R$3,0,0,'Données projet'!$E$9+1,1))-AVERAGE(OFFSET($H$3,0,0,'Données projet'!$E$9+1,1))</f>
        <v>205.73717397588365</v>
      </c>
      <c r="T191" s="59">
        <f t="shared" si="142"/>
        <v>190.64998698136026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33.862179348667382</v>
      </c>
      <c r="AA191" s="21">
        <f>EXP(-LN(2)/25)*AA190+(1-EXP(-LN(2)/25))/(LN(2)/25)*Calculateur!V191*Calculateur!X191*VLOOKUP('Données projet'!$B$9,Paramètres!$A$1:$I$89,3,0)*0.475*44/12</f>
        <v>4.3979922421376196</v>
      </c>
      <c r="AB191" s="21">
        <f>EXP(-LN(2)/2)*AB190+(1-EXP(-LN(2)/2))/(LN(2)/2)*V191*Y191*VLOOKUP('Données projet'!$B$9,Paramètres!$A$1:$I$89,3,0)*0.475*44/12</f>
        <v>7.1342239950779419E-12</v>
      </c>
      <c r="AC191" s="22">
        <f t="shared" si="163"/>
        <v>38.260171590812135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283.73369613548124</v>
      </c>
      <c r="AO191" s="59">
        <f t="shared" si="144"/>
        <v>249.77804091581208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-6.3550942286383367E-14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278.5296012747549</v>
      </c>
      <c r="BJ191" s="59">
        <f t="shared" si="146"/>
        <v>370.55343097937077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16.27253857492661</v>
      </c>
      <c r="BQ191" s="21">
        <f>EXP(-LN(2)/25)*BQ190+(1-EXP(-LN(2)/25))/(LN(2)/25)*Calculateur!BL191*Calculateur!BN191*VLOOKUP('Données projet'!$B$11,Paramètres!$A$1:$I$89,3,0)*0.475*44/12</f>
        <v>1.4421180461509218</v>
      </c>
      <c r="BR191" s="21">
        <f>EXP(-LN(2)/2)*BR190+(1-EXP(-LN(2)/2))/(LN(2)/2)*BL191*BO191*VLOOKUP('Données projet'!$B$11,Paramètres!$A$1:$I$89,3,0)*0.475*44/12</f>
        <v>3.2737064084265651E-19</v>
      </c>
      <c r="BS191" s="22">
        <f t="shared" si="169"/>
        <v>17.71465662107753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-3.1036506698001178E-14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159.92263609041913</v>
      </c>
      <c r="CE191" s="59">
        <f t="shared" si="148"/>
        <v>271.78119133009307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3.5974040907550577</v>
      </c>
      <c r="CL191" s="21">
        <f>EXP(-LN(2)/25)*CL190+(1-EXP(-LN(2)/25))/(LN(2)/25)*Calculateur!CG191*Calculateur!CI191*VLOOKUP('Données projet'!$B$12,Paramètres!$A$1:$I$89,3,0)*0.475*44/12</f>
        <v>2.4761324384905503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6.0735365292456081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5.6843418860808015E-13</v>
      </c>
      <c r="CU191" s="17">
        <f>CT191*VLOOKUP('Données projet'!$B$13,Paramètres!$A$1:$I$89,3,0)*VLOOKUP('Données projet'!$B$13,Paramètres!$A$1:$I$89,5,0)</f>
        <v>5.1431925385259092E-13</v>
      </c>
      <c r="CV191" s="13">
        <f t="shared" si="173"/>
        <v>6.3855359115685756E-12</v>
      </c>
      <c r="CW191" s="20">
        <f t="shared" si="174"/>
        <v>1.2017247746441865E-11</v>
      </c>
      <c r="CX191" s="59">
        <f t="shared" si="122"/>
        <v>293.33333333334531</v>
      </c>
      <c r="CY191" s="59">
        <f ca="1">AVERAGE(OFFSET($CX$3,0,0,'Données projet'!$E$13+1,1))-AVERAGE(OFFSET($H$3,0,0,'Données projet'!$E$13+1,1))</f>
        <v>280.25710840677186</v>
      </c>
      <c r="CZ191" s="59">
        <f t="shared" si="150"/>
        <v>209.65224013288037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55.298231948116936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55.298231948116936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243</v>
      </c>
      <c r="DP191" s="17">
        <f>DO191*VLOOKUP('Données projet'!$B$14,Paramètres!$A$1:$I$89,3,0)*VLOOKUP('Données projet'!$B$14,Paramètres!$A$1:$I$89,5,0)</f>
        <v>253.98360000000002</v>
      </c>
      <c r="DQ191" s="13">
        <f t="shared" si="176"/>
        <v>61.438182405444294</v>
      </c>
      <c r="DR191" s="20">
        <f t="shared" si="177"/>
        <v>549.35960435614891</v>
      </c>
      <c r="DS191" s="59">
        <f t="shared" si="125"/>
        <v>842.69293768948228</v>
      </c>
      <c r="DT191" s="59">
        <f ca="1">AVERAGE(OFFSET($DS$3,0,0,'Données projet'!$E$14+1,1))-AVERAGE(OFFSET($H$3,0,0,'Données projet'!$E$14+1,1))</f>
        <v>330.14201227773452</v>
      </c>
      <c r="DU191" s="59">
        <f t="shared" si="152"/>
        <v>307.07297894926467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5.7071180387176623</v>
      </c>
      <c r="EB191" s="21">
        <f>EXP(-LN(2)/25)*EB190+(1-EXP(-LN(2)/25))/(LN(2)/25)*Calculateur!DW191*Calculateur!DY191*VLOOKUP('Données projet'!$B$14,Paramètres!$A$1:$I$89,3,0)*0.475*44/12</f>
        <v>1.5529998198666151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7.2601178585842776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236.00000000000009</v>
      </c>
      <c r="EK191" s="17">
        <f>EJ191*VLOOKUP('Données projet'!$B$15,Paramètres!$A$1:$I$89,3,0)*VLOOKUP('Données projet'!$B$15,Paramètres!$A$1:$I$89,5,0)</f>
        <v>154.62720000000004</v>
      </c>
      <c r="EL191" s="13">
        <f t="shared" si="179"/>
        <v>39.62826685000794</v>
      </c>
      <c r="EM191" s="20">
        <f t="shared" si="180"/>
        <v>338.32827143043056</v>
      </c>
      <c r="EN191" s="59">
        <f t="shared" si="128"/>
        <v>631.66160476376388</v>
      </c>
      <c r="EO191" s="59">
        <f ca="1">AVERAGE(OFFSET($EN$3,0,0,'Données projet'!$E$15+1,1))-AVERAGE(OFFSET($H$3,0,0,'Données projet'!$E$15+1,1))</f>
        <v>183.30081488041924</v>
      </c>
      <c r="EP191" s="59">
        <f t="shared" si="154"/>
        <v>199.33099759570928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0.53562749887484862</v>
      </c>
      <c r="EW191" s="21">
        <f>EXP(-LN(2)/25)*EW190+(1-EXP(-LN(2)/25))/(LN(2)/25)*Calculateur!ER191*Calculateur!ET191*VLOOKUP('Données projet'!$B$15,Paramètres!$A$1:$I$89,3,0)*0.475*44/12</f>
        <v>0.91978198037826997</v>
      </c>
      <c r="EX191" s="21">
        <f>EXP(-LN(2)/2)*EX190+(1-EXP(-LN(2)/2))/(LN(2)/2)*ER191*EU191*VLOOKUP('Données projet'!$B$15,Paramètres!$A$1:$I$89,3,0)*0.475*44/12</f>
        <v>3.807268792727322E-15</v>
      </c>
      <c r="EY191" s="22">
        <f t="shared" si="181"/>
        <v>1.4554094792531223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1.5961632016114892E-13</v>
      </c>
      <c r="P192" s="13">
        <f t="shared" si="141"/>
        <v>2.2708641912150958E-12</v>
      </c>
      <c r="Q192" s="20">
        <f t="shared" si="162"/>
        <v>4.2330868906469593E-12</v>
      </c>
      <c r="R192" s="59">
        <f t="shared" si="109"/>
        <v>293.33333333333752</v>
      </c>
      <c r="S192" s="59">
        <f ca="1">AVERAGE(OFFSET($R$3,0,0,'Données projet'!$E$9+1,1))-AVERAGE(OFFSET($H$3,0,0,'Données projet'!$E$9+1,1))</f>
        <v>205.73717397588365</v>
      </c>
      <c r="T192" s="59">
        <f t="shared" si="142"/>
        <v>190.64998698136026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33.198162665530013</v>
      </c>
      <c r="AA192" s="21">
        <f>EXP(-LN(2)/25)*AA191+(1-EXP(-LN(2)/25))/(LN(2)/25)*Calculateur!V192*Calculateur!X192*VLOOKUP('Données projet'!$B$9,Paramètres!$A$1:$I$89,3,0)*0.475*44/12</f>
        <v>4.2777289129960065</v>
      </c>
      <c r="AB192" s="21">
        <f>EXP(-LN(2)/2)*AB191+(1-EXP(-LN(2)/2))/(LN(2)/2)*V192*Y192*VLOOKUP('Données projet'!$B$9,Paramètres!$A$1:$I$89,3,0)*0.475*44/12</f>
        <v>5.0446581654233958E-12</v>
      </c>
      <c r="AC192" s="22">
        <f t="shared" si="163"/>
        <v>37.475891578531062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283.73369613548124</v>
      </c>
      <c r="AO192" s="59">
        <f t="shared" si="144"/>
        <v>249.77804091581208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-6.3550942286383367E-14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278.5296012747549</v>
      </c>
      <c r="BJ192" s="59">
        <f t="shared" si="146"/>
        <v>370.55343097937077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15.953444018740791</v>
      </c>
      <c r="BQ192" s="21">
        <f>EXP(-LN(2)/25)*BQ191+(1-EXP(-LN(2)/25))/(LN(2)/25)*Calculateur!BL192*Calculateur!BN192*VLOOKUP('Données projet'!$B$11,Paramètres!$A$1:$I$89,3,0)*0.475*44/12</f>
        <v>1.4026832523412327</v>
      </c>
      <c r="BR192" s="21">
        <f>EXP(-LN(2)/2)*BR191+(1-EXP(-LN(2)/2))/(LN(2)/2)*BL192*BO192*VLOOKUP('Données projet'!$B$11,Paramètres!$A$1:$I$89,3,0)*0.475*44/12</f>
        <v>2.3148600010122816E-19</v>
      </c>
      <c r="BS192" s="22">
        <f t="shared" si="169"/>
        <v>17.356127271082023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-3.1036506698001178E-14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159.92263609041913</v>
      </c>
      <c r="CE192" s="59">
        <f t="shared" si="148"/>
        <v>271.78119133009307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3.526861190735187</v>
      </c>
      <c r="CL192" s="21">
        <f>EXP(-LN(2)/25)*CL191+(1-EXP(-LN(2)/25))/(LN(2)/25)*Calculateur!CG192*Calculateur!CI192*VLOOKUP('Données projet'!$B$12,Paramètres!$A$1:$I$89,3,0)*0.475*44/12</f>
        <v>2.4084224667458805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5.935283657481067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5.6843418860808015E-13</v>
      </c>
      <c r="CU192" s="17">
        <f>CT192*VLOOKUP('Données projet'!$B$13,Paramètres!$A$1:$I$89,3,0)*VLOOKUP('Données projet'!$B$13,Paramètres!$A$1:$I$89,5,0)</f>
        <v>5.1431925385259092E-13</v>
      </c>
      <c r="CV192" s="13">
        <f t="shared" si="173"/>
        <v>6.3855359115685756E-12</v>
      </c>
      <c r="CW192" s="20">
        <f t="shared" si="174"/>
        <v>1.2017247746441865E-11</v>
      </c>
      <c r="CX192" s="59">
        <f t="shared" si="122"/>
        <v>293.33333333334531</v>
      </c>
      <c r="CY192" s="59">
        <f ca="1">AVERAGE(OFFSET($CX$3,0,0,'Données projet'!$E$13+1,1))-AVERAGE(OFFSET($H$3,0,0,'Données projet'!$E$13+1,1))</f>
        <v>280.25710840677186</v>
      </c>
      <c r="CZ192" s="59">
        <f t="shared" si="150"/>
        <v>209.65224013288037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54.213867348205426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54.213867348205426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243</v>
      </c>
      <c r="DP192" s="17">
        <f>DO192*VLOOKUP('Données projet'!$B$14,Paramètres!$A$1:$I$89,3,0)*VLOOKUP('Données projet'!$B$14,Paramètres!$A$1:$I$89,5,0)</f>
        <v>253.98360000000002</v>
      </c>
      <c r="DQ192" s="13">
        <f t="shared" si="176"/>
        <v>61.438182405444294</v>
      </c>
      <c r="DR192" s="20">
        <f t="shared" si="177"/>
        <v>549.35960435614891</v>
      </c>
      <c r="DS192" s="59">
        <f t="shared" si="125"/>
        <v>842.69293768948228</v>
      </c>
      <c r="DT192" s="59">
        <f ca="1">AVERAGE(OFFSET($DS$3,0,0,'Données projet'!$E$14+1,1))-AVERAGE(OFFSET($H$3,0,0,'Données projet'!$E$14+1,1))</f>
        <v>330.14201227773452</v>
      </c>
      <c r="DU192" s="59">
        <f t="shared" si="152"/>
        <v>307.07297894926467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5.5952049349766924</v>
      </c>
      <c r="EB192" s="21">
        <f>EXP(-LN(2)/25)*EB191+(1-EXP(-LN(2)/25))/(LN(2)/25)*Calculateur!DW192*Calculateur!DY192*VLOOKUP('Données projet'!$B$14,Paramètres!$A$1:$I$89,3,0)*0.475*44/12</f>
        <v>1.5105329581236513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7.1057378931003434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236.00000000000009</v>
      </c>
      <c r="EK192" s="17">
        <f>EJ192*VLOOKUP('Données projet'!$B$15,Paramètres!$A$1:$I$89,3,0)*VLOOKUP('Données projet'!$B$15,Paramètres!$A$1:$I$89,5,0)</f>
        <v>154.62720000000004</v>
      </c>
      <c r="EL192" s="13">
        <f t="shared" si="179"/>
        <v>39.62826685000794</v>
      </c>
      <c r="EM192" s="20">
        <f t="shared" si="180"/>
        <v>338.32827143043056</v>
      </c>
      <c r="EN192" s="59">
        <f t="shared" si="128"/>
        <v>631.66160476376388</v>
      </c>
      <c r="EO192" s="59">
        <f ca="1">AVERAGE(OFFSET($EN$3,0,0,'Données projet'!$E$15+1,1))-AVERAGE(OFFSET($H$3,0,0,'Données projet'!$E$15+1,1))</f>
        <v>183.30081488041924</v>
      </c>
      <c r="EP192" s="59">
        <f t="shared" si="154"/>
        <v>199.33099759570928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0.5251241703224282</v>
      </c>
      <c r="EW192" s="21">
        <f>EXP(-LN(2)/25)*EW191+(1-EXP(-LN(2)/25))/(LN(2)/25)*Calculateur!ER192*Calculateur!ET192*VLOOKUP('Données projet'!$B$15,Paramètres!$A$1:$I$89,3,0)*0.475*44/12</f>
        <v>0.894630493755594</v>
      </c>
      <c r="EX192" s="21">
        <f>EXP(-LN(2)/2)*EX191+(1-EXP(-LN(2)/2))/(LN(2)/2)*ER192*EU192*VLOOKUP('Données projet'!$B$15,Paramètres!$A$1:$I$89,3,0)*0.475*44/12</f>
        <v>2.6921455811374094E-15</v>
      </c>
      <c r="EY192" s="22">
        <f t="shared" si="181"/>
        <v>1.4197546640780248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1.5961632016114892E-13</v>
      </c>
      <c r="P193" s="13">
        <f t="shared" si="141"/>
        <v>2.2708641912150958E-12</v>
      </c>
      <c r="Q193" s="20">
        <f t="shared" si="162"/>
        <v>4.2330868906469593E-12</v>
      </c>
      <c r="R193" s="59">
        <f t="shared" si="109"/>
        <v>293.33333333333752</v>
      </c>
      <c r="S193" s="59">
        <f ca="1">AVERAGE(OFFSET($R$3,0,0,'Données projet'!$E$9+1,1))-AVERAGE(OFFSET($H$3,0,0,'Données projet'!$E$9+1,1))</f>
        <v>205.73717397588365</v>
      </c>
      <c r="T193" s="59">
        <f t="shared" si="142"/>
        <v>190.64998698136026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32.547166944538787</v>
      </c>
      <c r="AA193" s="21">
        <f>EXP(-LN(2)/25)*AA192+(1-EXP(-LN(2)/25))/(LN(2)/25)*Calculateur!V193*Calculateur!X193*VLOOKUP('Données projet'!$B$9,Paramètres!$A$1:$I$89,3,0)*0.475*44/12</f>
        <v>4.1607541909141439</v>
      </c>
      <c r="AB193" s="21">
        <f>EXP(-LN(2)/2)*AB192+(1-EXP(-LN(2)/2))/(LN(2)/2)*V193*Y193*VLOOKUP('Données projet'!$B$9,Paramètres!$A$1:$I$89,3,0)*0.475*44/12</f>
        <v>3.5671119975389718E-12</v>
      </c>
      <c r="AC193" s="22">
        <f t="shared" si="163"/>
        <v>36.707921135456502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283.73369613548124</v>
      </c>
      <c r="AO193" s="59">
        <f t="shared" si="144"/>
        <v>249.77804091581208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-6.3550942286383367E-14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278.5296012747549</v>
      </c>
      <c r="BJ193" s="59">
        <f t="shared" si="146"/>
        <v>370.55343097937077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15.640606712173314</v>
      </c>
      <c r="BQ193" s="21">
        <f>EXP(-LN(2)/25)*BQ192+(1-EXP(-LN(2)/25))/(LN(2)/25)*Calculateur!BL193*Calculateur!BN193*VLOOKUP('Données projet'!$B$11,Paramètres!$A$1:$I$89,3,0)*0.475*44/12</f>
        <v>1.3643268050420554</v>
      </c>
      <c r="BR193" s="21">
        <f>EXP(-LN(2)/2)*BR192+(1-EXP(-LN(2)/2))/(LN(2)/2)*BL193*BO193*VLOOKUP('Données projet'!$B$11,Paramètres!$A$1:$I$89,3,0)*0.475*44/12</f>
        <v>1.6368532042132826E-19</v>
      </c>
      <c r="BS193" s="22">
        <f t="shared" si="169"/>
        <v>17.00493351721537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-3.1036506698001178E-14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159.92263609041913</v>
      </c>
      <c r="CE193" s="59">
        <f t="shared" si="148"/>
        <v>271.78119133009307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3.4577015939577858</v>
      </c>
      <c r="CL193" s="21">
        <f>EXP(-LN(2)/25)*CL192+(1-EXP(-LN(2)/25))/(LN(2)/25)*Calculateur!CG193*Calculateur!CI193*VLOOKUP('Données projet'!$B$12,Paramètres!$A$1:$I$89,3,0)*0.475*44/12</f>
        <v>2.3425640277392814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5.8002656216970667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5.6843418860808015E-13</v>
      </c>
      <c r="CU193" s="17">
        <f>CT193*VLOOKUP('Données projet'!$B$13,Paramètres!$A$1:$I$89,3,0)*VLOOKUP('Données projet'!$B$13,Paramètres!$A$1:$I$89,5,0)</f>
        <v>5.1431925385259092E-13</v>
      </c>
      <c r="CV193" s="13">
        <f t="shared" si="173"/>
        <v>6.3855359115685756E-12</v>
      </c>
      <c r="CW193" s="20">
        <f t="shared" si="174"/>
        <v>1.2017247746441865E-11</v>
      </c>
      <c r="CX193" s="59">
        <f t="shared" si="122"/>
        <v>293.33333333334531</v>
      </c>
      <c r="CY193" s="59">
        <f ca="1">AVERAGE(OFFSET($CX$3,0,0,'Données projet'!$E$13+1,1))-AVERAGE(OFFSET($H$3,0,0,'Données projet'!$E$13+1,1))</f>
        <v>280.25710840677186</v>
      </c>
      <c r="CZ193" s="59">
        <f t="shared" si="150"/>
        <v>209.65224013288037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53.150766476701087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53.150766476701087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243</v>
      </c>
      <c r="DP193" s="17">
        <f>DO193*VLOOKUP('Données projet'!$B$14,Paramètres!$A$1:$I$89,3,0)*VLOOKUP('Données projet'!$B$14,Paramètres!$A$1:$I$89,5,0)</f>
        <v>253.98360000000002</v>
      </c>
      <c r="DQ193" s="13">
        <f t="shared" si="176"/>
        <v>61.438182405444294</v>
      </c>
      <c r="DR193" s="20">
        <f t="shared" si="177"/>
        <v>549.35960435614891</v>
      </c>
      <c r="DS193" s="59">
        <f t="shared" si="125"/>
        <v>842.69293768948228</v>
      </c>
      <c r="DT193" s="59">
        <f ca="1">AVERAGE(OFFSET($DS$3,0,0,'Données projet'!$E$14+1,1))-AVERAGE(OFFSET($H$3,0,0,'Données projet'!$E$14+1,1))</f>
        <v>330.14201227773452</v>
      </c>
      <c r="DU193" s="59">
        <f t="shared" si="152"/>
        <v>307.07297894926467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5.4854863789398296</v>
      </c>
      <c r="EB193" s="21">
        <f>EXP(-LN(2)/25)*EB192+(1-EXP(-LN(2)/25))/(LN(2)/25)*Calculateur!DW193*Calculateur!DY193*VLOOKUP('Données projet'!$B$14,Paramètres!$A$1:$I$89,3,0)*0.475*44/12</f>
        <v>1.4692273549482842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6.9547137338881138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236.00000000000009</v>
      </c>
      <c r="EK193" s="17">
        <f>EJ193*VLOOKUP('Données projet'!$B$15,Paramètres!$A$1:$I$89,3,0)*VLOOKUP('Données projet'!$B$15,Paramètres!$A$1:$I$89,5,0)</f>
        <v>154.62720000000004</v>
      </c>
      <c r="EL193" s="13">
        <f t="shared" si="179"/>
        <v>39.62826685000794</v>
      </c>
      <c r="EM193" s="20">
        <f t="shared" si="180"/>
        <v>338.32827143043056</v>
      </c>
      <c r="EN193" s="59">
        <f t="shared" si="128"/>
        <v>631.66160476376388</v>
      </c>
      <c r="EO193" s="59">
        <f ca="1">AVERAGE(OFFSET($EN$3,0,0,'Données projet'!$E$15+1,1))-AVERAGE(OFFSET($H$3,0,0,'Données projet'!$E$15+1,1))</f>
        <v>183.30081488041924</v>
      </c>
      <c r="EP193" s="59">
        <f t="shared" si="154"/>
        <v>199.33099759570928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0.51482680563652283</v>
      </c>
      <c r="EW193" s="21">
        <f>EXP(-LN(2)/25)*EW192+(1-EXP(-LN(2)/25))/(LN(2)/25)*Calculateur!ER193*Calculateur!ET193*VLOOKUP('Données projet'!$B$15,Paramètres!$A$1:$I$89,3,0)*0.475*44/12</f>
        <v>0.87016677585727431</v>
      </c>
      <c r="EX193" s="21">
        <f>EXP(-LN(2)/2)*EX192+(1-EXP(-LN(2)/2))/(LN(2)/2)*ER193*EU193*VLOOKUP('Données projet'!$B$15,Paramètres!$A$1:$I$89,3,0)*0.475*44/12</f>
        <v>1.903634396363661E-15</v>
      </c>
      <c r="EY193" s="22">
        <f t="shared" si="181"/>
        <v>1.3849935814937993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1.5961632016114892E-13</v>
      </c>
      <c r="P194" s="13">
        <f t="shared" si="141"/>
        <v>2.2708641912150958E-12</v>
      </c>
      <c r="Q194" s="20">
        <f t="shared" si="162"/>
        <v>4.2330868906469593E-12</v>
      </c>
      <c r="R194" s="59">
        <f t="shared" si="109"/>
        <v>293.33333333333752</v>
      </c>
      <c r="S194" s="59">
        <f ca="1">AVERAGE(OFFSET($R$3,0,0,'Données projet'!$E$9+1,1))-AVERAGE(OFFSET($H$3,0,0,'Données projet'!$E$9+1,1))</f>
        <v>205.73717397588365</v>
      </c>
      <c r="T194" s="59">
        <f t="shared" si="142"/>
        <v>190.64998698136026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31.908936852568015</v>
      </c>
      <c r="AA194" s="21">
        <f>EXP(-LN(2)/25)*AA193+(1-EXP(-LN(2)/25))/(LN(2)/25)*Calculateur!V194*Calculateur!X194*VLOOKUP('Données projet'!$B$9,Paramètres!$A$1:$I$89,3,0)*0.475*44/12</f>
        <v>4.0469781487590435</v>
      </c>
      <c r="AB194" s="21">
        <f>EXP(-LN(2)/2)*AB193+(1-EXP(-LN(2)/2))/(LN(2)/2)*V194*Y194*VLOOKUP('Données projet'!$B$9,Paramètres!$A$1:$I$89,3,0)*0.475*44/12</f>
        <v>2.5223290827116983E-12</v>
      </c>
      <c r="AC194" s="22">
        <f t="shared" si="163"/>
        <v>35.955915001329579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283.73369613548124</v>
      </c>
      <c r="AO194" s="59">
        <f t="shared" si="144"/>
        <v>249.77804091581208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-6.3550942286383367E-14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278.5296012747549</v>
      </c>
      <c r="BJ194" s="59">
        <f t="shared" si="146"/>
        <v>370.55343097937077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15.33390395437571</v>
      </c>
      <c r="BQ194" s="21">
        <f>EXP(-LN(2)/25)*BQ193+(1-EXP(-LN(2)/25))/(LN(2)/25)*Calculateur!BL194*Calculateur!BN194*VLOOKUP('Données projet'!$B$11,Paramètres!$A$1:$I$89,3,0)*0.475*44/12</f>
        <v>1.3270192168113519</v>
      </c>
      <c r="BR194" s="21">
        <f>EXP(-LN(2)/2)*BR193+(1-EXP(-LN(2)/2))/(LN(2)/2)*BL194*BO194*VLOOKUP('Données projet'!$B$11,Paramètres!$A$1:$I$89,3,0)*0.475*44/12</f>
        <v>1.1574300005061408E-19</v>
      </c>
      <c r="BS194" s="22">
        <f t="shared" si="169"/>
        <v>16.660923171187061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-3.1036506698001178E-14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159.92263609041913</v>
      </c>
      <c r="CE194" s="59">
        <f t="shared" si="148"/>
        <v>271.78119133009307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3.3898981746900003</v>
      </c>
      <c r="CL194" s="21">
        <f>EXP(-LN(2)/25)*CL193+(1-EXP(-LN(2)/25))/(LN(2)/25)*Calculateur!CG194*Calculateur!CI194*VLOOKUP('Données projet'!$B$12,Paramètres!$A$1:$I$89,3,0)*0.475*44/12</f>
        <v>2.2785064912106625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5.6684046659006633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5.6843418860808015E-13</v>
      </c>
      <c r="CU194" s="17">
        <f>CT194*VLOOKUP('Données projet'!$B$13,Paramètres!$A$1:$I$89,3,0)*VLOOKUP('Données projet'!$B$13,Paramètres!$A$1:$I$89,5,0)</f>
        <v>5.1431925385259092E-13</v>
      </c>
      <c r="CV194" s="13">
        <f t="shared" si="173"/>
        <v>6.3855359115685756E-12</v>
      </c>
      <c r="CW194" s="20">
        <f t="shared" si="174"/>
        <v>1.2017247746441865E-11</v>
      </c>
      <c r="CX194" s="59">
        <f t="shared" si="122"/>
        <v>293.33333333334531</v>
      </c>
      <c r="CY194" s="59">
        <f ca="1">AVERAGE(OFFSET($CX$3,0,0,'Données projet'!$E$13+1,1))-AVERAGE(OFFSET($H$3,0,0,'Données projet'!$E$13+1,1))</f>
        <v>280.25710840677186</v>
      </c>
      <c r="CZ194" s="59">
        <f t="shared" si="150"/>
        <v>209.65224013288037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52.108512364859443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52.108512364859443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243</v>
      </c>
      <c r="DP194" s="17">
        <f>DO194*VLOOKUP('Données projet'!$B$14,Paramètres!$A$1:$I$89,3,0)*VLOOKUP('Données projet'!$B$14,Paramètres!$A$1:$I$89,5,0)</f>
        <v>253.98360000000002</v>
      </c>
      <c r="DQ194" s="13">
        <f t="shared" si="176"/>
        <v>61.438182405444294</v>
      </c>
      <c r="DR194" s="20">
        <f t="shared" si="177"/>
        <v>549.35960435614891</v>
      </c>
      <c r="DS194" s="59">
        <f t="shared" si="125"/>
        <v>842.69293768948228</v>
      </c>
      <c r="DT194" s="59">
        <f ca="1">AVERAGE(OFFSET($DS$3,0,0,'Données projet'!$E$14+1,1))-AVERAGE(OFFSET($H$3,0,0,'Données projet'!$E$14+1,1))</f>
        <v>330.14201227773452</v>
      </c>
      <c r="DU194" s="59">
        <f t="shared" si="152"/>
        <v>307.07297894926467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5.3779193368651388</v>
      </c>
      <c r="EB194" s="21">
        <f>EXP(-LN(2)/25)*EB193+(1-EXP(-LN(2)/25))/(LN(2)/25)*Calculateur!DW194*Calculateur!DY194*VLOOKUP('Données projet'!$B$14,Paramètres!$A$1:$I$89,3,0)*0.475*44/12</f>
        <v>1.4290512556639148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6.8069705925290531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236.00000000000009</v>
      </c>
      <c r="EK194" s="17">
        <f>EJ194*VLOOKUP('Données projet'!$B$15,Paramètres!$A$1:$I$89,3,0)*VLOOKUP('Données projet'!$B$15,Paramètres!$A$1:$I$89,5,0)</f>
        <v>154.62720000000004</v>
      </c>
      <c r="EL194" s="13">
        <f t="shared" si="179"/>
        <v>39.62826685000794</v>
      </c>
      <c r="EM194" s="20">
        <f t="shared" si="180"/>
        <v>338.32827143043056</v>
      </c>
      <c r="EN194" s="59">
        <f t="shared" si="128"/>
        <v>631.66160476376388</v>
      </c>
      <c r="EO194" s="59">
        <f ca="1">AVERAGE(OFFSET($EN$3,0,0,'Données projet'!$E$15+1,1))-AVERAGE(OFFSET($H$3,0,0,'Données projet'!$E$15+1,1))</f>
        <v>183.30081488041924</v>
      </c>
      <c r="EP194" s="59">
        <f t="shared" si="154"/>
        <v>199.33099759570928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0.50473136599133583</v>
      </c>
      <c r="EW194" s="21">
        <f>EXP(-LN(2)/25)*EW193+(1-EXP(-LN(2)/25))/(LN(2)/25)*Calculateur!ER194*Calculateur!ET194*VLOOKUP('Données projet'!$B$15,Paramètres!$A$1:$I$89,3,0)*0.475*44/12</f>
        <v>0.8463720196113752</v>
      </c>
      <c r="EX194" s="21">
        <f>EXP(-LN(2)/2)*EX193+(1-EXP(-LN(2)/2))/(LN(2)/2)*ER194*EU194*VLOOKUP('Données projet'!$B$15,Paramètres!$A$1:$I$89,3,0)*0.475*44/12</f>
        <v>1.3460727905687047E-15</v>
      </c>
      <c r="EY194" s="22">
        <f t="shared" si="181"/>
        <v>1.3511033856027124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1.5961632016114892E-13</v>
      </c>
      <c r="P195" s="13">
        <f t="shared" si="141"/>
        <v>2.2708641912150958E-12</v>
      </c>
      <c r="Q195" s="20">
        <f t="shared" si="162"/>
        <v>4.2330868906469593E-12</v>
      </c>
      <c r="R195" s="59">
        <f t="shared" ref="R195:R203" si="191">Q195+(I195+J195)*44/12</f>
        <v>293.33333333333752</v>
      </c>
      <c r="S195" s="59">
        <f ca="1">AVERAGE(OFFSET($R$3,0,0,'Données projet'!$E$9+1,1))-AVERAGE(OFFSET($H$3,0,0,'Données projet'!$E$9+1,1))</f>
        <v>205.73717397588365</v>
      </c>
      <c r="T195" s="59">
        <f t="shared" si="142"/>
        <v>190.64998698136026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31.283222063418872</v>
      </c>
      <c r="AA195" s="21">
        <f>EXP(-LN(2)/25)*AA194+(1-EXP(-LN(2)/25))/(LN(2)/25)*Calculateur!V195*Calculateur!X195*VLOOKUP('Données projet'!$B$9,Paramètres!$A$1:$I$89,3,0)*0.475*44/12</f>
        <v>3.936313318459896</v>
      </c>
      <c r="AB195" s="21">
        <f>EXP(-LN(2)/2)*AB194+(1-EXP(-LN(2)/2))/(LN(2)/2)*V195*Y195*VLOOKUP('Données projet'!$B$9,Paramètres!$A$1:$I$89,3,0)*0.475*44/12</f>
        <v>1.7835559987694861E-12</v>
      </c>
      <c r="AC195" s="22">
        <f t="shared" si="163"/>
        <v>35.219535381880554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283.73369613548124</v>
      </c>
      <c r="AO195" s="59">
        <f t="shared" si="144"/>
        <v>249.77804091581208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-6.3550942286383367E-14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278.5296012747549</v>
      </c>
      <c r="BJ195" s="59">
        <f t="shared" si="146"/>
        <v>370.55343097937077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15.033215450588306</v>
      </c>
      <c r="BQ195" s="21">
        <f>EXP(-LN(2)/25)*BQ194+(1-EXP(-LN(2)/25))/(LN(2)/25)*Calculateur!BL195*Calculateur!BN195*VLOOKUP('Données projet'!$B$11,Paramètres!$A$1:$I$89,3,0)*0.475*44/12</f>
        <v>1.2907318065427378</v>
      </c>
      <c r="BR195" s="21">
        <f>EXP(-LN(2)/2)*BR194+(1-EXP(-LN(2)/2))/(LN(2)/2)*BL195*BO195*VLOOKUP('Données projet'!$B$11,Paramètres!$A$1:$I$89,3,0)*0.475*44/12</f>
        <v>8.1842660210664128E-20</v>
      </c>
      <c r="BS195" s="22">
        <f t="shared" si="169"/>
        <v>16.323947257131046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-3.1036506698001178E-14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159.92263609041913</v>
      </c>
      <c r="CE195" s="59">
        <f t="shared" si="148"/>
        <v>271.78119133009307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3.3234243391180542</v>
      </c>
      <c r="CL195" s="21">
        <f>EXP(-LN(2)/25)*CL194+(1-EXP(-LN(2)/25))/(LN(2)/25)*Calculateur!CG195*Calculateur!CI195*VLOOKUP('Données projet'!$B$12,Paramètres!$A$1:$I$89,3,0)*0.475*44/12</f>
        <v>2.216200611387058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5.5396249505051127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5.6843418860808015E-13</v>
      </c>
      <c r="CU195" s="17">
        <f>CT195*VLOOKUP('Données projet'!$B$13,Paramètres!$A$1:$I$89,3,0)*VLOOKUP('Données projet'!$B$13,Paramètres!$A$1:$I$89,5,0)</f>
        <v>5.1431925385259092E-13</v>
      </c>
      <c r="CV195" s="13">
        <f t="shared" si="173"/>
        <v>6.3855359115685756E-12</v>
      </c>
      <c r="CW195" s="20">
        <f t="shared" si="174"/>
        <v>1.2017247746441865E-11</v>
      </c>
      <c r="CX195" s="59">
        <f t="shared" si="122"/>
        <v>293.33333333334531</v>
      </c>
      <c r="CY195" s="59">
        <f ca="1">AVERAGE(OFFSET($CX$3,0,0,'Données projet'!$E$13+1,1))-AVERAGE(OFFSET($H$3,0,0,'Données projet'!$E$13+1,1))</f>
        <v>280.25710840677186</v>
      </c>
      <c r="CZ195" s="59">
        <f t="shared" si="150"/>
        <v>209.65224013288037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51.086696220438775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51.086696220438775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243</v>
      </c>
      <c r="DP195" s="17">
        <f>DO195*VLOOKUP('Données projet'!$B$14,Paramètres!$A$1:$I$89,3,0)*VLOOKUP('Données projet'!$B$14,Paramètres!$A$1:$I$89,5,0)</f>
        <v>253.98360000000002</v>
      </c>
      <c r="DQ195" s="13">
        <f t="shared" si="176"/>
        <v>61.438182405444294</v>
      </c>
      <c r="DR195" s="20">
        <f t="shared" si="177"/>
        <v>549.35960435614891</v>
      </c>
      <c r="DS195" s="59">
        <f t="shared" si="125"/>
        <v>842.69293768948228</v>
      </c>
      <c r="DT195" s="59">
        <f ca="1">AVERAGE(OFFSET($DS$3,0,0,'Données projet'!$E$14+1,1))-AVERAGE(OFFSET($H$3,0,0,'Données projet'!$E$14+1,1))</f>
        <v>330.14201227773452</v>
      </c>
      <c r="DU195" s="59">
        <f t="shared" si="152"/>
        <v>307.07297894926467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5.2724616188761155</v>
      </c>
      <c r="EB195" s="21">
        <f>EXP(-LN(2)/25)*EB194+(1-EXP(-LN(2)/25))/(LN(2)/25)*Calculateur!DW195*Calculateur!DY195*VLOOKUP('Données projet'!$B$14,Paramètres!$A$1:$I$89,3,0)*0.475*44/12</f>
        <v>1.3899737739272455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6.6624353928033608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236.00000000000009</v>
      </c>
      <c r="EK195" s="17">
        <f>EJ195*VLOOKUP('Données projet'!$B$15,Paramètres!$A$1:$I$89,3,0)*VLOOKUP('Données projet'!$B$15,Paramètres!$A$1:$I$89,5,0)</f>
        <v>154.62720000000004</v>
      </c>
      <c r="EL195" s="13">
        <f t="shared" si="179"/>
        <v>39.62826685000794</v>
      </c>
      <c r="EM195" s="20">
        <f t="shared" si="180"/>
        <v>338.32827143043056</v>
      </c>
      <c r="EN195" s="59">
        <f t="shared" si="128"/>
        <v>631.66160476376388</v>
      </c>
      <c r="EO195" s="59">
        <f ca="1">AVERAGE(OFFSET($EN$3,0,0,'Données projet'!$E$15+1,1))-AVERAGE(OFFSET($H$3,0,0,'Données projet'!$E$15+1,1))</f>
        <v>183.30081488041924</v>
      </c>
      <c r="EP195" s="59">
        <f t="shared" si="154"/>
        <v>199.33099759570928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0.49483389175998077</v>
      </c>
      <c r="EW195" s="21">
        <f>EXP(-LN(2)/25)*EW194+(1-EXP(-LN(2)/25))/(LN(2)/25)*Calculateur!ER195*Calculateur!ET195*VLOOKUP('Données projet'!$B$15,Paramètres!$A$1:$I$89,3,0)*0.475*44/12</f>
        <v>0.82322793222633206</v>
      </c>
      <c r="EX195" s="21">
        <f>EXP(-LN(2)/2)*EX194+(1-EXP(-LN(2)/2))/(LN(2)/2)*ER195*EU195*VLOOKUP('Données projet'!$B$15,Paramètres!$A$1:$I$89,3,0)*0.475*44/12</f>
        <v>9.5181719818183049E-16</v>
      </c>
      <c r="EY195" s="22">
        <f t="shared" si="181"/>
        <v>1.3180618239863138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1.5961632016114892E-13</v>
      </c>
      <c r="P196" s="13">
        <f t="shared" si="141"/>
        <v>2.2708641912150958E-12</v>
      </c>
      <c r="Q196" s="20">
        <f t="shared" si="162"/>
        <v>4.2330868906469593E-12</v>
      </c>
      <c r="R196" s="59">
        <f t="shared" si="191"/>
        <v>293.33333333333752</v>
      </c>
      <c r="S196" s="59">
        <f ca="1">AVERAGE(OFFSET($R$3,0,0,'Données projet'!$E$9+1,1))-AVERAGE(OFFSET($H$3,0,0,'Données projet'!$E$9+1,1))</f>
        <v>205.73717397588365</v>
      </c>
      <c r="T196" s="59">
        <f t="shared" si="142"/>
        <v>190.64998698136026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30.669777159636606</v>
      </c>
      <c r="AA196" s="21">
        <f>EXP(-LN(2)/25)*AA195+(1-EXP(-LN(2)/25))/(LN(2)/25)*Calculateur!V196*Calculateur!X196*VLOOKUP('Données projet'!$B$9,Paramètres!$A$1:$I$89,3,0)*0.475*44/12</f>
        <v>3.8286746237648894</v>
      </c>
      <c r="AB196" s="21">
        <f>EXP(-LN(2)/2)*AB195+(1-EXP(-LN(2)/2))/(LN(2)/2)*V196*Y196*VLOOKUP('Données projet'!$B$9,Paramètres!$A$1:$I$89,3,0)*0.475*44/12</f>
        <v>1.2611645413558494E-12</v>
      </c>
      <c r="AC196" s="22">
        <f t="shared" si="163"/>
        <v>34.49845178340275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283.73369613548124</v>
      </c>
      <c r="AO196" s="59">
        <f t="shared" si="144"/>
        <v>249.77804091581208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-6.3550942286383367E-14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278.5296012747549</v>
      </c>
      <c r="BJ196" s="59">
        <f t="shared" si="146"/>
        <v>370.55343097937077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14.738423264958296</v>
      </c>
      <c r="BQ196" s="21">
        <f>EXP(-LN(2)/25)*BQ195+(1-EXP(-LN(2)/25))/(LN(2)/25)*Calculateur!BL196*Calculateur!BN196*VLOOKUP('Données projet'!$B$11,Paramètres!$A$1:$I$89,3,0)*0.475*44/12</f>
        <v>1.2554366774161909</v>
      </c>
      <c r="BR196" s="21">
        <f>EXP(-LN(2)/2)*BR195+(1-EXP(-LN(2)/2))/(LN(2)/2)*BL196*BO196*VLOOKUP('Données projet'!$B$11,Paramètres!$A$1:$I$89,3,0)*0.475*44/12</f>
        <v>5.7871500025307039E-20</v>
      </c>
      <c r="BS196" s="22">
        <f t="shared" si="169"/>
        <v>15.993859942374486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-3.1036506698001178E-14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159.92263609041913</v>
      </c>
      <c r="CE196" s="59">
        <f t="shared" si="148"/>
        <v>271.78119133009307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3.2582540149166377</v>
      </c>
      <c r="CL196" s="21">
        <f>EXP(-LN(2)/25)*CL195+(1-EXP(-LN(2)/25))/(LN(2)/25)*Calculateur!CG196*Calculateur!CI196*VLOOKUP('Données projet'!$B$12,Paramètres!$A$1:$I$89,3,0)*0.475*44/12</f>
        <v>2.1555984891237538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5.413852504040392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5.6843418860808015E-13</v>
      </c>
      <c r="CU196" s="17">
        <f>CT196*VLOOKUP('Données projet'!$B$13,Paramètres!$A$1:$I$89,3,0)*VLOOKUP('Données projet'!$B$13,Paramètres!$A$1:$I$89,5,0)</f>
        <v>5.1431925385259092E-13</v>
      </c>
      <c r="CV196" s="13">
        <f t="shared" si="173"/>
        <v>6.3855359115685756E-12</v>
      </c>
      <c r="CW196" s="20">
        <f t="shared" si="174"/>
        <v>1.2017247746441865E-11</v>
      </c>
      <c r="CX196" s="59">
        <f t="shared" ref="CX196:CX203" si="196">CW196+(CO196+CP196)*44/12</f>
        <v>293.33333333334531</v>
      </c>
      <c r="CY196" s="59">
        <f ca="1">AVERAGE(OFFSET($CX$3,0,0,'Données projet'!$E$13+1,1))-AVERAGE(OFFSET($H$3,0,0,'Données projet'!$E$13+1,1))</f>
        <v>280.25710840677186</v>
      </c>
      <c r="CZ196" s="59">
        <f t="shared" si="150"/>
        <v>209.65224013288037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50.084917267363892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50.084917267363892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243</v>
      </c>
      <c r="DP196" s="17">
        <f>DO196*VLOOKUP('Données projet'!$B$14,Paramètres!$A$1:$I$89,3,0)*VLOOKUP('Données projet'!$B$14,Paramètres!$A$1:$I$89,5,0)</f>
        <v>253.98360000000002</v>
      </c>
      <c r="DQ196" s="13">
        <f t="shared" si="176"/>
        <v>61.438182405444294</v>
      </c>
      <c r="DR196" s="20">
        <f t="shared" si="177"/>
        <v>549.35960435614891</v>
      </c>
      <c r="DS196" s="59">
        <f t="shared" ref="DS196:DS203" si="197">DR196+(DJ196+DK196)*44/12</f>
        <v>842.69293768948228</v>
      </c>
      <c r="DT196" s="59">
        <f ca="1">AVERAGE(OFFSET($DS$3,0,0,'Données projet'!$E$14+1,1))-AVERAGE(OFFSET($H$3,0,0,'Données projet'!$E$14+1,1))</f>
        <v>330.14201227773452</v>
      </c>
      <c r="DU196" s="59">
        <f t="shared" si="152"/>
        <v>307.07297894926467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5.1690718624140004</v>
      </c>
      <c r="EB196" s="21">
        <f>EXP(-LN(2)/25)*EB195+(1-EXP(-LN(2)/25))/(LN(2)/25)*Calculateur!DW196*Calculateur!DY196*VLOOKUP('Données projet'!$B$14,Paramètres!$A$1:$I$89,3,0)*0.475*44/12</f>
        <v>1.3519648679836611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6.5210367303976611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236.00000000000009</v>
      </c>
      <c r="EK196" s="17">
        <f>EJ196*VLOOKUP('Données projet'!$B$15,Paramètres!$A$1:$I$89,3,0)*VLOOKUP('Données projet'!$B$15,Paramètres!$A$1:$I$89,5,0)</f>
        <v>154.62720000000004</v>
      </c>
      <c r="EL196" s="13">
        <f t="shared" si="179"/>
        <v>39.62826685000794</v>
      </c>
      <c r="EM196" s="20">
        <f t="shared" si="180"/>
        <v>338.32827143043056</v>
      </c>
      <c r="EN196" s="59">
        <f t="shared" ref="EN196:EN203" si="198">EM196+(EE196+EF196)*44/12</f>
        <v>631.66160476376388</v>
      </c>
      <c r="EO196" s="59">
        <f ca="1">AVERAGE(OFFSET($EN$3,0,0,'Données projet'!$E$15+1,1))-AVERAGE(OFFSET($H$3,0,0,'Données projet'!$E$15+1,1))</f>
        <v>183.30081488041924</v>
      </c>
      <c r="EP196" s="59">
        <f t="shared" si="154"/>
        <v>199.33099759570928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0.48513050096143939</v>
      </c>
      <c r="EW196" s="21">
        <f>EXP(-LN(2)/25)*EW195+(1-EXP(-LN(2)/25))/(LN(2)/25)*Calculateur!ER196*Calculateur!ET196*VLOOKUP('Données projet'!$B$15,Paramètres!$A$1:$I$89,3,0)*0.475*44/12</f>
        <v>0.80071672112792758</v>
      </c>
      <c r="EX196" s="21">
        <f>EXP(-LN(2)/2)*EX195+(1-EXP(-LN(2)/2))/(LN(2)/2)*ER196*EU196*VLOOKUP('Données projet'!$B$15,Paramètres!$A$1:$I$89,3,0)*0.475*44/12</f>
        <v>6.7303639528435235E-16</v>
      </c>
      <c r="EY196" s="22">
        <f t="shared" si="181"/>
        <v>1.2858472220893675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1.5961632016114892E-13</v>
      </c>
      <c r="P197" s="13">
        <f t="shared" ref="P197:P203" si="203">EXP(-1.0587+0.8836*LN(O197)+0.284)</f>
        <v>2.2708641912150958E-12</v>
      </c>
      <c r="Q197" s="20">
        <f t="shared" si="162"/>
        <v>4.2330868906469593E-12</v>
      </c>
      <c r="R197" s="59">
        <f t="shared" si="191"/>
        <v>293.33333333333752</v>
      </c>
      <c r="S197" s="59">
        <f ca="1">AVERAGE(OFFSET($R$3,0,0,'Données projet'!$E$9+1,1))-AVERAGE(OFFSET($H$3,0,0,'Données projet'!$E$9+1,1))</f>
        <v>205.73717397588365</v>
      </c>
      <c r="T197" s="59">
        <f t="shared" ref="T197:T203" si="204">$T$3</f>
        <v>190.64998698136026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30.068361536253065</v>
      </c>
      <c r="AA197" s="21">
        <f>EXP(-LN(2)/25)*AA196+(1-EXP(-LN(2)/25))/(LN(2)/25)*Calculateur!V197*Calculateur!X197*VLOOKUP('Données projet'!$B$9,Paramètres!$A$1:$I$89,3,0)*0.475*44/12</f>
        <v>3.7239793148367908</v>
      </c>
      <c r="AB197" s="21">
        <f>EXP(-LN(2)/2)*AB196+(1-EXP(-LN(2)/2))/(LN(2)/2)*V197*Y197*VLOOKUP('Données projet'!$B$9,Paramètres!$A$1:$I$89,3,0)*0.475*44/12</f>
        <v>8.9177799938474324E-13</v>
      </c>
      <c r="AC197" s="22">
        <f t="shared" si="163"/>
        <v>33.792340851090749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283.73369613548124</v>
      </c>
      <c r="AO197" s="59">
        <f t="shared" ref="AO197:AO203" si="205">$AO$3</f>
        <v>249.77804091581208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-6.3550942286383367E-14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278.5296012747549</v>
      </c>
      <c r="BJ197" s="59">
        <f t="shared" ref="BJ197:BJ203" si="206">$BJ$3</f>
        <v>370.55343097937077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14.449411774283011</v>
      </c>
      <c r="BQ197" s="21">
        <f>EXP(-LN(2)/25)*BQ196+(1-EXP(-LN(2)/25))/(LN(2)/25)*Calculateur!BL197*Calculateur!BN197*VLOOKUP('Données projet'!$B$11,Paramètres!$A$1:$I$89,3,0)*0.475*44/12</f>
        <v>1.2211066954516996</v>
      </c>
      <c r="BR197" s="21">
        <f>EXP(-LN(2)/2)*BR196+(1-EXP(-LN(2)/2))/(LN(2)/2)*BL197*BO197*VLOOKUP('Données projet'!$B$11,Paramètres!$A$1:$I$89,3,0)*0.475*44/12</f>
        <v>4.0921330105332064E-20</v>
      </c>
      <c r="BS197" s="22">
        <f t="shared" si="169"/>
        <v>15.670518469734709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-3.1036506698001178E-14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159.92263609041913</v>
      </c>
      <c r="CE197" s="59">
        <f t="shared" ref="CE197:CE203" si="207">$CE$3</f>
        <v>271.78119133009307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3.1943616410228381</v>
      </c>
      <c r="CL197" s="21">
        <f>EXP(-LN(2)/25)*CL196+(1-EXP(-LN(2)/25))/(LN(2)/25)*Calculateur!CG197*Calculateur!CI197*VLOOKUP('Données projet'!$B$12,Paramètres!$A$1:$I$89,3,0)*0.475*44/12</f>
        <v>2.0966535350806668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5.2910151761035049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5.6843418860808015E-13</v>
      </c>
      <c r="CU197" s="17">
        <f>CT197*VLOOKUP('Données projet'!$B$13,Paramètres!$A$1:$I$89,3,0)*VLOOKUP('Données projet'!$B$13,Paramètres!$A$1:$I$89,5,0)</f>
        <v>5.1431925385259092E-13</v>
      </c>
      <c r="CV197" s="13">
        <f t="shared" si="173"/>
        <v>6.3855359115685756E-12</v>
      </c>
      <c r="CW197" s="20">
        <f t="shared" si="174"/>
        <v>1.2017247746441865E-11</v>
      </c>
      <c r="CX197" s="59">
        <f t="shared" si="196"/>
        <v>293.33333333334531</v>
      </c>
      <c r="CY197" s="59">
        <f ca="1">AVERAGE(OFFSET($CX$3,0,0,'Données projet'!$E$13+1,1))-AVERAGE(OFFSET($H$3,0,0,'Données projet'!$E$13+1,1))</f>
        <v>280.25710840677186</v>
      </c>
      <c r="CZ197" s="59">
        <f t="shared" ref="CZ197:CZ203" si="208">$CZ$3</f>
        <v>209.65224013288037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49.102782588533977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49.102782588533977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243</v>
      </c>
      <c r="DP197" s="17">
        <f>DO197*VLOOKUP('Données projet'!$B$14,Paramètres!$A$1:$I$89,3,0)*VLOOKUP('Données projet'!$B$14,Paramètres!$A$1:$I$89,5,0)</f>
        <v>253.98360000000002</v>
      </c>
      <c r="DQ197" s="13">
        <f t="shared" si="176"/>
        <v>61.438182405444294</v>
      </c>
      <c r="DR197" s="20">
        <f t="shared" si="177"/>
        <v>549.35960435614891</v>
      </c>
      <c r="DS197" s="59">
        <f t="shared" si="197"/>
        <v>842.69293768948228</v>
      </c>
      <c r="DT197" s="59">
        <f ca="1">AVERAGE(OFFSET($DS$3,0,0,'Données projet'!$E$14+1,1))-AVERAGE(OFFSET($H$3,0,0,'Données projet'!$E$14+1,1))</f>
        <v>330.14201227773452</v>
      </c>
      <c r="DU197" s="59">
        <f t="shared" ref="DU197:DU203" si="209">$DU$3</f>
        <v>307.07297894926467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5.0677095160145829</v>
      </c>
      <c r="EB197" s="21">
        <f>EXP(-LN(2)/25)*EB196+(1-EXP(-LN(2)/25))/(LN(2)/25)*Calculateur!DW197*Calculateur!DY197*VLOOKUP('Données projet'!$B$14,Paramètres!$A$1:$I$89,3,0)*0.475*44/12</f>
        <v>1.3149953175719054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6.3827048335864882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236.00000000000009</v>
      </c>
      <c r="EK197" s="17">
        <f>EJ197*VLOOKUP('Données projet'!$B$15,Paramètres!$A$1:$I$89,3,0)*VLOOKUP('Données projet'!$B$15,Paramètres!$A$1:$I$89,5,0)</f>
        <v>154.62720000000004</v>
      </c>
      <c r="EL197" s="13">
        <f t="shared" si="179"/>
        <v>39.62826685000794</v>
      </c>
      <c r="EM197" s="20">
        <f t="shared" si="180"/>
        <v>338.32827143043056</v>
      </c>
      <c r="EN197" s="59">
        <f t="shared" si="198"/>
        <v>631.66160476376388</v>
      </c>
      <c r="EO197" s="59">
        <f ca="1">AVERAGE(OFFSET($EN$3,0,0,'Données projet'!$E$15+1,1))-AVERAGE(OFFSET($H$3,0,0,'Données projet'!$E$15+1,1))</f>
        <v>183.30081488041924</v>
      </c>
      <c r="EP197" s="59">
        <f t="shared" ref="EP197:EP203" si="210">$EP$3</f>
        <v>199.33099759570928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0.47561738773797341</v>
      </c>
      <c r="EW197" s="21">
        <f>EXP(-LN(2)/25)*EW196+(1-EXP(-LN(2)/25))/(LN(2)/25)*Calculateur!ER197*Calculateur!ET197*VLOOKUP('Données projet'!$B$15,Paramètres!$A$1:$I$89,3,0)*0.475*44/12</f>
        <v>0.77882108028082209</v>
      </c>
      <c r="EX197" s="21">
        <f>EXP(-LN(2)/2)*EX196+(1-EXP(-LN(2)/2))/(LN(2)/2)*ER197*EU197*VLOOKUP('Données projet'!$B$15,Paramètres!$A$1:$I$89,3,0)*0.475*44/12</f>
        <v>4.7590859909091525E-16</v>
      </c>
      <c r="EY197" s="22">
        <f t="shared" si="181"/>
        <v>1.2544384680187959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1.5961632016114892E-13</v>
      </c>
      <c r="P198" s="13">
        <f t="shared" si="203"/>
        <v>2.2708641912150958E-12</v>
      </c>
      <c r="Q198" s="20">
        <f t="shared" si="162"/>
        <v>4.2330868906469593E-12</v>
      </c>
      <c r="R198" s="59">
        <f t="shared" si="191"/>
        <v>293.33333333333752</v>
      </c>
      <c r="S198" s="59">
        <f ca="1">AVERAGE(OFFSET($R$3,0,0,'Données projet'!$E$9+1,1))-AVERAGE(OFFSET($H$3,0,0,'Données projet'!$E$9+1,1))</f>
        <v>205.73717397588365</v>
      </c>
      <c r="T198" s="59">
        <f t="shared" si="204"/>
        <v>190.64998698136026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29.478739306416767</v>
      </c>
      <c r="AA198" s="21">
        <f>EXP(-LN(2)/25)*AA197+(1-EXP(-LN(2)/25))/(LN(2)/25)*Calculateur!V198*Calculateur!X198*VLOOKUP('Données projet'!$B$9,Paramètres!$A$1:$I$89,3,0)*0.475*44/12</f>
        <v>3.6221469046370181</v>
      </c>
      <c r="AB198" s="21">
        <f>EXP(-LN(2)/2)*AB197+(1-EXP(-LN(2)/2))/(LN(2)/2)*V198*Y198*VLOOKUP('Données projet'!$B$9,Paramètres!$A$1:$I$89,3,0)*0.475*44/12</f>
        <v>6.3058227067792478E-13</v>
      </c>
      <c r="AC198" s="22">
        <f t="shared" si="163"/>
        <v>33.100886211054416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283.73369613548124</v>
      </c>
      <c r="AO198" s="59">
        <f t="shared" si="205"/>
        <v>249.77804091581208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-6.3550942286383367E-14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278.5296012747549</v>
      </c>
      <c r="BJ198" s="59">
        <f t="shared" si="206"/>
        <v>370.55343097937077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14.166067622660265</v>
      </c>
      <c r="BQ198" s="21">
        <f>EXP(-LN(2)/25)*BQ197+(1-EXP(-LN(2)/25))/(LN(2)/25)*Calculateur!BL198*Calculateur!BN198*VLOOKUP('Données projet'!$B$11,Paramètres!$A$1:$I$89,3,0)*0.475*44/12</f>
        <v>1.1877154686493627</v>
      </c>
      <c r="BR198" s="21">
        <f>EXP(-LN(2)/2)*BR197+(1-EXP(-LN(2)/2))/(LN(2)/2)*BL198*BO198*VLOOKUP('Données projet'!$B$11,Paramètres!$A$1:$I$89,3,0)*0.475*44/12</f>
        <v>2.893575001265352E-20</v>
      </c>
      <c r="BS198" s="22">
        <f t="shared" si="169"/>
        <v>15.353783091309626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-3.1036506698001178E-14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159.92263609041913</v>
      </c>
      <c r="CE198" s="59">
        <f t="shared" si="207"/>
        <v>271.78119133009307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3.131722157610596</v>
      </c>
      <c r="CL198" s="21">
        <f>EXP(-LN(2)/25)*CL197+(1-EXP(-LN(2)/25))/(LN(2)/25)*Calculateur!CG198*Calculateur!CI198*VLOOKUP('Données projet'!$B$12,Paramètres!$A$1:$I$89,3,0)*0.475*44/12</f>
        <v>2.0393204339056683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5.1710425915162643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5.6843418860808015E-13</v>
      </c>
      <c r="CU198" s="17">
        <f>CT198*VLOOKUP('Données projet'!$B$13,Paramètres!$A$1:$I$89,3,0)*VLOOKUP('Données projet'!$B$13,Paramètres!$A$1:$I$89,5,0)</f>
        <v>5.1431925385259092E-13</v>
      </c>
      <c r="CV198" s="13">
        <f t="shared" si="173"/>
        <v>6.3855359115685756E-12</v>
      </c>
      <c r="CW198" s="20">
        <f t="shared" si="174"/>
        <v>1.2017247746441865E-11</v>
      </c>
      <c r="CX198" s="59">
        <f t="shared" si="196"/>
        <v>293.33333333334531</v>
      </c>
      <c r="CY198" s="59">
        <f ca="1">AVERAGE(OFFSET($CX$3,0,0,'Données projet'!$E$13+1,1))-AVERAGE(OFFSET($H$3,0,0,'Données projet'!$E$13+1,1))</f>
        <v>280.25710840677186</v>
      </c>
      <c r="CZ198" s="59">
        <f t="shared" si="208"/>
        <v>209.65224013288037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48.139906971712911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48.139906971712911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243</v>
      </c>
      <c r="DP198" s="17">
        <f>DO198*VLOOKUP('Données projet'!$B$14,Paramètres!$A$1:$I$89,3,0)*VLOOKUP('Données projet'!$B$14,Paramètres!$A$1:$I$89,5,0)</f>
        <v>253.98360000000002</v>
      </c>
      <c r="DQ198" s="13">
        <f t="shared" si="176"/>
        <v>61.438182405444294</v>
      </c>
      <c r="DR198" s="20">
        <f t="shared" si="177"/>
        <v>549.35960435614891</v>
      </c>
      <c r="DS198" s="59">
        <f t="shared" si="197"/>
        <v>842.69293768948228</v>
      </c>
      <c r="DT198" s="59">
        <f ca="1">AVERAGE(OFFSET($DS$3,0,0,'Données projet'!$E$14+1,1))-AVERAGE(OFFSET($H$3,0,0,'Données projet'!$E$14+1,1))</f>
        <v>330.14201227773452</v>
      </c>
      <c r="DU198" s="59">
        <f t="shared" si="209"/>
        <v>307.07297894926467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4.968334823403131</v>
      </c>
      <c r="EB198" s="21">
        <f>EXP(-LN(2)/25)*EB197+(1-EXP(-LN(2)/25))/(LN(2)/25)*Calculateur!DW198*Calculateur!DY198*VLOOKUP('Données projet'!$B$14,Paramètres!$A$1:$I$89,3,0)*0.475*44/12</f>
        <v>1.2790367014603032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6.2473715248634338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236.00000000000009</v>
      </c>
      <c r="EK198" s="17">
        <f>EJ198*VLOOKUP('Données projet'!$B$15,Paramètres!$A$1:$I$89,3,0)*VLOOKUP('Données projet'!$B$15,Paramètres!$A$1:$I$89,5,0)</f>
        <v>154.62720000000004</v>
      </c>
      <c r="EL198" s="13">
        <f t="shared" si="179"/>
        <v>39.62826685000794</v>
      </c>
      <c r="EM198" s="20">
        <f t="shared" si="180"/>
        <v>338.32827143043056</v>
      </c>
      <c r="EN198" s="59">
        <f t="shared" si="198"/>
        <v>631.66160476376388</v>
      </c>
      <c r="EO198" s="59">
        <f ca="1">AVERAGE(OFFSET($EN$3,0,0,'Données projet'!$E$15+1,1))-AVERAGE(OFFSET($H$3,0,0,'Données projet'!$E$15+1,1))</f>
        <v>183.30081488041924</v>
      </c>
      <c r="EP198" s="59">
        <f t="shared" si="210"/>
        <v>199.33099759570928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0.46629082086239348</v>
      </c>
      <c r="EW198" s="21">
        <f>EXP(-LN(2)/25)*EW197+(1-EXP(-LN(2)/25))/(LN(2)/25)*Calculateur!ER198*Calculateur!ET198*VLOOKUP('Données projet'!$B$15,Paramètres!$A$1:$I$89,3,0)*0.475*44/12</f>
        <v>0.75752417688412244</v>
      </c>
      <c r="EX198" s="21">
        <f>EXP(-LN(2)/2)*EX197+(1-EXP(-LN(2)/2))/(LN(2)/2)*ER198*EU198*VLOOKUP('Données projet'!$B$15,Paramètres!$A$1:$I$89,3,0)*0.475*44/12</f>
        <v>3.3651819764217618E-16</v>
      </c>
      <c r="EY198" s="22">
        <f t="shared" si="181"/>
        <v>1.2238149977465165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1.5961632016114892E-13</v>
      </c>
      <c r="P199" s="13">
        <f t="shared" si="203"/>
        <v>2.2708641912150958E-12</v>
      </c>
      <c r="Q199" s="20">
        <f t="shared" si="162"/>
        <v>4.2330868906469593E-12</v>
      </c>
      <c r="R199" s="59">
        <f t="shared" si="191"/>
        <v>293.33333333333752</v>
      </c>
      <c r="S199" s="59">
        <f ca="1">AVERAGE(OFFSET($R$3,0,0,'Données projet'!$E$9+1,1))-AVERAGE(OFFSET($H$3,0,0,'Données projet'!$E$9+1,1))</f>
        <v>205.73717397588365</v>
      </c>
      <c r="T199" s="59">
        <f t="shared" si="204"/>
        <v>190.64998698136026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28.900679208873509</v>
      </c>
      <c r="AA199" s="21">
        <f>EXP(-LN(2)/25)*AA198+(1-EXP(-LN(2)/25))/(LN(2)/25)*Calculateur!V199*Calculateur!X199*VLOOKUP('Données projet'!$B$9,Paramètres!$A$1:$I$89,3,0)*0.475*44/12</f>
        <v>3.5230991070492914</v>
      </c>
      <c r="AB199" s="21">
        <f>EXP(-LN(2)/2)*AB198+(1-EXP(-LN(2)/2))/(LN(2)/2)*V199*Y199*VLOOKUP('Données projet'!$B$9,Paramètres!$A$1:$I$89,3,0)*0.475*44/12</f>
        <v>4.4588899969237167E-13</v>
      </c>
      <c r="AC199" s="22">
        <f t="shared" si="163"/>
        <v>32.423778315923251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283.73369613548124</v>
      </c>
      <c r="AO199" s="59">
        <f t="shared" si="205"/>
        <v>249.77804091581208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-6.3550942286383367E-14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278.5296012747549</v>
      </c>
      <c r="BJ199" s="59">
        <f t="shared" si="206"/>
        <v>370.55343097937077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13.888279677027974</v>
      </c>
      <c r="BQ199" s="21">
        <f>EXP(-LN(2)/25)*BQ198+(1-EXP(-LN(2)/25))/(LN(2)/25)*Calculateur!BL199*Calculateur!BN199*VLOOKUP('Données projet'!$B$11,Paramètres!$A$1:$I$89,3,0)*0.475*44/12</f>
        <v>1.1552373266999039</v>
      </c>
      <c r="BR199" s="21">
        <f>EXP(-LN(2)/2)*BR198+(1-EXP(-LN(2)/2))/(LN(2)/2)*BL199*BO199*VLOOKUP('Données projet'!$B$11,Paramètres!$A$1:$I$89,3,0)*0.475*44/12</f>
        <v>2.0460665052666032E-20</v>
      </c>
      <c r="BS199" s="22">
        <f t="shared" si="169"/>
        <v>15.043517003727878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-3.1036506698001178E-14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159.92263609041913</v>
      </c>
      <c r="CE199" s="59">
        <f t="shared" si="207"/>
        <v>271.78119133009307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3.0703109962617554</v>
      </c>
      <c r="CL199" s="21">
        <f>EXP(-LN(2)/25)*CL198+(1-EXP(-LN(2)/25))/(LN(2)/25)*Calculateur!CG199*Calculateur!CI199*VLOOKUP('Données projet'!$B$12,Paramètres!$A$1:$I$89,3,0)*0.475*44/12</f>
        <v>1.9835551093973172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5.0538661056590728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5.6843418860808015E-13</v>
      </c>
      <c r="CU199" s="17">
        <f>CT199*VLOOKUP('Données projet'!$B$13,Paramètres!$A$1:$I$89,3,0)*VLOOKUP('Données projet'!$B$13,Paramètres!$A$1:$I$89,5,0)</f>
        <v>5.1431925385259092E-13</v>
      </c>
      <c r="CV199" s="13">
        <f t="shared" si="173"/>
        <v>6.3855359115685756E-12</v>
      </c>
      <c r="CW199" s="20">
        <f t="shared" si="174"/>
        <v>1.2017247746441865E-11</v>
      </c>
      <c r="CX199" s="59">
        <f t="shared" si="196"/>
        <v>293.33333333334531</v>
      </c>
      <c r="CY199" s="59">
        <f ca="1">AVERAGE(OFFSET($CX$3,0,0,'Données projet'!$E$13+1,1))-AVERAGE(OFFSET($H$3,0,0,'Données projet'!$E$13+1,1))</f>
        <v>280.25710840677186</v>
      </c>
      <c r="CZ199" s="59">
        <f t="shared" si="208"/>
        <v>209.65224013288037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47.195912758441573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47.195912758441573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243</v>
      </c>
      <c r="DP199" s="17">
        <f>DO199*VLOOKUP('Données projet'!$B$14,Paramètres!$A$1:$I$89,3,0)*VLOOKUP('Données projet'!$B$14,Paramètres!$A$1:$I$89,5,0)</f>
        <v>253.98360000000002</v>
      </c>
      <c r="DQ199" s="13">
        <f t="shared" si="176"/>
        <v>61.438182405444294</v>
      </c>
      <c r="DR199" s="20">
        <f t="shared" si="177"/>
        <v>549.35960435614891</v>
      </c>
      <c r="DS199" s="59">
        <f t="shared" si="197"/>
        <v>842.69293768948228</v>
      </c>
      <c r="DT199" s="59">
        <f ca="1">AVERAGE(OFFSET($DS$3,0,0,'Données projet'!$E$14+1,1))-AVERAGE(OFFSET($H$3,0,0,'Données projet'!$E$14+1,1))</f>
        <v>330.14201227773452</v>
      </c>
      <c r="DU199" s="59">
        <f t="shared" si="209"/>
        <v>307.07297894926467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4.8709088079012126</v>
      </c>
      <c r="EB199" s="21">
        <f>EXP(-LN(2)/25)*EB198+(1-EXP(-LN(2)/25))/(LN(2)/25)*Calculateur!DW199*Calculateur!DY199*VLOOKUP('Données projet'!$B$14,Paramètres!$A$1:$I$89,3,0)*0.475*44/12</f>
        <v>1.2440613755972545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6.1149701834984675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236.00000000000009</v>
      </c>
      <c r="EK199" s="17">
        <f>EJ199*VLOOKUP('Données projet'!$B$15,Paramètres!$A$1:$I$89,3,0)*VLOOKUP('Données projet'!$B$15,Paramètres!$A$1:$I$89,5,0)</f>
        <v>154.62720000000004</v>
      </c>
      <c r="EL199" s="13">
        <f t="shared" si="179"/>
        <v>39.62826685000794</v>
      </c>
      <c r="EM199" s="20">
        <f t="shared" si="180"/>
        <v>338.32827143043056</v>
      </c>
      <c r="EN199" s="59">
        <f t="shared" si="198"/>
        <v>631.66160476376388</v>
      </c>
      <c r="EO199" s="59">
        <f ca="1">AVERAGE(OFFSET($EN$3,0,0,'Données projet'!$E$15+1,1))-AVERAGE(OFFSET($H$3,0,0,'Données projet'!$E$15+1,1))</f>
        <v>183.30081488041924</v>
      </c>
      <c r="EP199" s="59">
        <f t="shared" si="210"/>
        <v>199.33099759570928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0.45714714227459957</v>
      </c>
      <c r="EW199" s="21">
        <f>EXP(-LN(2)/25)*EW198+(1-EXP(-LN(2)/25))/(LN(2)/25)*Calculateur!ER199*Calculateur!ET199*VLOOKUP('Données projet'!$B$15,Paramètres!$A$1:$I$89,3,0)*0.475*44/12</f>
        <v>0.73680963843076097</v>
      </c>
      <c r="EX199" s="21">
        <f>EXP(-LN(2)/2)*EX198+(1-EXP(-LN(2)/2))/(LN(2)/2)*ER199*EU199*VLOOKUP('Données projet'!$B$15,Paramètres!$A$1:$I$89,3,0)*0.475*44/12</f>
        <v>2.3795429954545762E-16</v>
      </c>
      <c r="EY199" s="22">
        <f t="shared" si="181"/>
        <v>1.1939567807053608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1.5961632016114892E-13</v>
      </c>
      <c r="P200" s="13">
        <f t="shared" si="203"/>
        <v>2.2708641912150958E-12</v>
      </c>
      <c r="Q200" s="20">
        <f t="shared" si="162"/>
        <v>4.2330868906469593E-12</v>
      </c>
      <c r="R200" s="59">
        <f t="shared" si="191"/>
        <v>293.33333333333752</v>
      </c>
      <c r="S200" s="59">
        <f ca="1">AVERAGE(OFFSET($R$3,0,0,'Données projet'!$E$9+1,1))-AVERAGE(OFFSET($H$3,0,0,'Données projet'!$E$9+1,1))</f>
        <v>205.73717397588365</v>
      </c>
      <c r="T200" s="59">
        <f t="shared" si="204"/>
        <v>190.64998698136026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28.33395451726123</v>
      </c>
      <c r="AA200" s="21">
        <f>EXP(-LN(2)/25)*AA199+(1-EXP(-LN(2)/25))/(LN(2)/25)*Calculateur!V200*Calculateur!X200*VLOOKUP('Données projet'!$B$9,Paramètres!$A$1:$I$89,3,0)*0.475*44/12</f>
        <v>3.4267597766952989</v>
      </c>
      <c r="AB200" s="21">
        <f>EXP(-LN(2)/2)*AB199+(1-EXP(-LN(2)/2))/(LN(2)/2)*V200*Y200*VLOOKUP('Données projet'!$B$9,Paramètres!$A$1:$I$89,3,0)*0.475*44/12</f>
        <v>3.1529113533896244E-13</v>
      </c>
      <c r="AC200" s="22">
        <f t="shared" si="163"/>
        <v>31.760714293956845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283.73369613548124</v>
      </c>
      <c r="AO200" s="59">
        <f t="shared" si="205"/>
        <v>249.77804091581208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-6.3550942286383367E-14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278.5296012747549</v>
      </c>
      <c r="BJ200" s="59">
        <f t="shared" si="206"/>
        <v>370.55343097937077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13.615938983575615</v>
      </c>
      <c r="BQ200" s="21">
        <f>EXP(-LN(2)/25)*BQ199+(1-EXP(-LN(2)/25))/(LN(2)/25)*Calculateur!BL200*Calculateur!BN200*VLOOKUP('Données projet'!$B$11,Paramètres!$A$1:$I$89,3,0)*0.475*44/12</f>
        <v>1.1236473012500043</v>
      </c>
      <c r="BR200" s="21">
        <f>EXP(-LN(2)/2)*BR199+(1-EXP(-LN(2)/2))/(LN(2)/2)*BL200*BO200*VLOOKUP('Données projet'!$B$11,Paramètres!$A$1:$I$89,3,0)*0.475*44/12</f>
        <v>1.446787500632676E-20</v>
      </c>
      <c r="BS200" s="22">
        <f t="shared" si="169"/>
        <v>14.73958628482562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-3.1036506698001178E-14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159.92263609041913</v>
      </c>
      <c r="CE200" s="59">
        <f t="shared" si="207"/>
        <v>271.78119133009307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3.0101040703298558</v>
      </c>
      <c r="CL200" s="21">
        <f>EXP(-LN(2)/25)*CL199+(1-EXP(-LN(2)/25))/(LN(2)/25)*Calculateur!CG200*Calculateur!CI200*VLOOKUP('Données projet'!$B$12,Paramètres!$A$1:$I$89,3,0)*0.475*44/12</f>
        <v>1.9293146906202179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4.9394187609500735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5.6843418860808015E-13</v>
      </c>
      <c r="CU200" s="17">
        <f>CT200*VLOOKUP('Données projet'!$B$13,Paramètres!$A$1:$I$89,3,0)*VLOOKUP('Données projet'!$B$13,Paramètres!$A$1:$I$89,5,0)</f>
        <v>5.1431925385259092E-13</v>
      </c>
      <c r="CV200" s="13">
        <f t="shared" si="173"/>
        <v>6.3855359115685756E-12</v>
      </c>
      <c r="CW200" s="20">
        <f t="shared" si="174"/>
        <v>1.2017247746441865E-11</v>
      </c>
      <c r="CX200" s="59">
        <f t="shared" si="196"/>
        <v>293.33333333334531</v>
      </c>
      <c r="CY200" s="59">
        <f ca="1">AVERAGE(OFFSET($CX$3,0,0,'Données projet'!$E$13+1,1))-AVERAGE(OFFSET($H$3,0,0,'Données projet'!$E$13+1,1))</f>
        <v>280.25710840677186</v>
      </c>
      <c r="CZ200" s="59">
        <f t="shared" si="208"/>
        <v>209.65224013288037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46.270429695912867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46.270429695912867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243</v>
      </c>
      <c r="DP200" s="17">
        <f>DO200*VLOOKUP('Données projet'!$B$14,Paramètres!$A$1:$I$89,3,0)*VLOOKUP('Données projet'!$B$14,Paramètres!$A$1:$I$89,5,0)</f>
        <v>253.98360000000002</v>
      </c>
      <c r="DQ200" s="13">
        <f t="shared" si="176"/>
        <v>61.438182405444294</v>
      </c>
      <c r="DR200" s="20">
        <f t="shared" si="177"/>
        <v>549.35960435614891</v>
      </c>
      <c r="DS200" s="59">
        <f t="shared" si="197"/>
        <v>842.69293768948228</v>
      </c>
      <c r="DT200" s="59">
        <f ca="1">AVERAGE(OFFSET($DS$3,0,0,'Données projet'!$E$14+1,1))-AVERAGE(OFFSET($H$3,0,0,'Données projet'!$E$14+1,1))</f>
        <v>330.14201227773452</v>
      </c>
      <c r="DU200" s="59">
        <f t="shared" si="209"/>
        <v>307.07297894926467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4.7753932571392843</v>
      </c>
      <c r="EB200" s="21">
        <f>EXP(-LN(2)/25)*EB199+(1-EXP(-LN(2)/25))/(LN(2)/25)*Calculateur!DW200*Calculateur!DY200*VLOOKUP('Données projet'!$B$14,Paramètres!$A$1:$I$89,3,0)*0.475*44/12</f>
        <v>1.2100424518592032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5.9854357089984873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236.00000000000009</v>
      </c>
      <c r="EK200" s="17">
        <f>EJ200*VLOOKUP('Données projet'!$B$15,Paramètres!$A$1:$I$89,3,0)*VLOOKUP('Données projet'!$B$15,Paramètres!$A$1:$I$89,5,0)</f>
        <v>154.62720000000004</v>
      </c>
      <c r="EL200" s="13">
        <f t="shared" si="179"/>
        <v>39.62826685000794</v>
      </c>
      <c r="EM200" s="20">
        <f t="shared" si="180"/>
        <v>338.32827143043056</v>
      </c>
      <c r="EN200" s="59">
        <f t="shared" si="198"/>
        <v>631.66160476376388</v>
      </c>
      <c r="EO200" s="59">
        <f ca="1">AVERAGE(OFFSET($EN$3,0,0,'Données projet'!$E$15+1,1))-AVERAGE(OFFSET($H$3,0,0,'Données projet'!$E$15+1,1))</f>
        <v>183.30081488041924</v>
      </c>
      <c r="EP200" s="59">
        <f t="shared" si="210"/>
        <v>199.33099759570928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0.44818276564681908</v>
      </c>
      <c r="EW200" s="21">
        <f>EXP(-LN(2)/25)*EW199+(1-EXP(-LN(2)/25))/(LN(2)/25)*Calculateur!ER200*Calculateur!ET200*VLOOKUP('Données projet'!$B$15,Paramètres!$A$1:$I$89,3,0)*0.475*44/12</f>
        <v>0.71666154012073691</v>
      </c>
      <c r="EX200" s="21">
        <f>EXP(-LN(2)/2)*EX199+(1-EXP(-LN(2)/2))/(LN(2)/2)*ER200*EU200*VLOOKUP('Données projet'!$B$15,Paramètres!$A$1:$I$89,3,0)*0.475*44/12</f>
        <v>1.6825909882108809E-16</v>
      </c>
      <c r="EY200" s="22">
        <f t="shared" si="181"/>
        <v>1.1648443057675562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1.5961632016114892E-13</v>
      </c>
      <c r="P201" s="13">
        <f t="shared" si="203"/>
        <v>2.2708641912150958E-12</v>
      </c>
      <c r="Q201" s="20">
        <f t="shared" si="162"/>
        <v>4.2330868906469593E-12</v>
      </c>
      <c r="R201" s="59">
        <f t="shared" si="191"/>
        <v>293.33333333333752</v>
      </c>
      <c r="S201" s="59">
        <f ca="1">AVERAGE(OFFSET($R$3,0,0,'Données projet'!$E$9+1,1))-AVERAGE(OFFSET($H$3,0,0,'Données projet'!$E$9+1,1))</f>
        <v>205.73717397588365</v>
      </c>
      <c r="T201" s="59">
        <f t="shared" si="204"/>
        <v>190.64998698136026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27.778342951183536</v>
      </c>
      <c r="AA201" s="21">
        <f>EXP(-LN(2)/25)*AA200+(1-EXP(-LN(2)/25))/(LN(2)/25)*Calculateur!V201*Calculateur!X201*VLOOKUP('Données projet'!$B$9,Paramètres!$A$1:$I$89,3,0)*0.475*44/12</f>
        <v>3.3330548503961013</v>
      </c>
      <c r="AB201" s="21">
        <f>EXP(-LN(2)/2)*AB200+(1-EXP(-LN(2)/2))/(LN(2)/2)*V201*Y201*VLOOKUP('Données projet'!$B$9,Paramètres!$A$1:$I$89,3,0)*0.475*44/12</f>
        <v>2.2294449984618586E-13</v>
      </c>
      <c r="AC201" s="22">
        <f t="shared" si="163"/>
        <v>31.111397801579862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283.73369613548124</v>
      </c>
      <c r="AO201" s="59">
        <f t="shared" si="205"/>
        <v>249.77804091581208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-6.3550942286383367E-14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278.5296012747549</v>
      </c>
      <c r="BJ201" s="59">
        <f t="shared" si="206"/>
        <v>370.55343097937077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13.348938725010436</v>
      </c>
      <c r="BQ201" s="21">
        <f>EXP(-LN(2)/25)*BQ200+(1-EXP(-LN(2)/25))/(LN(2)/25)*Calculateur!BL201*Calculateur!BN201*VLOOKUP('Données projet'!$B$11,Paramètres!$A$1:$I$89,3,0)*0.475*44/12</f>
        <v>1.0929211067072795</v>
      </c>
      <c r="BR201" s="21">
        <f>EXP(-LN(2)/2)*BR200+(1-EXP(-LN(2)/2))/(LN(2)/2)*BL201*BO201*VLOOKUP('Données projet'!$B$11,Paramètres!$A$1:$I$89,3,0)*0.475*44/12</f>
        <v>1.0230332526333016E-20</v>
      </c>
      <c r="BS201" s="22">
        <f t="shared" si="169"/>
        <v>14.441859831717716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-3.1036506698001178E-14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159.92263609041913</v>
      </c>
      <c r="CE201" s="59">
        <f t="shared" si="207"/>
        <v>271.78119133009307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2.9510777654928821</v>
      </c>
      <c r="CL201" s="21">
        <f>EXP(-LN(2)/25)*CL200+(1-EXP(-LN(2)/25))/(LN(2)/25)*Calculateur!CG201*Calculateur!CI201*VLOOKUP('Données projet'!$B$12,Paramètres!$A$1:$I$89,3,0)*0.475*44/12</f>
        <v>1.8765574789469579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4.8276352444398398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5.6843418860808015E-13</v>
      </c>
      <c r="CU201" s="17">
        <f>CT201*VLOOKUP('Données projet'!$B$13,Paramètres!$A$1:$I$89,3,0)*VLOOKUP('Données projet'!$B$13,Paramètres!$A$1:$I$89,5,0)</f>
        <v>5.1431925385259092E-13</v>
      </c>
      <c r="CV201" s="13">
        <f t="shared" si="173"/>
        <v>6.3855359115685756E-12</v>
      </c>
      <c r="CW201" s="20">
        <f t="shared" si="174"/>
        <v>1.2017247746441865E-11</v>
      </c>
      <c r="CX201" s="59">
        <f t="shared" si="196"/>
        <v>293.33333333334531</v>
      </c>
      <c r="CY201" s="59">
        <f ca="1">AVERAGE(OFFSET($CX$3,0,0,'Données projet'!$E$13+1,1))-AVERAGE(OFFSET($H$3,0,0,'Données projet'!$E$13+1,1))</f>
        <v>280.25710840677186</v>
      </c>
      <c r="CZ201" s="59">
        <f t="shared" si="208"/>
        <v>209.65224013288037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45.363094791751422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45.363094791751422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243</v>
      </c>
      <c r="DP201" s="17">
        <f>DO201*VLOOKUP('Données projet'!$B$14,Paramètres!$A$1:$I$89,3,0)*VLOOKUP('Données projet'!$B$14,Paramètres!$A$1:$I$89,5,0)</f>
        <v>253.98360000000002</v>
      </c>
      <c r="DQ201" s="13">
        <f t="shared" si="176"/>
        <v>61.438182405444294</v>
      </c>
      <c r="DR201" s="20">
        <f t="shared" si="177"/>
        <v>549.35960435614891</v>
      </c>
      <c r="DS201" s="59">
        <f t="shared" si="197"/>
        <v>842.69293768948228</v>
      </c>
      <c r="DT201" s="59">
        <f ca="1">AVERAGE(OFFSET($DS$3,0,0,'Données projet'!$E$14+1,1))-AVERAGE(OFFSET($H$3,0,0,'Données projet'!$E$14+1,1))</f>
        <v>330.14201227773452</v>
      </c>
      <c r="DU201" s="59">
        <f t="shared" si="209"/>
        <v>307.07297894926467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4.6817507080690639</v>
      </c>
      <c r="EB201" s="21">
        <f>EXP(-LN(2)/25)*EB200+(1-EXP(-LN(2)/25))/(LN(2)/25)*Calculateur!DW201*Calculateur!DY201*VLOOKUP('Données projet'!$B$14,Paramètres!$A$1:$I$89,3,0)*0.475*44/12</f>
        <v>1.1769537773797463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5.8587044854488104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236.00000000000009</v>
      </c>
      <c r="EK201" s="17">
        <f>EJ201*VLOOKUP('Données projet'!$B$15,Paramètres!$A$1:$I$89,3,0)*VLOOKUP('Données projet'!$B$15,Paramètres!$A$1:$I$89,5,0)</f>
        <v>154.62720000000004</v>
      </c>
      <c r="EL201" s="13">
        <f t="shared" si="179"/>
        <v>39.62826685000794</v>
      </c>
      <c r="EM201" s="20">
        <f t="shared" si="180"/>
        <v>338.32827143043056</v>
      </c>
      <c r="EN201" s="59">
        <f t="shared" si="198"/>
        <v>631.66160476376388</v>
      </c>
      <c r="EO201" s="59">
        <f ca="1">AVERAGE(OFFSET($EN$3,0,0,'Données projet'!$E$15+1,1))-AVERAGE(OFFSET($H$3,0,0,'Données projet'!$E$15+1,1))</f>
        <v>183.30081488041924</v>
      </c>
      <c r="EP201" s="59">
        <f t="shared" si="210"/>
        <v>199.33099759570928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0.43939417497697952</v>
      </c>
      <c r="EW201" s="21">
        <f>EXP(-LN(2)/25)*EW200+(1-EXP(-LN(2)/25))/(LN(2)/25)*Calculateur!ER201*Calculateur!ET201*VLOOKUP('Données projet'!$B$15,Paramètres!$A$1:$I$89,3,0)*0.475*44/12</f>
        <v>0.69706439261854292</v>
      </c>
      <c r="EX201" s="21">
        <f>EXP(-LN(2)/2)*EX200+(1-EXP(-LN(2)/2))/(LN(2)/2)*ER201*EU201*VLOOKUP('Données projet'!$B$15,Paramètres!$A$1:$I$89,3,0)*0.475*44/12</f>
        <v>1.1897714977272881E-16</v>
      </c>
      <c r="EY201" s="22">
        <f t="shared" si="181"/>
        <v>1.1364585675955226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1.5961632016114892E-13</v>
      </c>
      <c r="P202" s="13">
        <f t="shared" si="203"/>
        <v>2.2708641912150958E-12</v>
      </c>
      <c r="Q202" s="20">
        <f t="shared" si="162"/>
        <v>4.2330868906469593E-12</v>
      </c>
      <c r="R202" s="59">
        <f t="shared" si="191"/>
        <v>293.33333333333752</v>
      </c>
      <c r="S202" s="59">
        <f ca="1">AVERAGE(OFFSET($R$3,0,0,'Données projet'!$E$9+1,1))-AVERAGE(OFFSET($H$3,0,0,'Données projet'!$E$9+1,1))</f>
        <v>205.73717397588365</v>
      </c>
      <c r="T202" s="59">
        <f t="shared" si="204"/>
        <v>190.64998698136026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27.233626589027033</v>
      </c>
      <c r="AA202" s="21">
        <f>EXP(-LN(2)/25)*AA201+(1-EXP(-LN(2)/25))/(LN(2)/25)*Calculateur!V202*Calculateur!X202*VLOOKUP('Données projet'!$B$9,Paramètres!$A$1:$I$89,3,0)*0.475*44/12</f>
        <v>3.241912290234283</v>
      </c>
      <c r="AB202" s="21">
        <f>EXP(-LN(2)/2)*AB201+(1-EXP(-LN(2)/2))/(LN(2)/2)*V202*Y202*VLOOKUP('Données projet'!$B$9,Paramètres!$A$1:$I$89,3,0)*0.475*44/12</f>
        <v>1.5764556766948125E-13</v>
      </c>
      <c r="AC202" s="22">
        <f t="shared" si="163"/>
        <v>30.475538879261471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283.73369613548124</v>
      </c>
      <c r="AO202" s="59">
        <f t="shared" si="205"/>
        <v>249.77804091581208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-6.3550942286383367E-14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278.5296012747549</v>
      </c>
      <c r="BJ202" s="59">
        <f t="shared" si="206"/>
        <v>370.55343097937077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13.087174178661643</v>
      </c>
      <c r="BQ202" s="21">
        <f>EXP(-LN(2)/25)*BQ201+(1-EXP(-LN(2)/25))/(LN(2)/25)*Calculateur!BL202*Calculateur!BN202*VLOOKUP('Données projet'!$B$11,Paramètres!$A$1:$I$89,3,0)*0.475*44/12</f>
        <v>1.0630351215701459</v>
      </c>
      <c r="BR202" s="21">
        <f>EXP(-LN(2)/2)*BR201+(1-EXP(-LN(2)/2))/(LN(2)/2)*BL202*BO202*VLOOKUP('Données projet'!$B$11,Paramètres!$A$1:$I$89,3,0)*0.475*44/12</f>
        <v>7.2339375031633799E-21</v>
      </c>
      <c r="BS202" s="22">
        <f t="shared" si="169"/>
        <v>14.150209300231788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-3.1036506698001178E-14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159.92263609041913</v>
      </c>
      <c r="CE202" s="59">
        <f t="shared" si="207"/>
        <v>271.78119133009307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2.8932089304912703</v>
      </c>
      <c r="CL202" s="21">
        <f>EXP(-LN(2)/25)*CL201+(1-EXP(-LN(2)/25))/(LN(2)/25)*Calculateur!CG202*Calculateur!CI202*VLOOKUP('Données projet'!$B$12,Paramètres!$A$1:$I$89,3,0)*0.475*44/12</f>
        <v>1.8252429160012844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4.7184518464925542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5.6843418860808015E-13</v>
      </c>
      <c r="CU202" s="17">
        <f>CT202*VLOOKUP('Données projet'!$B$13,Paramètres!$A$1:$I$89,3,0)*VLOOKUP('Données projet'!$B$13,Paramètres!$A$1:$I$89,5,0)</f>
        <v>5.1431925385259092E-13</v>
      </c>
      <c r="CV202" s="13">
        <f t="shared" si="173"/>
        <v>6.3855359115685756E-12</v>
      </c>
      <c r="CW202" s="20">
        <f t="shared" si="174"/>
        <v>1.2017247746441865E-11</v>
      </c>
      <c r="CX202" s="59">
        <f t="shared" si="196"/>
        <v>293.33333333334531</v>
      </c>
      <c r="CY202" s="59">
        <f ca="1">AVERAGE(OFFSET($CX$3,0,0,'Données projet'!$E$13+1,1))-AVERAGE(OFFSET($H$3,0,0,'Données projet'!$E$13+1,1))</f>
        <v>280.25710840677186</v>
      </c>
      <c r="CZ202" s="59">
        <f t="shared" si="208"/>
        <v>209.65224013288037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44.473552171640939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44.473552171640939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243</v>
      </c>
      <c r="DP202" s="17">
        <f>DO202*VLOOKUP('Données projet'!$B$14,Paramètres!$A$1:$I$89,3,0)*VLOOKUP('Données projet'!$B$14,Paramètres!$A$1:$I$89,5,0)</f>
        <v>253.98360000000002</v>
      </c>
      <c r="DQ202" s="13">
        <f t="shared" si="176"/>
        <v>61.438182405444294</v>
      </c>
      <c r="DR202" s="20">
        <f t="shared" si="177"/>
        <v>549.35960435614891</v>
      </c>
      <c r="DS202" s="59">
        <f t="shared" si="197"/>
        <v>842.69293768948228</v>
      </c>
      <c r="DT202" s="59">
        <f ca="1">AVERAGE(OFFSET($DS$3,0,0,'Données projet'!$E$14+1,1))-AVERAGE(OFFSET($H$3,0,0,'Données projet'!$E$14+1,1))</f>
        <v>330.14201227773452</v>
      </c>
      <c r="DU202" s="59">
        <f t="shared" si="209"/>
        <v>307.07297894926467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4.589944432269796</v>
      </c>
      <c r="EB202" s="21">
        <f>EXP(-LN(2)/25)*EB201+(1-EXP(-LN(2)/25))/(LN(2)/25)*Calculateur!DW202*Calculateur!DY202*VLOOKUP('Données projet'!$B$14,Paramètres!$A$1:$I$89,3,0)*0.475*44/12</f>
        <v>1.144769914443988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5.7347143467137842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236.00000000000009</v>
      </c>
      <c r="EK202" s="17">
        <f>EJ202*VLOOKUP('Données projet'!$B$15,Paramètres!$A$1:$I$89,3,0)*VLOOKUP('Données projet'!$B$15,Paramètres!$A$1:$I$89,5,0)</f>
        <v>154.62720000000004</v>
      </c>
      <c r="EL202" s="13">
        <f t="shared" si="179"/>
        <v>39.62826685000794</v>
      </c>
      <c r="EM202" s="20">
        <f t="shared" si="180"/>
        <v>338.32827143043056</v>
      </c>
      <c r="EN202" s="59">
        <f t="shared" si="198"/>
        <v>631.66160476376388</v>
      </c>
      <c r="EO202" s="59">
        <f ca="1">AVERAGE(OFFSET($EN$3,0,0,'Données projet'!$E$15+1,1))-AVERAGE(OFFSET($H$3,0,0,'Données projet'!$E$15+1,1))</f>
        <v>183.30081488041924</v>
      </c>
      <c r="EP202" s="59">
        <f t="shared" si="210"/>
        <v>199.33099759570928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0.43077792320966452</v>
      </c>
      <c r="EW202" s="21">
        <f>EXP(-LN(2)/25)*EW201+(1-EXP(-LN(2)/25))/(LN(2)/25)*Calculateur!ER202*Calculateur!ET202*VLOOKUP('Données projet'!$B$15,Paramètres!$A$1:$I$89,3,0)*0.475*44/12</f>
        <v>0.67800313014536562</v>
      </c>
      <c r="EX202" s="21">
        <f>EXP(-LN(2)/2)*EX201+(1-EXP(-LN(2)/2))/(LN(2)/2)*ER202*EU202*VLOOKUP('Données projet'!$B$15,Paramètres!$A$1:$I$89,3,0)*0.475*44/12</f>
        <v>8.4129549410544044E-17</v>
      </c>
      <c r="EY202" s="22">
        <f t="shared" si="181"/>
        <v>1.1087810533550302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1.5961632016114892E-13</v>
      </c>
      <c r="P203" s="13">
        <f t="shared" si="203"/>
        <v>2.2708641912150958E-12</v>
      </c>
      <c r="Q203" s="20">
        <f t="shared" si="162"/>
        <v>4.2330868906469593E-12</v>
      </c>
      <c r="R203" s="59">
        <f t="shared" si="191"/>
        <v>293.33333333333752</v>
      </c>
      <c r="S203" s="59">
        <f ca="1">AVERAGE(OFFSET($R$3,0,0,'Données projet'!$E$9+1,1))-AVERAGE(OFFSET($H$3,0,0,'Données projet'!$E$9+1,1))</f>
        <v>205.73717397588365</v>
      </c>
      <c r="T203" s="59">
        <f t="shared" si="204"/>
        <v>190.64998698136026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26.699591782488245</v>
      </c>
      <c r="AA203" s="21">
        <f>EXP(-LN(2)/25)*AA202+(1-EXP(-LN(2)/25))/(LN(2)/25)*Calculateur!V203*Calculateur!X203*VLOOKUP('Données projet'!$B$9,Paramètres!$A$1:$I$89,3,0)*0.475*44/12</f>
        <v>3.1532620281730686</v>
      </c>
      <c r="AB203" s="21">
        <f>EXP(-LN(2)/2)*AB202+(1-EXP(-LN(2)/2))/(LN(2)/2)*V203*Y203*VLOOKUP('Données projet'!$B$9,Paramètres!$A$1:$I$89,3,0)*0.475*44/12</f>
        <v>1.1147224992309296E-13</v>
      </c>
      <c r="AC203" s="22">
        <f t="shared" si="163"/>
        <v>29.852853810661422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283.73369613548124</v>
      </c>
      <c r="AO203" s="59">
        <f t="shared" si="205"/>
        <v>249.77804091581208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-6.3550942286383367E-14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278.5296012747549</v>
      </c>
      <c r="BJ203" s="59">
        <f t="shared" si="206"/>
        <v>370.55343097937077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12.830542675406141</v>
      </c>
      <c r="BQ203" s="21">
        <f>EXP(-LN(2)/25)*BQ202+(1-EXP(-LN(2)/25))/(LN(2)/25)*Calculateur!BL203*Calculateur!BN203*VLOOKUP('Données projet'!$B$11,Paramètres!$A$1:$I$89,3,0)*0.475*44/12</f>
        <v>1.0339663702682229</v>
      </c>
      <c r="BR203" s="21">
        <f>EXP(-LN(2)/2)*BR202+(1-EXP(-LN(2)/2))/(LN(2)/2)*BL203*BO203*VLOOKUP('Données projet'!$B$11,Paramètres!$A$1:$I$89,3,0)*0.475*44/12</f>
        <v>5.115166263166508E-21</v>
      </c>
      <c r="BS203" s="22">
        <f t="shared" si="169"/>
        <v>13.864509045674364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-3.1036506698001178E-14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159.92263609041913</v>
      </c>
      <c r="CE203" s="59">
        <f t="shared" si="207"/>
        <v>271.78119133009307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2.836474868047536</v>
      </c>
      <c r="CL203" s="21">
        <f>EXP(-LN(2)/25)*CL202+(1-EXP(-LN(2)/25))/(LN(2)/25)*Calculateur!CG203*Calculateur!CI203*VLOOKUP('Données projet'!$B$12,Paramètres!$A$1:$I$89,3,0)*0.475*44/12</f>
        <v>1.7753315524778759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4.6118064205254115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5.6843418860808015E-13</v>
      </c>
      <c r="CU203" s="17">
        <f>CT203*VLOOKUP('Données projet'!$B$13,Paramètres!$A$1:$I$89,3,0)*VLOOKUP('Données projet'!$B$13,Paramètres!$A$1:$I$89,5,0)</f>
        <v>5.1431925385259092E-13</v>
      </c>
      <c r="CV203" s="13">
        <f t="shared" si="173"/>
        <v>6.3855359115685756E-12</v>
      </c>
      <c r="CW203" s="20">
        <f t="shared" si="174"/>
        <v>1.2017247746441865E-11</v>
      </c>
      <c r="CX203" s="59">
        <f t="shared" si="196"/>
        <v>293.33333333334531</v>
      </c>
      <c r="CY203" s="59">
        <f ca="1">AVERAGE(OFFSET($CX$3,0,0,'Données projet'!$E$13+1,1))-AVERAGE(OFFSET($H$3,0,0,'Données projet'!$E$13+1,1))</f>
        <v>280.25710840677186</v>
      </c>
      <c r="CZ203" s="59">
        <f t="shared" si="208"/>
        <v>209.65224013288037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43.601452939743396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43.601452939743396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243</v>
      </c>
      <c r="DP203" s="17">
        <f>DO203*VLOOKUP('Données projet'!$B$14,Paramètres!$A$1:$I$89,3,0)*VLOOKUP('Données projet'!$B$14,Paramètres!$A$1:$I$89,5,0)</f>
        <v>253.98360000000002</v>
      </c>
      <c r="DQ203" s="13">
        <f t="shared" si="176"/>
        <v>61.438182405444294</v>
      </c>
      <c r="DR203" s="20">
        <f t="shared" si="177"/>
        <v>549.35960435614891</v>
      </c>
      <c r="DS203" s="59">
        <f t="shared" si="197"/>
        <v>842.69293768948228</v>
      </c>
      <c r="DT203" s="59">
        <f ca="1">AVERAGE(OFFSET($DS$3,0,0,'Données projet'!$E$14+1,1))-AVERAGE(OFFSET($H$3,0,0,'Données projet'!$E$14+1,1))</f>
        <v>330.14201227773452</v>
      </c>
      <c r="DU203" s="59">
        <f t="shared" si="209"/>
        <v>307.07297894926467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4.4999384215426526</v>
      </c>
      <c r="EB203" s="21">
        <f>EXP(-LN(2)/25)*EB202+(1-EXP(-LN(2)/25))/(LN(2)/25)*Calculateur!DW203*Calculateur!DY203*VLOOKUP('Données projet'!$B$14,Paramètres!$A$1:$I$89,3,0)*0.475*44/12</f>
        <v>1.1134661209326837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5.6134045424753367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236.00000000000009</v>
      </c>
      <c r="EK203" s="17">
        <f>EJ203*VLOOKUP('Données projet'!$B$15,Paramètres!$A$1:$I$89,3,0)*VLOOKUP('Données projet'!$B$15,Paramètres!$A$1:$I$89,5,0)</f>
        <v>154.62720000000004</v>
      </c>
      <c r="EL203" s="13">
        <f t="shared" si="179"/>
        <v>39.62826685000794</v>
      </c>
      <c r="EM203" s="20">
        <f t="shared" si="180"/>
        <v>338.32827143043056</v>
      </c>
      <c r="EN203" s="59">
        <f t="shared" si="198"/>
        <v>631.66160476376388</v>
      </c>
      <c r="EO203" s="59">
        <f ca="1">AVERAGE(OFFSET($EN$3,0,0,'Données projet'!$E$15+1,1))-AVERAGE(OFFSET($H$3,0,0,'Données projet'!$E$15+1,1))</f>
        <v>183.30081488041924</v>
      </c>
      <c r="EP203" s="59">
        <f t="shared" si="210"/>
        <v>199.33099759570928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0.42233063088411188</v>
      </c>
      <c r="EW203" s="21">
        <f>EXP(-LN(2)/25)*EW202+(1-EXP(-LN(2)/25))/(LN(2)/25)*Calculateur!ER203*Calculateur!ET203*VLOOKUP('Données projet'!$B$15,Paramètres!$A$1:$I$89,3,0)*0.475*44/12</f>
        <v>0.65946309889690558</v>
      </c>
      <c r="EX203" s="21">
        <f>EXP(-LN(2)/2)*EX202+(1-EXP(-LN(2)/2))/(LN(2)/2)*ER203*EU203*VLOOKUP('Données projet'!$B$15,Paramètres!$A$1:$I$89,3,0)*0.475*44/12</f>
        <v>5.9488574886364406E-17</v>
      </c>
      <c r="EY203" s="22">
        <f t="shared" si="181"/>
        <v>1.0817937297810174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118</v>
      </c>
      <c r="BA204" s="81" t="s">
        <v>118</v>
      </c>
      <c r="BV204" s="81" t="s">
        <v>118</v>
      </c>
      <c r="CQ204" s="81" t="s">
        <v>118</v>
      </c>
      <c r="DL204" s="81" t="s">
        <v>118</v>
      </c>
      <c r="EG204" s="81" t="s">
        <v>118</v>
      </c>
      <c r="FB204" s="81" t="s">
        <v>118</v>
      </c>
      <c r="FW204" s="81" t="s">
        <v>118</v>
      </c>
      <c r="GR204" s="81" t="s">
        <v>118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1.1963772029987372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1.3356034260773062</v>
      </c>
      <c r="BV205" s="82">
        <f>EXP(LN('Données projet'!B114)/'Données projet'!A114)</f>
        <v>1.4860662319460807</v>
      </c>
      <c r="CQ205" s="82">
        <f>EXP(LN('Données projet'!B140)/'Données projet'!A140)</f>
        <v>1.1736311550444201</v>
      </c>
      <c r="DL205" s="82">
        <f>EXP(LN('Données projet'!B166)/'Données projet'!A166)</f>
        <v>1.4003603312913959</v>
      </c>
      <c r="EG205" s="82">
        <f>EXP(LN('Données projet'!B192)/'Données projet'!A192)</f>
        <v>1.2709816152101407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7773437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77734375" style="4" bestFit="1" customWidth="1"/>
    <col min="7" max="7" width="11.44140625" style="4" bestFit="1" customWidth="1"/>
    <col min="8" max="8" width="39" style="4" bestFit="1" customWidth="1"/>
    <col min="9" max="9" width="16.777343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119</v>
      </c>
      <c r="B1" s="112" t="s">
        <v>120</v>
      </c>
      <c r="C1" s="113" t="s">
        <v>121</v>
      </c>
      <c r="D1" s="112" t="s">
        <v>122</v>
      </c>
      <c r="E1" s="113" t="s">
        <v>123</v>
      </c>
      <c r="F1" s="113" t="s">
        <v>122</v>
      </c>
      <c r="G1" s="113" t="s">
        <v>124</v>
      </c>
      <c r="H1" s="113" t="s">
        <v>122</v>
      </c>
      <c r="I1" s="114" t="s">
        <v>125</v>
      </c>
      <c r="J1" s="78"/>
      <c r="K1" s="78"/>
      <c r="L1" s="78"/>
      <c r="M1" s="78"/>
      <c r="N1" s="78"/>
    </row>
    <row r="2" spans="1:16" x14ac:dyDescent="0.3">
      <c r="A2" s="115" t="s">
        <v>126</v>
      </c>
      <c r="B2" s="116" t="s">
        <v>127</v>
      </c>
      <c r="C2" s="117">
        <v>0.62</v>
      </c>
      <c r="D2" s="117" t="s">
        <v>128</v>
      </c>
      <c r="E2" s="117">
        <v>1.56</v>
      </c>
      <c r="F2" s="117" t="s">
        <v>129</v>
      </c>
      <c r="G2" s="118">
        <v>0.43</v>
      </c>
      <c r="H2" s="119" t="s">
        <v>130</v>
      </c>
      <c r="I2" s="120">
        <v>0.25</v>
      </c>
      <c r="J2" s="78"/>
      <c r="K2" s="78"/>
      <c r="L2" s="78"/>
      <c r="M2" s="78"/>
      <c r="N2" s="78"/>
      <c r="O2" s="283" t="s">
        <v>131</v>
      </c>
      <c r="P2" s="121">
        <v>0</v>
      </c>
    </row>
    <row r="3" spans="1:16" ht="15" thickBot="1" x14ac:dyDescent="0.35">
      <c r="A3" s="122" t="s">
        <v>132</v>
      </c>
      <c r="B3" s="123" t="s">
        <v>133</v>
      </c>
      <c r="C3" s="124">
        <v>0.64</v>
      </c>
      <c r="D3" s="124" t="s">
        <v>128</v>
      </c>
      <c r="E3" s="124">
        <v>1.56</v>
      </c>
      <c r="F3" s="125" t="s">
        <v>129</v>
      </c>
      <c r="G3" s="126">
        <v>0.43</v>
      </c>
      <c r="H3" s="124" t="s">
        <v>130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35">
      <c r="A4" s="122" t="s">
        <v>134</v>
      </c>
      <c r="B4" s="123" t="s">
        <v>135</v>
      </c>
      <c r="C4" s="124">
        <v>0.42</v>
      </c>
      <c r="D4" s="124" t="s">
        <v>128</v>
      </c>
      <c r="E4" s="124">
        <v>1.56</v>
      </c>
      <c r="F4" s="125" t="s">
        <v>129</v>
      </c>
      <c r="G4" s="126">
        <v>0.43</v>
      </c>
      <c r="H4" s="124" t="s">
        <v>130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29</v>
      </c>
      <c r="B5" s="123" t="s">
        <v>136</v>
      </c>
      <c r="C5" s="124">
        <v>0.42</v>
      </c>
      <c r="D5" s="124" t="s">
        <v>128</v>
      </c>
      <c r="E5" s="124">
        <v>1.56</v>
      </c>
      <c r="F5" s="125" t="s">
        <v>129</v>
      </c>
      <c r="G5" s="126">
        <v>0.43</v>
      </c>
      <c r="H5" s="124" t="s">
        <v>130</v>
      </c>
      <c r="I5" s="127">
        <v>0.25</v>
      </c>
      <c r="J5" s="78"/>
      <c r="K5" s="78"/>
      <c r="L5" s="78"/>
      <c r="M5" s="78"/>
      <c r="N5" s="78"/>
      <c r="O5" s="283" t="s">
        <v>137</v>
      </c>
      <c r="P5" s="121">
        <v>0</v>
      </c>
    </row>
    <row r="6" spans="1:16" x14ac:dyDescent="0.3">
      <c r="A6" s="122" t="s">
        <v>138</v>
      </c>
      <c r="B6" s="123" t="s">
        <v>139</v>
      </c>
      <c r="C6" s="124">
        <v>0.42</v>
      </c>
      <c r="D6" s="124" t="s">
        <v>128</v>
      </c>
      <c r="E6" s="124">
        <v>1.56</v>
      </c>
      <c r="F6" s="125" t="s">
        <v>129</v>
      </c>
      <c r="G6" s="126">
        <v>0.43</v>
      </c>
      <c r="H6" s="124" t="s">
        <v>130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">
      <c r="A7" s="122" t="s">
        <v>140</v>
      </c>
      <c r="B7" s="123" t="s">
        <v>141</v>
      </c>
      <c r="C7" s="124">
        <v>0.52</v>
      </c>
      <c r="D7" s="124" t="s">
        <v>128</v>
      </c>
      <c r="E7" s="124">
        <v>1.56</v>
      </c>
      <c r="F7" s="125" t="s">
        <v>129</v>
      </c>
      <c r="G7" s="126">
        <v>0.43</v>
      </c>
      <c r="H7" s="124" t="s">
        <v>130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35">
      <c r="A8" s="122" t="s">
        <v>16</v>
      </c>
      <c r="B8" s="123" t="s">
        <v>142</v>
      </c>
      <c r="C8" s="124">
        <v>0.36</v>
      </c>
      <c r="D8" s="124" t="s">
        <v>128</v>
      </c>
      <c r="E8" s="124">
        <v>1.3</v>
      </c>
      <c r="F8" s="125" t="s">
        <v>129</v>
      </c>
      <c r="G8" s="126">
        <v>0.55000000000000004</v>
      </c>
      <c r="H8" s="124" t="s">
        <v>143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35">
      <c r="A9" s="122" t="s">
        <v>144</v>
      </c>
      <c r="B9" s="123" t="s">
        <v>145</v>
      </c>
      <c r="C9" s="124">
        <v>0.61</v>
      </c>
      <c r="D9" s="124" t="s">
        <v>128</v>
      </c>
      <c r="E9" s="124">
        <v>1.56</v>
      </c>
      <c r="F9" s="125" t="s">
        <v>129</v>
      </c>
      <c r="G9" s="126">
        <v>0.43</v>
      </c>
      <c r="H9" s="124" t="s">
        <v>130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146</v>
      </c>
      <c r="B10" s="123" t="s">
        <v>147</v>
      </c>
      <c r="C10" s="124">
        <v>0.66</v>
      </c>
      <c r="D10" s="124" t="s">
        <v>128</v>
      </c>
      <c r="E10" s="124">
        <v>1.56</v>
      </c>
      <c r="F10" s="125" t="s">
        <v>129</v>
      </c>
      <c r="G10" s="126">
        <v>0.43</v>
      </c>
      <c r="H10" s="124" t="s">
        <v>130</v>
      </c>
      <c r="I10" s="127">
        <v>0.25</v>
      </c>
      <c r="J10" s="78"/>
      <c r="K10" s="78"/>
      <c r="L10" s="78"/>
      <c r="M10" s="78"/>
      <c r="N10" s="78"/>
      <c r="O10" s="283" t="s">
        <v>148</v>
      </c>
      <c r="P10" s="121">
        <v>0</v>
      </c>
    </row>
    <row r="11" spans="1:16" ht="15" thickBot="1" x14ac:dyDescent="0.35">
      <c r="A11" s="122" t="s">
        <v>149</v>
      </c>
      <c r="B11" s="123" t="s">
        <v>150</v>
      </c>
      <c r="C11" s="124">
        <v>0.47</v>
      </c>
      <c r="D11" s="124" t="s">
        <v>128</v>
      </c>
      <c r="E11" s="124">
        <v>1.56</v>
      </c>
      <c r="F11" s="125" t="s">
        <v>129</v>
      </c>
      <c r="G11" s="126">
        <v>0.43</v>
      </c>
      <c r="H11" s="124" t="s">
        <v>130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">
      <c r="A12" s="122" t="s">
        <v>27</v>
      </c>
      <c r="B12" s="123" t="s">
        <v>151</v>
      </c>
      <c r="C12" s="124">
        <v>0.67</v>
      </c>
      <c r="D12" s="124" t="s">
        <v>128</v>
      </c>
      <c r="E12" s="124">
        <v>1.56</v>
      </c>
      <c r="F12" s="125" t="s">
        <v>129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153</v>
      </c>
      <c r="B13" s="123" t="s">
        <v>154</v>
      </c>
      <c r="C13" s="124">
        <v>0.7</v>
      </c>
      <c r="D13" s="124" t="s">
        <v>128</v>
      </c>
      <c r="E13" s="124">
        <v>1.56</v>
      </c>
      <c r="F13" s="125" t="s">
        <v>129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155</v>
      </c>
      <c r="B14" s="123" t="s">
        <v>156</v>
      </c>
      <c r="C14" s="124">
        <v>0.54</v>
      </c>
      <c r="D14" s="124" t="s">
        <v>128</v>
      </c>
      <c r="E14" s="124">
        <v>1.56</v>
      </c>
      <c r="F14" s="125" t="s">
        <v>129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157</v>
      </c>
      <c r="B15" s="123" t="s">
        <v>158</v>
      </c>
      <c r="C15" s="124">
        <v>0.65</v>
      </c>
      <c r="D15" s="124" t="s">
        <v>128</v>
      </c>
      <c r="E15" s="124">
        <v>1.56</v>
      </c>
      <c r="F15" s="125" t="s">
        <v>129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159</v>
      </c>
      <c r="B16" s="123" t="s">
        <v>160</v>
      </c>
      <c r="C16" s="124">
        <v>0.56000000000000005</v>
      </c>
      <c r="D16" s="124" t="s">
        <v>128</v>
      </c>
      <c r="E16" s="124">
        <v>1.56</v>
      </c>
      <c r="F16" s="125" t="s">
        <v>129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25</v>
      </c>
      <c r="B17" s="123" t="s">
        <v>161</v>
      </c>
      <c r="C17" s="124">
        <v>0.57999999999999996</v>
      </c>
      <c r="D17" s="124" t="s">
        <v>128</v>
      </c>
      <c r="E17" s="124">
        <v>1.56</v>
      </c>
      <c r="F17" s="125" t="s">
        <v>129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162</v>
      </c>
      <c r="B18" s="123" t="s">
        <v>163</v>
      </c>
      <c r="C18" s="124">
        <v>0.64</v>
      </c>
      <c r="D18" s="124" t="s">
        <v>128</v>
      </c>
      <c r="E18" s="124">
        <v>1.56</v>
      </c>
      <c r="F18" s="125" t="s">
        <v>129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164</v>
      </c>
      <c r="B19" s="123" t="s">
        <v>165</v>
      </c>
      <c r="C19" s="124">
        <v>0.73</v>
      </c>
      <c r="D19" s="124" t="s">
        <v>128</v>
      </c>
      <c r="E19" s="124">
        <v>1.56</v>
      </c>
      <c r="F19" s="125" t="s">
        <v>129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166</v>
      </c>
      <c r="B20" s="123" t="s">
        <v>167</v>
      </c>
      <c r="C20" s="124">
        <v>0.69</v>
      </c>
      <c r="D20" s="124" t="s">
        <v>168</v>
      </c>
      <c r="E20" s="124">
        <v>1.56</v>
      </c>
      <c r="F20" s="125" t="s">
        <v>129</v>
      </c>
      <c r="G20" s="126">
        <v>0.43</v>
      </c>
      <c r="H20" s="124" t="s">
        <v>169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170</v>
      </c>
      <c r="B21" s="123" t="s">
        <v>171</v>
      </c>
      <c r="C21" s="124">
        <v>0.36</v>
      </c>
      <c r="D21" s="124" t="s">
        <v>128</v>
      </c>
      <c r="E21" s="124">
        <v>1.3</v>
      </c>
      <c r="F21" s="125" t="s">
        <v>129</v>
      </c>
      <c r="G21" s="126">
        <v>0.55000000000000004</v>
      </c>
      <c r="H21" s="124" t="s">
        <v>143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172</v>
      </c>
      <c r="B22" s="123" t="s">
        <v>173</v>
      </c>
      <c r="C22" s="124">
        <v>0.4</v>
      </c>
      <c r="D22" s="124" t="s">
        <v>128</v>
      </c>
      <c r="E22" s="124">
        <v>1.3</v>
      </c>
      <c r="F22" s="125" t="s">
        <v>129</v>
      </c>
      <c r="G22" s="126">
        <v>0.55000000000000004</v>
      </c>
      <c r="H22" s="124" t="s">
        <v>143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21</v>
      </c>
      <c r="B23" s="123" t="s">
        <v>174</v>
      </c>
      <c r="C23" s="124">
        <v>0.43</v>
      </c>
      <c r="D23" s="124" t="s">
        <v>128</v>
      </c>
      <c r="E23" s="124">
        <v>1.3</v>
      </c>
      <c r="F23" s="125" t="s">
        <v>129</v>
      </c>
      <c r="G23" s="126">
        <v>0.55000000000000004</v>
      </c>
      <c r="H23" s="124" t="s">
        <v>143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88</v>
      </c>
      <c r="B24" s="123" t="s">
        <v>175</v>
      </c>
      <c r="C24" s="124">
        <v>0.37</v>
      </c>
      <c r="D24" s="124" t="s">
        <v>128</v>
      </c>
      <c r="E24" s="124">
        <v>1.3</v>
      </c>
      <c r="F24" s="125" t="s">
        <v>129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176</v>
      </c>
      <c r="B25" s="123" t="s">
        <v>177</v>
      </c>
      <c r="C25" s="124">
        <v>0.36</v>
      </c>
      <c r="D25" s="124" t="s">
        <v>128</v>
      </c>
      <c r="E25" s="124">
        <v>1.3</v>
      </c>
      <c r="F25" s="125" t="s">
        <v>129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178</v>
      </c>
      <c r="B26" s="123" t="s">
        <v>179</v>
      </c>
      <c r="C26" s="124">
        <v>0.56000000000000005</v>
      </c>
      <c r="D26" s="124" t="s">
        <v>128</v>
      </c>
      <c r="E26" s="124">
        <v>1.56</v>
      </c>
      <c r="F26" s="125" t="s">
        <v>129</v>
      </c>
      <c r="G26" s="126">
        <v>0.53</v>
      </c>
      <c r="H26" s="124" t="s">
        <v>180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181</v>
      </c>
      <c r="B27" s="123" t="s">
        <v>182</v>
      </c>
      <c r="C27" s="124">
        <v>0.51</v>
      </c>
      <c r="D27" s="124" t="s">
        <v>128</v>
      </c>
      <c r="E27" s="124">
        <v>1.56</v>
      </c>
      <c r="F27" s="125" t="s">
        <v>129</v>
      </c>
      <c r="G27" s="126">
        <v>0.53</v>
      </c>
      <c r="H27" s="124" t="s">
        <v>180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183</v>
      </c>
      <c r="B28" s="123" t="s">
        <v>184</v>
      </c>
      <c r="C28" s="124">
        <v>0.51</v>
      </c>
      <c r="D28" s="124" t="s">
        <v>128</v>
      </c>
      <c r="E28" s="124">
        <v>1.56</v>
      </c>
      <c r="F28" s="125" t="s">
        <v>129</v>
      </c>
      <c r="G28" s="126">
        <v>0.53</v>
      </c>
      <c r="H28" s="124" t="s">
        <v>180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185</v>
      </c>
      <c r="B29" s="123" t="s">
        <v>185</v>
      </c>
      <c r="C29" s="124">
        <v>0.56000000000000005</v>
      </c>
      <c r="D29" s="124" t="s">
        <v>128</v>
      </c>
      <c r="E29" s="124">
        <v>1.56</v>
      </c>
      <c r="F29" s="125" t="s">
        <v>129</v>
      </c>
      <c r="G29" s="126">
        <v>0.53</v>
      </c>
      <c r="H29" s="124" t="s">
        <v>180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186</v>
      </c>
      <c r="B30" s="123" t="s">
        <v>187</v>
      </c>
      <c r="C30" s="124">
        <v>0.55000000000000004</v>
      </c>
      <c r="D30" s="124" t="s">
        <v>128</v>
      </c>
      <c r="E30" s="124">
        <v>1.56</v>
      </c>
      <c r="F30" s="125" t="s">
        <v>129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188</v>
      </c>
      <c r="B31" s="123" t="s">
        <v>189</v>
      </c>
      <c r="C31" s="124">
        <v>0.56000000000000005</v>
      </c>
      <c r="D31" s="124" t="s">
        <v>128</v>
      </c>
      <c r="E31" s="124">
        <v>1.56</v>
      </c>
      <c r="F31" s="125" t="s">
        <v>129</v>
      </c>
      <c r="G31" s="126">
        <v>0.43</v>
      </c>
      <c r="H31" s="124" t="s">
        <v>130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190</v>
      </c>
      <c r="B32" s="123" t="s">
        <v>191</v>
      </c>
      <c r="C32" s="124">
        <v>0.48</v>
      </c>
      <c r="D32" s="124" t="s">
        <v>128</v>
      </c>
      <c r="E32" s="124">
        <v>1.3</v>
      </c>
      <c r="F32" s="125" t="s">
        <v>129</v>
      </c>
      <c r="G32" s="126">
        <v>0.6</v>
      </c>
      <c r="H32" s="124" t="s">
        <v>192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193</v>
      </c>
      <c r="B33" s="123" t="s">
        <v>194</v>
      </c>
      <c r="C33" s="124">
        <v>0.42</v>
      </c>
      <c r="D33" s="124" t="s">
        <v>128</v>
      </c>
      <c r="E33" s="124">
        <v>1.3</v>
      </c>
      <c r="F33" s="125" t="s">
        <v>129</v>
      </c>
      <c r="G33" s="126">
        <v>0.6</v>
      </c>
      <c r="H33" s="124" t="s">
        <v>192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23</v>
      </c>
      <c r="B34" s="123" t="s">
        <v>195</v>
      </c>
      <c r="C34" s="124">
        <v>0.42</v>
      </c>
      <c r="D34" s="124" t="s">
        <v>196</v>
      </c>
      <c r="E34" s="124">
        <v>1.3</v>
      </c>
      <c r="F34" s="125" t="s">
        <v>129</v>
      </c>
      <c r="G34" s="126">
        <v>0.6</v>
      </c>
      <c r="H34" s="123" t="s">
        <v>197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198</v>
      </c>
      <c r="B35" s="123" t="s">
        <v>199</v>
      </c>
      <c r="C35" s="124">
        <v>0.5</v>
      </c>
      <c r="D35" s="124" t="s">
        <v>128</v>
      </c>
      <c r="E35" s="124">
        <v>1.56</v>
      </c>
      <c r="F35" s="125" t="s">
        <v>129</v>
      </c>
      <c r="G35" s="126">
        <v>0.43</v>
      </c>
      <c r="H35" s="124" t="s">
        <v>130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200</v>
      </c>
      <c r="B36" s="123" t="s">
        <v>201</v>
      </c>
      <c r="C36" s="124">
        <v>0.55000000000000004</v>
      </c>
      <c r="D36" s="124" t="s">
        <v>128</v>
      </c>
      <c r="E36" s="124">
        <v>1.56</v>
      </c>
      <c r="F36" s="125" t="s">
        <v>129</v>
      </c>
      <c r="G36" s="126">
        <v>0.53</v>
      </c>
      <c r="H36" s="124" t="s">
        <v>180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202</v>
      </c>
      <c r="B37" s="123" t="s">
        <v>203</v>
      </c>
      <c r="C37" s="124">
        <v>0.52</v>
      </c>
      <c r="D37" s="124" t="s">
        <v>128</v>
      </c>
      <c r="E37" s="124">
        <v>1.56</v>
      </c>
      <c r="F37" s="125" t="s">
        <v>129</v>
      </c>
      <c r="G37" s="126">
        <v>0.53</v>
      </c>
      <c r="H37" s="124" t="s">
        <v>180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204</v>
      </c>
      <c r="B38" s="123" t="s">
        <v>205</v>
      </c>
      <c r="C38" s="124">
        <v>0.52</v>
      </c>
      <c r="D38" s="124" t="s">
        <v>128</v>
      </c>
      <c r="E38" s="124">
        <v>1.56</v>
      </c>
      <c r="F38" s="125" t="s">
        <v>129</v>
      </c>
      <c r="G38" s="126">
        <v>0.43</v>
      </c>
      <c r="H38" s="124" t="s">
        <v>130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206</v>
      </c>
      <c r="B39" s="123" t="s">
        <v>207</v>
      </c>
      <c r="C39" s="124">
        <v>0.313</v>
      </c>
      <c r="D39" s="124" t="s">
        <v>208</v>
      </c>
      <c r="E39" s="124">
        <v>1.56</v>
      </c>
      <c r="F39" s="125" t="s">
        <v>129</v>
      </c>
      <c r="G39" s="126">
        <v>0.6</v>
      </c>
      <c r="H39" s="124" t="s">
        <v>209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210</v>
      </c>
      <c r="B40" s="123" t="s">
        <v>207</v>
      </c>
      <c r="C40" s="124">
        <v>0.35199999999999998</v>
      </c>
      <c r="D40" s="124" t="s">
        <v>208</v>
      </c>
      <c r="E40" s="124">
        <v>1.56</v>
      </c>
      <c r="F40" s="125" t="s">
        <v>129</v>
      </c>
      <c r="G40" s="126">
        <v>0.6</v>
      </c>
      <c r="H40" s="124" t="s">
        <v>209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211</v>
      </c>
      <c r="B41" s="123" t="s">
        <v>207</v>
      </c>
      <c r="C41" s="124">
        <v>0.32200000000000001</v>
      </c>
      <c r="D41" s="124" t="s">
        <v>208</v>
      </c>
      <c r="E41" s="124">
        <v>1.56</v>
      </c>
      <c r="F41" s="125" t="s">
        <v>129</v>
      </c>
      <c r="G41" s="126">
        <v>0.6</v>
      </c>
      <c r="H41" s="124" t="s">
        <v>209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212</v>
      </c>
      <c r="B42" s="123" t="s">
        <v>207</v>
      </c>
      <c r="C42" s="124">
        <v>0.311</v>
      </c>
      <c r="D42" s="124" t="s">
        <v>208</v>
      </c>
      <c r="E42" s="124">
        <v>1.56</v>
      </c>
      <c r="F42" s="125" t="s">
        <v>129</v>
      </c>
      <c r="G42" s="126">
        <v>0.6</v>
      </c>
      <c r="H42" s="124" t="s">
        <v>209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213</v>
      </c>
      <c r="B43" s="123" t="s">
        <v>207</v>
      </c>
      <c r="C43" s="124">
        <v>0.33900000000000002</v>
      </c>
      <c r="D43" s="124" t="s">
        <v>208</v>
      </c>
      <c r="E43" s="124">
        <v>1.56</v>
      </c>
      <c r="F43" s="125" t="s">
        <v>129</v>
      </c>
      <c r="G43" s="126">
        <v>0.6</v>
      </c>
      <c r="H43" s="124" t="s">
        <v>209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214</v>
      </c>
      <c r="B44" s="123" t="s">
        <v>207</v>
      </c>
      <c r="C44" s="124">
        <v>0.33600000000000002</v>
      </c>
      <c r="D44" s="124" t="s">
        <v>208</v>
      </c>
      <c r="E44" s="124">
        <v>1.56</v>
      </c>
      <c r="F44" s="125" t="s">
        <v>129</v>
      </c>
      <c r="G44" s="126">
        <v>0.6</v>
      </c>
      <c r="H44" s="124" t="s">
        <v>209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215</v>
      </c>
      <c r="B45" s="123" t="s">
        <v>207</v>
      </c>
      <c r="C45" s="124">
        <v>0.32900000000000001</v>
      </c>
      <c r="D45" s="124" t="s">
        <v>208</v>
      </c>
      <c r="E45" s="124">
        <v>1.56</v>
      </c>
      <c r="F45" s="125" t="s">
        <v>129</v>
      </c>
      <c r="G45" s="126">
        <v>0.6</v>
      </c>
      <c r="H45" s="124" t="s">
        <v>209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216</v>
      </c>
      <c r="B46" s="123" t="s">
        <v>207</v>
      </c>
      <c r="C46" s="124">
        <v>0.34300000000000003</v>
      </c>
      <c r="D46" s="124" t="s">
        <v>208</v>
      </c>
      <c r="E46" s="124">
        <v>1.56</v>
      </c>
      <c r="F46" s="125" t="s">
        <v>129</v>
      </c>
      <c r="G46" s="126">
        <v>0.6</v>
      </c>
      <c r="H46" s="124" t="s">
        <v>209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217</v>
      </c>
      <c r="B47" s="123" t="s">
        <v>207</v>
      </c>
      <c r="C47" s="124">
        <v>0.32500000000000001</v>
      </c>
      <c r="D47" s="124" t="s">
        <v>208</v>
      </c>
      <c r="E47" s="124">
        <v>1.56</v>
      </c>
      <c r="F47" s="125" t="s">
        <v>129</v>
      </c>
      <c r="G47" s="126">
        <v>0.6</v>
      </c>
      <c r="H47" s="124" t="s">
        <v>209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218</v>
      </c>
      <c r="B48" s="123" t="s">
        <v>207</v>
      </c>
      <c r="C48" s="124">
        <v>0.32</v>
      </c>
      <c r="D48" s="124" t="s">
        <v>208</v>
      </c>
      <c r="E48" s="124">
        <v>1.56</v>
      </c>
      <c r="F48" s="125" t="s">
        <v>129</v>
      </c>
      <c r="G48" s="126">
        <v>0.6</v>
      </c>
      <c r="H48" s="124" t="s">
        <v>209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219</v>
      </c>
      <c r="B49" s="123" t="s">
        <v>207</v>
      </c>
      <c r="C49" s="124">
        <v>0.28199999999999997</v>
      </c>
      <c r="D49" s="124" t="s">
        <v>208</v>
      </c>
      <c r="E49" s="124">
        <v>1.56</v>
      </c>
      <c r="F49" s="125" t="s">
        <v>129</v>
      </c>
      <c r="G49" s="126">
        <v>0.6</v>
      </c>
      <c r="H49" s="124" t="s">
        <v>209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220</v>
      </c>
      <c r="B50" s="123" t="s">
        <v>207</v>
      </c>
      <c r="C50" s="124">
        <v>0.32800000000000001</v>
      </c>
      <c r="D50" s="124" t="s">
        <v>208</v>
      </c>
      <c r="E50" s="124">
        <v>1.56</v>
      </c>
      <c r="F50" s="125" t="s">
        <v>129</v>
      </c>
      <c r="G50" s="126">
        <v>0.6</v>
      </c>
      <c r="H50" s="124" t="s">
        <v>209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221</v>
      </c>
      <c r="B51" s="123" t="s">
        <v>207</v>
      </c>
      <c r="C51" s="124">
        <v>0.32600000000000001</v>
      </c>
      <c r="D51" s="124" t="s">
        <v>208</v>
      </c>
      <c r="E51" s="124">
        <v>1.56</v>
      </c>
      <c r="F51" s="125" t="s">
        <v>129</v>
      </c>
      <c r="G51" s="126">
        <v>0.6</v>
      </c>
      <c r="H51" s="124" t="s">
        <v>209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222</v>
      </c>
      <c r="B52" s="123" t="s">
        <v>207</v>
      </c>
      <c r="C52" s="124">
        <v>0.35899999999999999</v>
      </c>
      <c r="D52" s="124" t="s">
        <v>208</v>
      </c>
      <c r="E52" s="124">
        <v>1.56</v>
      </c>
      <c r="F52" s="125" t="s">
        <v>129</v>
      </c>
      <c r="G52" s="126">
        <v>0.6</v>
      </c>
      <c r="H52" s="124" t="s">
        <v>209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223</v>
      </c>
      <c r="B53" s="123" t="s">
        <v>207</v>
      </c>
      <c r="C53" s="124">
        <v>0.34599999999999997</v>
      </c>
      <c r="D53" s="124" t="s">
        <v>208</v>
      </c>
      <c r="E53" s="124">
        <v>1.56</v>
      </c>
      <c r="F53" s="125" t="s">
        <v>129</v>
      </c>
      <c r="G53" s="126">
        <v>0.6</v>
      </c>
      <c r="H53" s="124" t="s">
        <v>209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224</v>
      </c>
      <c r="B54" s="123" t="s">
        <v>207</v>
      </c>
      <c r="C54" s="124">
        <v>0.32600000000000001</v>
      </c>
      <c r="D54" s="124" t="s">
        <v>208</v>
      </c>
      <c r="E54" s="124">
        <v>1.56</v>
      </c>
      <c r="F54" s="125" t="s">
        <v>129</v>
      </c>
      <c r="G54" s="126">
        <v>0.6</v>
      </c>
      <c r="H54" s="124" t="s">
        <v>209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225</v>
      </c>
      <c r="B55" s="123" t="s">
        <v>207</v>
      </c>
      <c r="C55" s="124">
        <v>0.30499999999999999</v>
      </c>
      <c r="D55" s="124" t="s">
        <v>208</v>
      </c>
      <c r="E55" s="124">
        <v>1.56</v>
      </c>
      <c r="F55" s="125" t="s">
        <v>129</v>
      </c>
      <c r="G55" s="126">
        <v>0.6</v>
      </c>
      <c r="H55" s="124" t="s">
        <v>209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226</v>
      </c>
      <c r="B56" s="123" t="s">
        <v>207</v>
      </c>
      <c r="C56" s="124">
        <v>0.32300000000000001</v>
      </c>
      <c r="D56" s="124" t="s">
        <v>208</v>
      </c>
      <c r="E56" s="124">
        <v>1.56</v>
      </c>
      <c r="F56" s="125" t="s">
        <v>129</v>
      </c>
      <c r="G56" s="126">
        <v>0.6</v>
      </c>
      <c r="H56" s="124" t="s">
        <v>209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227</v>
      </c>
      <c r="B57" s="123" t="s">
        <v>207</v>
      </c>
      <c r="C57" s="124">
        <v>0.36699999999999999</v>
      </c>
      <c r="D57" s="124" t="s">
        <v>208</v>
      </c>
      <c r="E57" s="124">
        <v>1.56</v>
      </c>
      <c r="F57" s="125" t="s">
        <v>129</v>
      </c>
      <c r="G57" s="126">
        <v>0.6</v>
      </c>
      <c r="H57" s="124" t="s">
        <v>209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228</v>
      </c>
      <c r="B58" s="123" t="s">
        <v>207</v>
      </c>
      <c r="C58" s="124">
        <v>0.36</v>
      </c>
      <c r="D58" s="124" t="s">
        <v>208</v>
      </c>
      <c r="E58" s="124">
        <v>1.56</v>
      </c>
      <c r="F58" s="125" t="s">
        <v>129</v>
      </c>
      <c r="G58" s="126">
        <v>0.6</v>
      </c>
      <c r="H58" s="124" t="s">
        <v>209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229</v>
      </c>
      <c r="B59" s="123" t="s">
        <v>207</v>
      </c>
      <c r="C59" s="124">
        <v>0.36799999999999999</v>
      </c>
      <c r="D59" s="124" t="s">
        <v>208</v>
      </c>
      <c r="E59" s="124">
        <v>1.56</v>
      </c>
      <c r="F59" s="125" t="s">
        <v>129</v>
      </c>
      <c r="G59" s="126">
        <v>0.6</v>
      </c>
      <c r="H59" s="124" t="s">
        <v>209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230</v>
      </c>
      <c r="B60" s="123" t="s">
        <v>207</v>
      </c>
      <c r="C60" s="124">
        <v>0.30599999999999999</v>
      </c>
      <c r="D60" s="124" t="s">
        <v>208</v>
      </c>
      <c r="E60" s="124">
        <v>1.56</v>
      </c>
      <c r="F60" s="125" t="s">
        <v>129</v>
      </c>
      <c r="G60" s="126">
        <v>0.6</v>
      </c>
      <c r="H60" s="124" t="s">
        <v>209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231</v>
      </c>
      <c r="B61" s="123" t="s">
        <v>207</v>
      </c>
      <c r="C61" s="124">
        <v>0.313</v>
      </c>
      <c r="D61" s="124" t="s">
        <v>208</v>
      </c>
      <c r="E61" s="124">
        <v>1.56</v>
      </c>
      <c r="F61" s="125" t="s">
        <v>129</v>
      </c>
      <c r="G61" s="126">
        <v>0.6</v>
      </c>
      <c r="H61" s="124" t="s">
        <v>209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232</v>
      </c>
      <c r="B62" s="123" t="s">
        <v>233</v>
      </c>
      <c r="C62" s="124">
        <v>0.37</v>
      </c>
      <c r="D62" s="124" t="s">
        <v>128</v>
      </c>
      <c r="E62" s="124">
        <v>1.56</v>
      </c>
      <c r="F62" s="125" t="s">
        <v>129</v>
      </c>
      <c r="G62" s="126">
        <v>0.6</v>
      </c>
      <c r="H62" s="124" t="s">
        <v>209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234</v>
      </c>
      <c r="B63" s="123" t="s">
        <v>235</v>
      </c>
      <c r="C63" s="124">
        <v>0.45</v>
      </c>
      <c r="D63" s="124" t="s">
        <v>128</v>
      </c>
      <c r="E63" s="124">
        <v>1.3</v>
      </c>
      <c r="F63" s="125" t="s">
        <v>129</v>
      </c>
      <c r="G63" s="126">
        <v>0.45</v>
      </c>
      <c r="H63" s="124" t="s">
        <v>236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237</v>
      </c>
      <c r="B64" s="123" t="s">
        <v>238</v>
      </c>
      <c r="C64" s="124">
        <v>0.39</v>
      </c>
      <c r="D64" s="124" t="s">
        <v>128</v>
      </c>
      <c r="E64" s="124">
        <v>1.3</v>
      </c>
      <c r="F64" s="125" t="s">
        <v>129</v>
      </c>
      <c r="G64" s="126">
        <v>0.45</v>
      </c>
      <c r="H64" s="124" t="s">
        <v>236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239</v>
      </c>
      <c r="B65" s="123" t="s">
        <v>240</v>
      </c>
      <c r="C65" s="124">
        <v>0.44</v>
      </c>
      <c r="D65" s="124" t="s">
        <v>128</v>
      </c>
      <c r="E65" s="124">
        <v>1.3</v>
      </c>
      <c r="F65" s="125" t="s">
        <v>129</v>
      </c>
      <c r="G65" s="126">
        <v>0.45</v>
      </c>
      <c r="H65" s="124" t="s">
        <v>236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19</v>
      </c>
      <c r="B66" s="123" t="s">
        <v>241</v>
      </c>
      <c r="C66" s="124">
        <v>0.46</v>
      </c>
      <c r="D66" s="124" t="s">
        <v>128</v>
      </c>
      <c r="E66" s="124">
        <v>1.3</v>
      </c>
      <c r="F66" s="125" t="s">
        <v>129</v>
      </c>
      <c r="G66" s="126">
        <v>0.45</v>
      </c>
      <c r="H66" s="124" t="s">
        <v>236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242</v>
      </c>
      <c r="B67" s="123" t="s">
        <v>243</v>
      </c>
      <c r="C67" s="124">
        <v>0.46</v>
      </c>
      <c r="D67" s="124" t="s">
        <v>128</v>
      </c>
      <c r="E67" s="124">
        <v>1.3</v>
      </c>
      <c r="F67" s="125" t="s">
        <v>129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244</v>
      </c>
      <c r="B68" s="123" t="s">
        <v>245</v>
      </c>
      <c r="C68" s="124">
        <v>0.44</v>
      </c>
      <c r="D68" s="124" t="s">
        <v>128</v>
      </c>
      <c r="E68" s="124">
        <v>1.3</v>
      </c>
      <c r="F68" s="125" t="s">
        <v>129</v>
      </c>
      <c r="G68" s="126">
        <v>0.45</v>
      </c>
      <c r="H68" s="124" t="s">
        <v>236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246</v>
      </c>
      <c r="B69" s="123" t="s">
        <v>247</v>
      </c>
      <c r="C69" s="124">
        <v>0.46</v>
      </c>
      <c r="D69" s="124" t="s">
        <v>128</v>
      </c>
      <c r="E69" s="124">
        <v>1.3</v>
      </c>
      <c r="F69" s="125" t="s">
        <v>129</v>
      </c>
      <c r="G69" s="126">
        <v>0.45</v>
      </c>
      <c r="H69" s="124" t="s">
        <v>236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248</v>
      </c>
      <c r="B70" s="123" t="s">
        <v>249</v>
      </c>
      <c r="C70" s="124">
        <v>0.48</v>
      </c>
      <c r="D70" s="124" t="s">
        <v>128</v>
      </c>
      <c r="E70" s="124">
        <v>2.4</v>
      </c>
      <c r="F70" s="124" t="s">
        <v>250</v>
      </c>
      <c r="G70" s="126">
        <v>0.45</v>
      </c>
      <c r="H70" s="124" t="s">
        <v>236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251</v>
      </c>
      <c r="B71" s="123" t="s">
        <v>252</v>
      </c>
      <c r="C71" s="124">
        <v>0.46</v>
      </c>
      <c r="D71" s="124" t="s">
        <v>253</v>
      </c>
      <c r="E71" s="124">
        <v>1.3</v>
      </c>
      <c r="F71" s="125" t="s">
        <v>129</v>
      </c>
      <c r="G71" s="126">
        <v>0.45</v>
      </c>
      <c r="H71" s="124" t="s">
        <v>236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254</v>
      </c>
      <c r="B72" s="123" t="s">
        <v>255</v>
      </c>
      <c r="C72" s="124">
        <v>0.44</v>
      </c>
      <c r="D72" s="124" t="s">
        <v>128</v>
      </c>
      <c r="E72" s="124">
        <v>1.3</v>
      </c>
      <c r="F72" s="125" t="s">
        <v>129</v>
      </c>
      <c r="G72" s="126">
        <v>0.45</v>
      </c>
      <c r="H72" s="124" t="s">
        <v>236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256</v>
      </c>
      <c r="B73" s="123" t="s">
        <v>257</v>
      </c>
      <c r="C73" s="124">
        <v>0.46</v>
      </c>
      <c r="D73" s="124" t="s">
        <v>258</v>
      </c>
      <c r="E73" s="124">
        <v>1.3</v>
      </c>
      <c r="F73" s="125" t="s">
        <v>129</v>
      </c>
      <c r="G73" s="126">
        <v>0.45</v>
      </c>
      <c r="H73" s="124" t="s">
        <v>236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259</v>
      </c>
      <c r="B74" s="123" t="s">
        <v>260</v>
      </c>
      <c r="C74" s="124">
        <v>0.34</v>
      </c>
      <c r="D74" s="124" t="s">
        <v>128</v>
      </c>
      <c r="E74" s="124">
        <v>1.3</v>
      </c>
      <c r="F74" s="125" t="s">
        <v>129</v>
      </c>
      <c r="G74" s="126">
        <v>0.45</v>
      </c>
      <c r="H74" s="124" t="s">
        <v>236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261</v>
      </c>
      <c r="B75" s="123" t="s">
        <v>262</v>
      </c>
      <c r="C75" s="124">
        <v>0.5</v>
      </c>
      <c r="D75" s="124" t="s">
        <v>128</v>
      </c>
      <c r="E75" s="124">
        <v>1.56</v>
      </c>
      <c r="F75" s="125" t="s">
        <v>129</v>
      </c>
      <c r="G75" s="126">
        <v>0.53</v>
      </c>
      <c r="H75" s="124" t="s">
        <v>180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263</v>
      </c>
      <c r="B76" s="123" t="s">
        <v>264</v>
      </c>
      <c r="C76" s="124">
        <v>0.57999999999999996</v>
      </c>
      <c r="D76" s="124" t="s">
        <v>128</v>
      </c>
      <c r="E76" s="124">
        <v>1.56</v>
      </c>
      <c r="F76" s="125" t="s">
        <v>129</v>
      </c>
      <c r="G76" s="126">
        <v>0.3</v>
      </c>
      <c r="H76" s="124" t="s">
        <v>265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266</v>
      </c>
      <c r="B77" s="123" t="s">
        <v>267</v>
      </c>
      <c r="C77" s="124">
        <v>0.37</v>
      </c>
      <c r="D77" s="124" t="s">
        <v>128</v>
      </c>
      <c r="E77" s="124">
        <v>1.3</v>
      </c>
      <c r="F77" s="125" t="s">
        <v>129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268</v>
      </c>
      <c r="B78" s="123" t="s">
        <v>269</v>
      </c>
      <c r="C78" s="124">
        <v>0.37</v>
      </c>
      <c r="D78" s="124" t="s">
        <v>128</v>
      </c>
      <c r="E78" s="124">
        <v>1.3</v>
      </c>
      <c r="F78" s="125" t="s">
        <v>129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270</v>
      </c>
      <c r="B79" s="123" t="s">
        <v>271</v>
      </c>
      <c r="C79" s="124">
        <v>0.38</v>
      </c>
      <c r="D79" s="124" t="s">
        <v>128</v>
      </c>
      <c r="E79" s="124">
        <v>1.3</v>
      </c>
      <c r="F79" s="125" t="s">
        <v>129</v>
      </c>
      <c r="G79" s="126">
        <v>0.55000000000000004</v>
      </c>
      <c r="H79" s="124" t="s">
        <v>143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272</v>
      </c>
      <c r="B80" s="123" t="s">
        <v>273</v>
      </c>
      <c r="C80" s="124">
        <v>0.36</v>
      </c>
      <c r="D80" s="124" t="s">
        <v>128</v>
      </c>
      <c r="E80" s="124">
        <v>1.3</v>
      </c>
      <c r="F80" s="125" t="s">
        <v>129</v>
      </c>
      <c r="G80" s="126">
        <v>0.55000000000000004</v>
      </c>
      <c r="H80" s="124" t="s">
        <v>143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274</v>
      </c>
      <c r="B81" s="123" t="s">
        <v>275</v>
      </c>
      <c r="C81" s="124">
        <v>0.37</v>
      </c>
      <c r="D81" s="124" t="s">
        <v>128</v>
      </c>
      <c r="E81" s="124">
        <v>1.56</v>
      </c>
      <c r="F81" s="125" t="s">
        <v>129</v>
      </c>
      <c r="G81" s="126">
        <v>0.43</v>
      </c>
      <c r="H81" s="124" t="s">
        <v>130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276</v>
      </c>
      <c r="B82" s="123" t="s">
        <v>277</v>
      </c>
      <c r="C82" s="124">
        <v>0.35</v>
      </c>
      <c r="D82" s="124" t="s">
        <v>278</v>
      </c>
      <c r="E82" s="124">
        <v>1.3</v>
      </c>
      <c r="F82" s="125" t="s">
        <v>129</v>
      </c>
      <c r="G82" s="126">
        <v>0.55000000000000004</v>
      </c>
      <c r="H82" s="124" t="s">
        <v>143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279</v>
      </c>
      <c r="B83" s="123" t="s">
        <v>280</v>
      </c>
      <c r="C83" s="124">
        <v>0.34</v>
      </c>
      <c r="D83" s="124" t="s">
        <v>128</v>
      </c>
      <c r="E83" s="124">
        <v>1.3</v>
      </c>
      <c r="F83" s="125" t="s">
        <v>129</v>
      </c>
      <c r="G83" s="126">
        <v>0.55000000000000004</v>
      </c>
      <c r="H83" s="124" t="s">
        <v>143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281</v>
      </c>
      <c r="B84" s="123" t="s">
        <v>282</v>
      </c>
      <c r="C84" s="124">
        <v>0.31</v>
      </c>
      <c r="D84" s="124" t="s">
        <v>128</v>
      </c>
      <c r="E84" s="124">
        <v>1.3</v>
      </c>
      <c r="F84" s="125" t="s">
        <v>129</v>
      </c>
      <c r="G84" s="126">
        <v>0.55000000000000004</v>
      </c>
      <c r="H84" s="124" t="s">
        <v>143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283</v>
      </c>
      <c r="B85" s="123" t="s">
        <v>284</v>
      </c>
      <c r="C85" s="124">
        <v>0.43</v>
      </c>
      <c r="D85" s="124" t="s">
        <v>128</v>
      </c>
      <c r="E85" s="124">
        <v>1.56</v>
      </c>
      <c r="F85" s="125" t="s">
        <v>129</v>
      </c>
      <c r="G85" s="126">
        <v>0.53</v>
      </c>
      <c r="H85" s="124" t="s">
        <v>180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285</v>
      </c>
      <c r="B86" s="123" t="s">
        <v>286</v>
      </c>
      <c r="C86" s="124">
        <v>0.38</v>
      </c>
      <c r="D86" s="124" t="s">
        <v>128</v>
      </c>
      <c r="E86" s="124">
        <v>1.56</v>
      </c>
      <c r="F86" s="125" t="s">
        <v>129</v>
      </c>
      <c r="G86" s="126">
        <v>0.6</v>
      </c>
      <c r="H86" s="124" t="s">
        <v>287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288</v>
      </c>
      <c r="B87" s="252" t="s">
        <v>289</v>
      </c>
      <c r="C87" s="253">
        <v>0.41</v>
      </c>
      <c r="D87" s="253" t="s">
        <v>290</v>
      </c>
      <c r="E87" s="253">
        <v>1.56</v>
      </c>
      <c r="F87" s="254" t="s">
        <v>129</v>
      </c>
      <c r="G87" s="255">
        <v>0.43</v>
      </c>
      <c r="H87" s="253" t="s">
        <v>130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291</v>
      </c>
      <c r="B88" s="130"/>
      <c r="C88" s="124">
        <v>0.42</v>
      </c>
      <c r="D88" s="124" t="s">
        <v>128</v>
      </c>
      <c r="E88" s="124">
        <v>1.3</v>
      </c>
      <c r="F88" s="125" t="s">
        <v>129</v>
      </c>
      <c r="G88" s="131"/>
      <c r="H88" s="130"/>
      <c r="I88" s="132"/>
    </row>
    <row r="89" spans="1:14" ht="15" thickBot="1" x14ac:dyDescent="0.35">
      <c r="A89" s="133" t="s">
        <v>292</v>
      </c>
      <c r="B89" s="134"/>
      <c r="C89" s="135">
        <v>0.56999999999999995</v>
      </c>
      <c r="D89" s="136" t="s">
        <v>128</v>
      </c>
      <c r="E89" s="135">
        <v>1.56</v>
      </c>
      <c r="F89" s="135" t="s">
        <v>129</v>
      </c>
      <c r="G89" s="134"/>
      <c r="H89" s="134"/>
      <c r="I89" s="137"/>
    </row>
    <row r="93" spans="1:14" x14ac:dyDescent="0.3">
      <c r="A93" s="122" t="s">
        <v>89</v>
      </c>
    </row>
    <row r="94" spans="1:14" x14ac:dyDescent="0.3">
      <c r="A94" s="122" t="s">
        <v>90</v>
      </c>
    </row>
    <row r="95" spans="1:14" x14ac:dyDescent="0.3">
      <c r="A95" s="122" t="s">
        <v>91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/>
  <dimension ref="A1:BL552"/>
  <sheetViews>
    <sheetView topLeftCell="C1" zoomScale="80" zoomScaleNormal="80" workbookViewId="0">
      <selection activeCell="E17" sqref="E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1" customWidth="1"/>
    <col min="7" max="7" width="17.5546875" style="1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4" t="s">
        <v>305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306</v>
      </c>
      <c r="I4" s="262"/>
      <c r="K4" s="286" t="s">
        <v>307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74</v>
      </c>
      <c r="O7" s="247"/>
      <c r="P7" s="248"/>
      <c r="Q7" s="249"/>
      <c r="R7" s="296" t="s">
        <v>308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309</v>
      </c>
      <c r="C9" s="23"/>
      <c r="D9" s="23"/>
      <c r="E9" s="23"/>
      <c r="F9" s="230"/>
      <c r="G9" s="93" t="s">
        <v>310</v>
      </c>
      <c r="J9" s="200"/>
      <c r="K9" s="208"/>
      <c r="O9" s="23"/>
      <c r="P9" s="23"/>
      <c r="Q9" s="234"/>
      <c r="R9" s="23"/>
      <c r="S9" s="4"/>
      <c r="T9" s="36" t="s">
        <v>311</v>
      </c>
      <c r="U9" s="176" t="s">
        <v>312</v>
      </c>
      <c r="V9" s="36" t="s">
        <v>313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314</v>
      </c>
      <c r="C10" s="23"/>
      <c r="D10" s="23"/>
      <c r="E10" s="23"/>
      <c r="F10" s="230"/>
      <c r="G10" s="93" t="s">
        <v>315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716.18489827957114</v>
      </c>
      <c r="U10" s="178">
        <f>'Données projet'!D9</f>
        <v>5.1947999999999999</v>
      </c>
      <c r="V10" s="177">
        <f>U10*T10</f>
        <v>3720.4373095827159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316</v>
      </c>
      <c r="B11" s="23"/>
      <c r="C11" s="23"/>
      <c r="D11" s="23"/>
      <c r="E11" s="23"/>
      <c r="F11" s="230"/>
      <c r="G11" s="93" t="s">
        <v>317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1732.702853291642</v>
      </c>
      <c r="U11" s="178">
        <f>'Données projet'!D10</f>
        <v>3.9</v>
      </c>
      <c r="V11" s="177">
        <f t="shared" ref="V11" si="0">U11*T11</f>
        <v>6757.541127837404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3579.1321677240853</v>
      </c>
      <c r="U12" s="178">
        <f>'Données projet'!D11</f>
        <v>1.1999</v>
      </c>
      <c r="V12" s="177">
        <f t="shared" ref="V12:V19" si="1">U12*T12</f>
        <v>4294.60068805213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318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4740.1015019310198</v>
      </c>
      <c r="U13" s="178">
        <f>'Données projet'!D12</f>
        <v>1.1999</v>
      </c>
      <c r="V13" s="177">
        <f t="shared" si="1"/>
        <v>5687.6477921670303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93</v>
      </c>
      <c r="I14" s="36" t="s">
        <v>319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1465.2338235710599</v>
      </c>
      <c r="U14" s="178">
        <f>'Données projet'!D13</f>
        <v>0.50049999999999994</v>
      </c>
      <c r="V14" s="177">
        <f t="shared" si="1"/>
        <v>733.34952869731546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320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chevelu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2623.4484177753329</v>
      </c>
      <c r="U15" s="178">
        <f>'Données projet'!D14</f>
        <v>0.50049999999999994</v>
      </c>
      <c r="V15" s="177">
        <f t="shared" si="1"/>
        <v>1313.0359330965539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51</v>
      </c>
      <c r="B16" s="48" t="s">
        <v>321</v>
      </c>
      <c r="C16" s="48" t="s">
        <v>322</v>
      </c>
      <c r="D16" s="36" t="s">
        <v>323</v>
      </c>
      <c r="E16" s="36" t="s">
        <v>324</v>
      </c>
      <c r="F16" s="230"/>
      <c r="G16" s="289"/>
      <c r="H16" s="190"/>
      <c r="I16" s="191"/>
      <c r="J16" s="202"/>
      <c r="K16" s="208"/>
      <c r="L16" s="286" t="s">
        <v>325</v>
      </c>
      <c r="M16" s="287"/>
      <c r="N16" s="2">
        <v>50</v>
      </c>
      <c r="O16" s="23"/>
      <c r="P16" s="23"/>
      <c r="Q16" s="234"/>
      <c r="R16" s="23"/>
      <c r="S16" s="36" t="str">
        <f>B200</f>
        <v>Aulne glutineux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1111.1733244928807</v>
      </c>
      <c r="U16" s="178">
        <f>'Données projet'!D15</f>
        <v>0.50049999999999994</v>
      </c>
      <c r="V16" s="177">
        <f t="shared" si="1"/>
        <v>556.14224890868672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207</v>
      </c>
      <c r="C17" s="198" t="s">
        <v>207</v>
      </c>
      <c r="D17" s="197" t="s">
        <v>207</v>
      </c>
      <c r="E17" s="193">
        <v>648.61</v>
      </c>
      <c r="F17" s="230"/>
      <c r="G17" s="289"/>
      <c r="J17" s="202"/>
      <c r="K17" s="208"/>
      <c r="L17" s="259" t="s">
        <v>326</v>
      </c>
      <c r="M17" s="261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207</v>
      </c>
      <c r="C18" s="198" t="s">
        <v>207</v>
      </c>
      <c r="D18" s="197" t="s">
        <v>207</v>
      </c>
      <c r="E18" s="193"/>
      <c r="F18" s="230"/>
      <c r="G18" s="289"/>
      <c r="J18" s="202"/>
      <c r="K18" s="208"/>
      <c r="L18" s="259" t="s">
        <v>322</v>
      </c>
      <c r="M18" s="261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207</v>
      </c>
      <c r="C19" s="198" t="s">
        <v>207</v>
      </c>
      <c r="D19" s="197" t="s">
        <v>207</v>
      </c>
      <c r="E19" s="193"/>
      <c r="F19" s="230"/>
      <c r="G19" s="289"/>
      <c r="H19" s="212" t="s">
        <v>93</v>
      </c>
      <c r="I19" s="212" t="s">
        <v>327</v>
      </c>
      <c r="J19" s="93"/>
      <c r="K19" s="173"/>
      <c r="L19" s="286" t="s">
        <v>328</v>
      </c>
      <c r="M19" s="287"/>
      <c r="N19" s="179">
        <f>N17*N18</f>
        <v>5000.0000000000045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207</v>
      </c>
      <c r="C20" s="198" t="s">
        <v>207</v>
      </c>
      <c r="D20" s="197" t="s">
        <v>207</v>
      </c>
      <c r="E20" s="193"/>
      <c r="F20" s="230"/>
      <c r="G20" s="289"/>
      <c r="H20" s="190">
        <v>1</v>
      </c>
      <c r="I20" s="191">
        <v>7454.9630769230762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207</v>
      </c>
      <c r="C21" s="198" t="s">
        <v>207</v>
      </c>
      <c r="D21" s="197" t="s">
        <v>207</v>
      </c>
      <c r="E21" s="193"/>
      <c r="F21" s="230"/>
      <c r="H21" s="190">
        <v>2</v>
      </c>
      <c r="I21" s="191">
        <v>2750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207</v>
      </c>
      <c r="C22" s="198" t="s">
        <v>207</v>
      </c>
      <c r="D22" s="197" t="s">
        <v>207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30</v>
      </c>
      <c r="B23" s="181">
        <f>'Données projet'!D36</f>
        <v>0</v>
      </c>
      <c r="C23" s="193"/>
      <c r="D23" s="182">
        <f t="shared" ref="D23:D32" si="2">B23*C23</f>
        <v>0</v>
      </c>
      <c r="E23" s="193"/>
      <c r="F23" s="230"/>
      <c r="H23" s="190"/>
      <c r="I23" s="191"/>
      <c r="K23" s="208"/>
      <c r="L23" s="288" t="s">
        <v>329</v>
      </c>
      <c r="M23" s="288"/>
      <c r="N23" s="288"/>
      <c r="O23" s="23"/>
      <c r="P23" s="23"/>
      <c r="Q23" s="234"/>
      <c r="R23" s="23"/>
      <c r="S23" s="36" t="s">
        <v>330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-102415.75859250933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42</v>
      </c>
      <c r="B24" s="181">
        <f>'Données projet'!D37</f>
        <v>179.84615384615384</v>
      </c>
      <c r="C24" s="193">
        <v>10</v>
      </c>
      <c r="D24" s="182">
        <f t="shared" si="2"/>
        <v>1798.4615384615383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331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7196.1272477673974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49</v>
      </c>
      <c r="B25" s="181">
        <f>'Données projet'!D38</f>
        <v>94.476923076923072</v>
      </c>
      <c r="C25" s="193">
        <v>18</v>
      </c>
      <c r="D25" s="182">
        <f t="shared" si="2"/>
        <v>1700.5846153846153</v>
      </c>
      <c r="E25" s="193">
        <v>150</v>
      </c>
      <c r="F25" s="233"/>
      <c r="H25" s="190"/>
      <c r="I25" s="191"/>
      <c r="K25" s="208"/>
      <c r="L25" s="130" t="s">
        <v>332</v>
      </c>
      <c r="M25" s="130"/>
      <c r="N25" s="130"/>
      <c r="O25" s="130"/>
      <c r="P25" s="192"/>
      <c r="Q25" s="234"/>
      <c r="R25" s="23"/>
      <c r="S25" s="186" t="s">
        <v>333</v>
      </c>
      <c r="T25" s="303">
        <f ca="1">T23-T24</f>
        <v>-109611.88584027672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56</v>
      </c>
      <c r="B26" s="181">
        <f>'Données projet'!D39</f>
        <v>72.769230769230759</v>
      </c>
      <c r="C26" s="193">
        <v>25</v>
      </c>
      <c r="D26" s="182">
        <f t="shared" si="2"/>
        <v>1819.2307692307691</v>
      </c>
      <c r="E26" s="193">
        <v>150</v>
      </c>
      <c r="F26" s="233"/>
      <c r="G26" s="229"/>
      <c r="H26" s="190"/>
      <c r="I26" s="191"/>
      <c r="K26" s="208"/>
      <c r="L26" s="290" t="s">
        <v>334</v>
      </c>
      <c r="M26" s="291"/>
      <c r="N26" s="291"/>
      <c r="O26" s="291"/>
      <c r="P26" s="292"/>
      <c r="Q26" s="234"/>
      <c r="R26" s="23"/>
      <c r="S26" s="186" t="s">
        <v>335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63</v>
      </c>
      <c r="B27" s="181">
        <f>'Données projet'!D40</f>
        <v>71.123076923076923</v>
      </c>
      <c r="C27" s="193">
        <v>35</v>
      </c>
      <c r="D27" s="182">
        <f t="shared" si="2"/>
        <v>2489.3076923076924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336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71</v>
      </c>
      <c r="B28" s="181">
        <f>'Données projet'!D41</f>
        <v>80.399999999999991</v>
      </c>
      <c r="C28" s="193">
        <v>40</v>
      </c>
      <c r="D28" s="182">
        <f t="shared" si="2"/>
        <v>3215.9999999999995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79</v>
      </c>
      <c r="B29" s="181">
        <f>'Données projet'!D42</f>
        <v>77.338461538461544</v>
      </c>
      <c r="C29" s="193">
        <v>45</v>
      </c>
      <c r="D29" s="182">
        <f t="shared" si="2"/>
        <v>3480.2307692307695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87</v>
      </c>
      <c r="B30" s="181">
        <f>'Données projet'!D43</f>
        <v>77.330769230769235</v>
      </c>
      <c r="C30" s="193">
        <v>45</v>
      </c>
      <c r="D30" s="182">
        <f t="shared" si="2"/>
        <v>3479.8846153846157</v>
      </c>
      <c r="E30" s="193">
        <v>150</v>
      </c>
      <c r="F30" s="233"/>
      <c r="G30" s="203"/>
      <c r="H30" s="190"/>
      <c r="I30" s="191"/>
      <c r="K30" s="183"/>
      <c r="L30" s="36" t="s">
        <v>337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95</v>
      </c>
      <c r="B31" s="181">
        <f>'Données projet'!D44</f>
        <v>234.42307692307691</v>
      </c>
      <c r="C31" s="193">
        <v>45</v>
      </c>
      <c r="D31" s="182">
        <f t="shared" si="2"/>
        <v>10549.038461538461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105</v>
      </c>
      <c r="B32" s="181">
        <f>'Données projet'!D45</f>
        <v>309.71538461538461</v>
      </c>
      <c r="C32" s="193">
        <v>56</v>
      </c>
      <c r="D32" s="182">
        <f t="shared" si="2"/>
        <v>17344.061538461538</v>
      </c>
      <c r="E32" s="193">
        <v>150</v>
      </c>
      <c r="F32" s="233"/>
      <c r="G32" s="203"/>
      <c r="H32" s="190"/>
      <c r="I32" s="191"/>
      <c r="K32" s="173"/>
      <c r="N32" s="4"/>
      <c r="O32" s="85" t="s">
        <v>93</v>
      </c>
      <c r="P32" s="85" t="s">
        <v>323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ref="D33:D42" si="3">B33*C33</f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51</v>
      </c>
      <c r="B47" s="48" t="s">
        <v>321</v>
      </c>
      <c r="C47" s="48" t="s">
        <v>322</v>
      </c>
      <c r="D47" s="36" t="s">
        <v>323</v>
      </c>
      <c r="E47" s="36" t="s">
        <v>324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207</v>
      </c>
      <c r="C48" s="198" t="s">
        <v>207</v>
      </c>
      <c r="D48" s="197" t="s">
        <v>207</v>
      </c>
      <c r="E48" s="193">
        <v>253.5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207</v>
      </c>
      <c r="C49" s="198" t="s">
        <v>207</v>
      </c>
      <c r="D49" s="197" t="s">
        <v>207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207</v>
      </c>
      <c r="C50" s="198" t="s">
        <v>207</v>
      </c>
      <c r="D50" s="197" t="s">
        <v>207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207</v>
      </c>
      <c r="C51" s="198" t="s">
        <v>207</v>
      </c>
      <c r="D51" s="197" t="s">
        <v>207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207</v>
      </c>
      <c r="C52" s="198" t="s">
        <v>207</v>
      </c>
      <c r="D52" s="197" t="s">
        <v>207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207</v>
      </c>
      <c r="C53" s="198" t="s">
        <v>207</v>
      </c>
      <c r="D53" s="197" t="s">
        <v>207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24</v>
      </c>
      <c r="B55" s="181">
        <f>'Données projet'!D63</f>
        <v>40.41538461538461</v>
      </c>
      <c r="C55" s="191">
        <v>18</v>
      </c>
      <c r="D55" s="179">
        <f t="shared" ref="D55:D73" si="5">B55*C55</f>
        <v>727.47692307692296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55.869230769230761</v>
      </c>
      <c r="C56" s="191">
        <v>25</v>
      </c>
      <c r="D56" s="179">
        <f t="shared" si="5"/>
        <v>1396.7307692307691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37</v>
      </c>
      <c r="B57" s="181">
        <f>'Données projet'!D65</f>
        <v>43.623076923076923</v>
      </c>
      <c r="C57" s="191">
        <v>25</v>
      </c>
      <c r="D57" s="179">
        <f t="shared" si="5"/>
        <v>1090.5769230769231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46</v>
      </c>
      <c r="B58" s="181">
        <f>'Données projet'!D66</f>
        <v>72.561538461538461</v>
      </c>
      <c r="C58" s="191">
        <v>35</v>
      </c>
      <c r="D58" s="179">
        <f t="shared" si="5"/>
        <v>2539.6538461538462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56</v>
      </c>
      <c r="B59" s="181">
        <f>'Données projet'!D67</f>
        <v>60.092307692307692</v>
      </c>
      <c r="C59" s="191">
        <v>35</v>
      </c>
      <c r="D59" s="179">
        <f t="shared" si="5"/>
        <v>2103.2307692307691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66</v>
      </c>
      <c r="B60" s="181">
        <f>'Données projet'!D68</f>
        <v>68.146153846153851</v>
      </c>
      <c r="C60" s="191">
        <v>35</v>
      </c>
      <c r="D60" s="179">
        <f t="shared" si="5"/>
        <v>2385.1153846153848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76</v>
      </c>
      <c r="B61" s="181">
        <f>'Données projet'!D69</f>
        <v>520.22307692307686</v>
      </c>
      <c r="C61" s="191">
        <v>40</v>
      </c>
      <c r="D61" s="179">
        <f t="shared" si="5"/>
        <v>20808.923076923074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51</v>
      </c>
      <c r="B78" s="48" t="s">
        <v>321</v>
      </c>
      <c r="C78" s="48" t="s">
        <v>322</v>
      </c>
      <c r="D78" s="36" t="s">
        <v>323</v>
      </c>
      <c r="E78" s="36" t="s">
        <v>324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207</v>
      </c>
      <c r="C79" s="198" t="s">
        <v>207</v>
      </c>
      <c r="D79" s="197" t="s">
        <v>207</v>
      </c>
      <c r="E79" s="193">
        <v>45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207</v>
      </c>
      <c r="C80" s="198" t="s">
        <v>207</v>
      </c>
      <c r="D80" s="197" t="s">
        <v>207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207</v>
      </c>
      <c r="C81" s="198" t="s">
        <v>207</v>
      </c>
      <c r="D81" s="197" t="s">
        <v>207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207</v>
      </c>
      <c r="C82" s="198" t="s">
        <v>207</v>
      </c>
      <c r="D82" s="197" t="s">
        <v>207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207</v>
      </c>
      <c r="C83" s="198" t="s">
        <v>207</v>
      </c>
      <c r="D83" s="197" t="s">
        <v>207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207</v>
      </c>
      <c r="C84" s="198" t="s">
        <v>207</v>
      </c>
      <c r="D84" s="197" t="s">
        <v>207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18</v>
      </c>
      <c r="B85" s="181">
        <f>'Données projet'!D88</f>
        <v>69.284615384615378</v>
      </c>
      <c r="C85" s="191">
        <v>10</v>
      </c>
      <c r="D85" s="179">
        <f>B85*C85</f>
        <v>692.84615384615381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24</v>
      </c>
      <c r="B86" s="181">
        <f>'Données projet'!D89</f>
        <v>42.661538461538463</v>
      </c>
      <c r="C86" s="191">
        <v>10</v>
      </c>
      <c r="D86" s="179">
        <f t="shared" ref="D86:D104" si="7">B86*C86</f>
        <v>426.61538461538464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65.669230769230765</v>
      </c>
      <c r="C87" s="191">
        <v>18</v>
      </c>
      <c r="D87" s="179">
        <f t="shared" si="7"/>
        <v>1182.0461538461539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36</v>
      </c>
      <c r="B88" s="181">
        <f>'Données projet'!D91</f>
        <v>69.3</v>
      </c>
      <c r="C88" s="191">
        <v>25</v>
      </c>
      <c r="D88" s="179">
        <f t="shared" si="7"/>
        <v>1732.5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42</v>
      </c>
      <c r="B89" s="181">
        <f>'Données projet'!D92</f>
        <v>73.392307692307682</v>
      </c>
      <c r="C89" s="191">
        <v>25</v>
      </c>
      <c r="D89" s="179">
        <f t="shared" si="7"/>
        <v>1834.8076923076922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48</v>
      </c>
      <c r="B90" s="181">
        <f>'Données projet'!D93</f>
        <v>81.330769230769235</v>
      </c>
      <c r="C90" s="191">
        <v>35</v>
      </c>
      <c r="D90" s="179">
        <f t="shared" si="7"/>
        <v>2846.5769230769233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54</v>
      </c>
      <c r="B91" s="181">
        <f>'Données projet'!D94</f>
        <v>566.79999999999995</v>
      </c>
      <c r="C91" s="191">
        <v>40</v>
      </c>
      <c r="D91" s="179">
        <f t="shared" si="7"/>
        <v>22672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22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51</v>
      </c>
      <c r="B109" s="48" t="s">
        <v>321</v>
      </c>
      <c r="C109" s="48" t="s">
        <v>322</v>
      </c>
      <c r="D109" s="36" t="s">
        <v>323</v>
      </c>
      <c r="E109" s="36" t="s">
        <v>324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207</v>
      </c>
      <c r="C110" s="198" t="s">
        <v>207</v>
      </c>
      <c r="D110" s="197" t="s">
        <v>207</v>
      </c>
      <c r="E110" s="193">
        <v>156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207</v>
      </c>
      <c r="C111" s="198" t="s">
        <v>207</v>
      </c>
      <c r="D111" s="197" t="s">
        <v>207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207</v>
      </c>
      <c r="C112" s="198" t="s">
        <v>207</v>
      </c>
      <c r="D112" s="197" t="s">
        <v>207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207</v>
      </c>
      <c r="C113" s="198" t="s">
        <v>207</v>
      </c>
      <c r="D113" s="197" t="s">
        <v>207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207</v>
      </c>
      <c r="C114" s="198" t="s">
        <v>207</v>
      </c>
      <c r="D114" s="197" t="s">
        <v>207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207</v>
      </c>
      <c r="C115" s="198" t="s">
        <v>207</v>
      </c>
      <c r="D115" s="197" t="s">
        <v>207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12</v>
      </c>
      <c r="B116" s="181">
        <f>'Données projet'!D114</f>
        <v>21</v>
      </c>
      <c r="C116" s="191">
        <v>10</v>
      </c>
      <c r="D116" s="179">
        <f>B116*C116</f>
        <v>210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47</v>
      </c>
      <c r="C117" s="191">
        <v>18</v>
      </c>
      <c r="D117" s="179">
        <f t="shared" ref="D117:D135" si="9">B117*C117</f>
        <v>846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18</v>
      </c>
      <c r="B118" s="181">
        <f>'Données projet'!D116</f>
        <v>61</v>
      </c>
      <c r="C118" s="191">
        <v>25</v>
      </c>
      <c r="D118" s="179">
        <f t="shared" si="9"/>
        <v>1525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24</v>
      </c>
      <c r="B119" s="181">
        <f>'Données projet'!D117</f>
        <v>84</v>
      </c>
      <c r="C119" s="191">
        <v>25</v>
      </c>
      <c r="D119" s="179">
        <f t="shared" si="9"/>
        <v>2100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30</v>
      </c>
      <c r="B120" s="181">
        <f>'Données projet'!D118</f>
        <v>76</v>
      </c>
      <c r="C120" s="191">
        <v>35</v>
      </c>
      <c r="D120" s="179">
        <f t="shared" si="9"/>
        <v>2660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36</v>
      </c>
      <c r="B121" s="181">
        <f>'Données projet'!D119</f>
        <v>75</v>
      </c>
      <c r="C121" s="191">
        <v>40</v>
      </c>
      <c r="D121" s="179">
        <f t="shared" si="9"/>
        <v>3000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42</v>
      </c>
      <c r="B122" s="181">
        <f>'Données projet'!D120</f>
        <v>278</v>
      </c>
      <c r="C122" s="191">
        <v>45</v>
      </c>
      <c r="D122" s="179">
        <f t="shared" si="9"/>
        <v>12510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24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51</v>
      </c>
      <c r="B140" s="48" t="s">
        <v>321</v>
      </c>
      <c r="C140" s="48" t="s">
        <v>322</v>
      </c>
      <c r="D140" s="36" t="s">
        <v>323</v>
      </c>
      <c r="E140" s="36" t="s">
        <v>324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207</v>
      </c>
      <c r="C141" s="198" t="s">
        <v>207</v>
      </c>
      <c r="D141" s="197" t="s">
        <v>207</v>
      </c>
      <c r="E141" s="193">
        <v>180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207</v>
      </c>
      <c r="C142" s="198" t="s">
        <v>207</v>
      </c>
      <c r="D142" s="197" t="s">
        <v>207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207</v>
      </c>
      <c r="C143" s="198" t="s">
        <v>207</v>
      </c>
      <c r="D143" s="197" t="s">
        <v>207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207</v>
      </c>
      <c r="C144" s="198" t="s">
        <v>207</v>
      </c>
      <c r="D144" s="197" t="s">
        <v>207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207</v>
      </c>
      <c r="C145" s="198" t="s">
        <v>207</v>
      </c>
      <c r="D145" s="197" t="s">
        <v>207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207</v>
      </c>
      <c r="C146" s="198" t="s">
        <v>207</v>
      </c>
      <c r="D146" s="197" t="s">
        <v>207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35</v>
      </c>
      <c r="B148" s="175">
        <f>'Données projet'!D141</f>
        <v>60.602564102564102</v>
      </c>
      <c r="C148" s="191">
        <v>10</v>
      </c>
      <c r="D148" s="182">
        <f t="shared" ref="D148:D166" si="11">B148*C148</f>
        <v>606.02564102564099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41</v>
      </c>
      <c r="B149" s="175">
        <f>'Données projet'!D142</f>
        <v>38.512820512820511</v>
      </c>
      <c r="C149" s="191">
        <v>10</v>
      </c>
      <c r="D149" s="182">
        <f t="shared" si="11"/>
        <v>385.12820512820508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48</v>
      </c>
      <c r="B150" s="175">
        <f>'Données projet'!D143</f>
        <v>48.025641025641022</v>
      </c>
      <c r="C150" s="191">
        <v>50</v>
      </c>
      <c r="D150" s="182">
        <f t="shared" si="11"/>
        <v>2401.2820512820513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55</v>
      </c>
      <c r="B151" s="175">
        <f>'Données projet'!D144</f>
        <v>45.147435897435898</v>
      </c>
      <c r="C151" s="191">
        <v>50</v>
      </c>
      <c r="D151" s="182">
        <f t="shared" si="11"/>
        <v>2257.3717948717949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63</v>
      </c>
      <c r="B152" s="175">
        <f>'Données projet'!D145</f>
        <v>41.724358974358978</v>
      </c>
      <c r="C152" s="191">
        <v>50</v>
      </c>
      <c r="D152" s="182">
        <f t="shared" si="11"/>
        <v>2086.2179487179487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71</v>
      </c>
      <c r="B153" s="175">
        <f>'Données projet'!D146</f>
        <v>39.935897435897431</v>
      </c>
      <c r="C153" s="191">
        <v>100</v>
      </c>
      <c r="D153" s="182">
        <f t="shared" si="11"/>
        <v>3993.5897435897432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80</v>
      </c>
      <c r="B154" s="175">
        <f>'Données projet'!D147</f>
        <v>45.608974358974358</v>
      </c>
      <c r="C154" s="191">
        <v>100</v>
      </c>
      <c r="D154" s="182">
        <f t="shared" si="11"/>
        <v>4560.8974358974356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89</v>
      </c>
      <c r="B155" s="175">
        <f>'Données projet'!D148</f>
        <v>49.391025641025635</v>
      </c>
      <c r="C155" s="191">
        <v>150</v>
      </c>
      <c r="D155" s="182">
        <f t="shared" si="11"/>
        <v>7408.6538461538457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99</v>
      </c>
      <c r="B156" s="175">
        <f>'Données projet'!D149</f>
        <v>48.019230769230766</v>
      </c>
      <c r="C156" s="191">
        <v>150</v>
      </c>
      <c r="D156" s="182">
        <f t="shared" si="11"/>
        <v>7202.8846153846152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109</v>
      </c>
      <c r="B157" s="175">
        <f>'Données projet'!D150</f>
        <v>51.28846153846154</v>
      </c>
      <c r="C157" s="191">
        <v>150</v>
      </c>
      <c r="D157" s="182">
        <f t="shared" si="11"/>
        <v>7693.2692307692314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119</v>
      </c>
      <c r="B158" s="175">
        <f>'Données projet'!D151</f>
        <v>150.02564102564102</v>
      </c>
      <c r="C158" s="191">
        <v>200</v>
      </c>
      <c r="D158" s="182">
        <f t="shared" si="11"/>
        <v>30005.128205128203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123</v>
      </c>
      <c r="B159" s="175">
        <f>'Données projet'!D152</f>
        <v>77.17307692307692</v>
      </c>
      <c r="C159" s="191">
        <v>200</v>
      </c>
      <c r="D159" s="182">
        <f t="shared" si="11"/>
        <v>15434.615384615385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127</v>
      </c>
      <c r="B160" s="175">
        <f>'Données projet'!D153</f>
        <v>49.916666666666671</v>
      </c>
      <c r="C160" s="191">
        <v>200</v>
      </c>
      <c r="D160" s="182">
        <f t="shared" si="11"/>
        <v>9983.3333333333339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131</v>
      </c>
      <c r="B161" s="175">
        <f>'Données projet'!D154</f>
        <v>110.91025641025641</v>
      </c>
      <c r="C161" s="191">
        <v>200</v>
      </c>
      <c r="D161" s="182">
        <f t="shared" si="11"/>
        <v>22182.051282051281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26</v>
      </c>
      <c r="B169" s="174" t="str">
        <f>IF('Données projet'!B14="","",'Données projet'!B14)</f>
        <v>Chêne chevelu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51</v>
      </c>
      <c r="B171" s="48" t="s">
        <v>321</v>
      </c>
      <c r="C171" s="48" t="s">
        <v>322</v>
      </c>
      <c r="D171" s="36" t="s">
        <v>323</v>
      </c>
      <c r="E171" s="36" t="s">
        <v>324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207</v>
      </c>
      <c r="C172" s="198" t="s">
        <v>207</v>
      </c>
      <c r="D172" s="197" t="s">
        <v>207</v>
      </c>
      <c r="E172" s="193">
        <v>138.46153846153845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207</v>
      </c>
      <c r="C173" s="198" t="s">
        <v>207</v>
      </c>
      <c r="D173" s="197" t="s">
        <v>207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207</v>
      </c>
      <c r="C174" s="198" t="s">
        <v>207</v>
      </c>
      <c r="D174" s="197" t="s">
        <v>207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207</v>
      </c>
      <c r="C175" s="198" t="s">
        <v>207</v>
      </c>
      <c r="D175" s="197" t="s">
        <v>207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207</v>
      </c>
      <c r="C176" s="198" t="s">
        <v>207</v>
      </c>
      <c r="D176" s="197" t="s">
        <v>207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207</v>
      </c>
      <c r="C177" s="198" t="s">
        <v>207</v>
      </c>
      <c r="D177" s="197" t="s">
        <v>207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 t="str">
        <f>'Données projet'!D168</f>
        <v>54</v>
      </c>
      <c r="C180" s="193">
        <v>10</v>
      </c>
      <c r="D180" s="179">
        <f t="shared" si="12"/>
        <v>540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25</v>
      </c>
      <c r="B181" s="181" t="str">
        <f>'Données projet'!D169</f>
        <v>26</v>
      </c>
      <c r="C181" s="193">
        <v>10</v>
      </c>
      <c r="D181" s="179">
        <f t="shared" si="12"/>
        <v>260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 t="str">
        <f>'Données projet'!D170</f>
        <v>27</v>
      </c>
      <c r="C182" s="193">
        <v>50</v>
      </c>
      <c r="D182" s="179">
        <f t="shared" si="12"/>
        <v>1350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35</v>
      </c>
      <c r="B183" s="181" t="str">
        <f>'Données projet'!D171</f>
        <v>27</v>
      </c>
      <c r="C183" s="193">
        <v>50</v>
      </c>
      <c r="D183" s="179">
        <f t="shared" si="12"/>
        <v>1350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 t="str">
        <f>'Données projet'!D172</f>
        <v>27</v>
      </c>
      <c r="C184" s="193">
        <v>50</v>
      </c>
      <c r="D184" s="179">
        <f t="shared" si="12"/>
        <v>1350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45</v>
      </c>
      <c r="B185" s="181" t="str">
        <f>'Données projet'!D173</f>
        <v>26</v>
      </c>
      <c r="C185" s="193">
        <v>100</v>
      </c>
      <c r="D185" s="179">
        <f t="shared" si="12"/>
        <v>2600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50</v>
      </c>
      <c r="B186" s="181" t="str">
        <f>'Données projet'!D174</f>
        <v>24</v>
      </c>
      <c r="C186" s="193">
        <v>100</v>
      </c>
      <c r="D186" s="179">
        <f t="shared" si="12"/>
        <v>2400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55</v>
      </c>
      <c r="B187" s="181" t="str">
        <f>'Données projet'!D175</f>
        <v>23</v>
      </c>
      <c r="C187" s="193">
        <v>150</v>
      </c>
      <c r="D187" s="179">
        <f t="shared" si="12"/>
        <v>3450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60</v>
      </c>
      <c r="B188" s="181" t="str">
        <f>'Données projet'!D176</f>
        <v>21</v>
      </c>
      <c r="C188" s="193">
        <v>150</v>
      </c>
      <c r="D188" s="179">
        <f t="shared" si="12"/>
        <v>3150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65</v>
      </c>
      <c r="B189" s="181" t="str">
        <f>'Données projet'!D177</f>
        <v>20</v>
      </c>
      <c r="C189" s="193">
        <v>150</v>
      </c>
      <c r="D189" s="179">
        <f t="shared" si="12"/>
        <v>3000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70</v>
      </c>
      <c r="B190" s="181" t="str">
        <f>'Données projet'!D178</f>
        <v>18</v>
      </c>
      <c r="C190" s="193">
        <v>200</v>
      </c>
      <c r="D190" s="179">
        <f t="shared" si="12"/>
        <v>3600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75</v>
      </c>
      <c r="B191" s="181" t="str">
        <f>'Données projet'!D179</f>
        <v>16</v>
      </c>
      <c r="C191" s="193">
        <v>200</v>
      </c>
      <c r="D191" s="179">
        <f t="shared" si="12"/>
        <v>3200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80</v>
      </c>
      <c r="B192" s="181" t="str">
        <f>'Données projet'!D180</f>
        <v>15</v>
      </c>
      <c r="C192" s="193">
        <v>200</v>
      </c>
      <c r="D192" s="179">
        <f t="shared" si="12"/>
        <v>3000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85</v>
      </c>
      <c r="B193" s="181" t="str">
        <f>'Données projet'!D181</f>
        <v>14</v>
      </c>
      <c r="C193" s="193">
        <v>200</v>
      </c>
      <c r="D193" s="179">
        <f t="shared" si="12"/>
        <v>2800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90</v>
      </c>
      <c r="B194" s="181" t="str">
        <f>'Données projet'!D182</f>
        <v>12</v>
      </c>
      <c r="C194" s="193">
        <v>200</v>
      </c>
      <c r="D194" s="179">
        <f t="shared" si="12"/>
        <v>2400</v>
      </c>
      <c r="E194" s="193">
        <v>150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95</v>
      </c>
      <c r="B195" s="181" t="str">
        <f>'Données projet'!D183</f>
        <v>12</v>
      </c>
      <c r="C195" s="193">
        <v>200</v>
      </c>
      <c r="D195" s="179">
        <f t="shared" si="12"/>
        <v>2400</v>
      </c>
      <c r="E195" s="193">
        <v>150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100</v>
      </c>
      <c r="B196" s="181" t="str">
        <f>'Données projet'!D184</f>
        <v>12</v>
      </c>
      <c r="C196" s="193">
        <v>200</v>
      </c>
      <c r="D196" s="179">
        <f t="shared" si="12"/>
        <v>2400</v>
      </c>
      <c r="E196" s="193">
        <v>150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28</v>
      </c>
      <c r="B200" s="174" t="str">
        <f>IF('Données projet'!$B$15="","",'Données projet'!$B$15)</f>
        <v>Aulne glutineux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51</v>
      </c>
      <c r="B202" s="48" t="s">
        <v>321</v>
      </c>
      <c r="C202" s="48" t="s">
        <v>322</v>
      </c>
      <c r="D202" s="36" t="s">
        <v>323</v>
      </c>
      <c r="E202" s="36" t="s">
        <v>324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207</v>
      </c>
      <c r="C203" s="198" t="s">
        <v>207</v>
      </c>
      <c r="D203" s="197" t="s">
        <v>207</v>
      </c>
      <c r="E203" s="193">
        <v>70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207</v>
      </c>
      <c r="C204" s="198" t="s">
        <v>207</v>
      </c>
      <c r="D204" s="197" t="s">
        <v>207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207</v>
      </c>
      <c r="C205" s="198" t="s">
        <v>207</v>
      </c>
      <c r="D205" s="197" t="s">
        <v>207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207</v>
      </c>
      <c r="C206" s="198" t="s">
        <v>207</v>
      </c>
      <c r="D206" s="197" t="s">
        <v>207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207</v>
      </c>
      <c r="C207" s="198" t="s">
        <v>207</v>
      </c>
      <c r="D207" s="197" t="s">
        <v>207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207</v>
      </c>
      <c r="C208" s="198" t="s">
        <v>207</v>
      </c>
      <c r="D208" s="197" t="s">
        <v>207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1</v>
      </c>
      <c r="C209" s="193">
        <v>10</v>
      </c>
      <c r="D209" s="179">
        <f>B209*C209</f>
        <v>10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15</v>
      </c>
      <c r="B210" s="181">
        <f>'Données projet'!D193</f>
        <v>4</v>
      </c>
      <c r="C210" s="193">
        <v>10</v>
      </c>
      <c r="D210" s="179">
        <f t="shared" ref="D210:D228" si="13">B210*C210</f>
        <v>40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20</v>
      </c>
      <c r="B211" s="181">
        <f>'Données projet'!D194</f>
        <v>10</v>
      </c>
      <c r="C211" s="193">
        <v>15</v>
      </c>
      <c r="D211" s="179">
        <f t="shared" si="13"/>
        <v>150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25</v>
      </c>
      <c r="B212" s="181">
        <f>'Données projet'!D195</f>
        <v>21</v>
      </c>
      <c r="C212" s="193">
        <v>15</v>
      </c>
      <c r="D212" s="179">
        <f t="shared" si="13"/>
        <v>315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30</v>
      </c>
      <c r="B213" s="181">
        <f>'Données projet'!D196</f>
        <v>23</v>
      </c>
      <c r="C213" s="193">
        <v>50</v>
      </c>
      <c r="D213" s="179">
        <f t="shared" si="13"/>
        <v>1150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35</v>
      </c>
      <c r="B214" s="181">
        <f>'Données projet'!D197</f>
        <v>25</v>
      </c>
      <c r="C214" s="193">
        <v>50</v>
      </c>
      <c r="D214" s="179">
        <f t="shared" si="13"/>
        <v>1250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40</v>
      </c>
      <c r="B215" s="181">
        <f>'Données projet'!D198</f>
        <v>25</v>
      </c>
      <c r="C215" s="193">
        <v>50</v>
      </c>
      <c r="D215" s="179">
        <f t="shared" si="13"/>
        <v>1250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45</v>
      </c>
      <c r="B216" s="181">
        <f>'Données projet'!D199</f>
        <v>25</v>
      </c>
      <c r="C216" s="193">
        <v>50</v>
      </c>
      <c r="D216" s="179">
        <f t="shared" si="13"/>
        <v>1250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50</v>
      </c>
      <c r="B217" s="181">
        <f>'Données projet'!D200</f>
        <v>24</v>
      </c>
      <c r="C217" s="193">
        <v>50</v>
      </c>
      <c r="D217" s="179">
        <f t="shared" si="13"/>
        <v>1200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55</v>
      </c>
      <c r="B218" s="181">
        <f>'Données projet'!D201</f>
        <v>23</v>
      </c>
      <c r="C218" s="193">
        <v>50</v>
      </c>
      <c r="D218" s="179">
        <f t="shared" si="13"/>
        <v>1150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60</v>
      </c>
      <c r="B219" s="181">
        <f>'Données projet'!D202</f>
        <v>22</v>
      </c>
      <c r="C219" s="193">
        <v>50</v>
      </c>
      <c r="D219" s="179">
        <f t="shared" si="13"/>
        <v>1100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65</v>
      </c>
      <c r="B220" s="181">
        <f>'Données projet'!D203</f>
        <v>20</v>
      </c>
      <c r="C220" s="193">
        <v>50</v>
      </c>
      <c r="D220" s="179">
        <f t="shared" si="13"/>
        <v>1000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70</v>
      </c>
      <c r="B221" s="181">
        <f>'Données projet'!D204</f>
        <v>19</v>
      </c>
      <c r="C221" s="193">
        <v>50</v>
      </c>
      <c r="D221" s="179">
        <f t="shared" si="13"/>
        <v>950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75</v>
      </c>
      <c r="B222" s="181">
        <f>'Données projet'!D205</f>
        <v>18</v>
      </c>
      <c r="C222" s="193">
        <v>50</v>
      </c>
      <c r="D222" s="179">
        <f t="shared" si="13"/>
        <v>900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80</v>
      </c>
      <c r="B223" s="181">
        <f>'Données projet'!D206</f>
        <v>16</v>
      </c>
      <c r="C223" s="193">
        <v>50</v>
      </c>
      <c r="D223" s="179">
        <f t="shared" si="13"/>
        <v>800</v>
      </c>
      <c r="E223" s="193">
        <v>150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85</v>
      </c>
      <c r="B224" s="181">
        <f>'Données projet'!D207</f>
        <v>15</v>
      </c>
      <c r="C224" s="193">
        <v>50</v>
      </c>
      <c r="D224" s="179">
        <f t="shared" si="13"/>
        <v>750</v>
      </c>
      <c r="E224" s="193">
        <v>150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90</v>
      </c>
      <c r="B225" s="181">
        <f>'Données projet'!D208</f>
        <v>14</v>
      </c>
      <c r="C225" s="193">
        <v>50</v>
      </c>
      <c r="D225" s="179">
        <f t="shared" si="13"/>
        <v>700</v>
      </c>
      <c r="E225" s="193">
        <v>150</v>
      </c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30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51</v>
      </c>
      <c r="B233" s="48" t="s">
        <v>321</v>
      </c>
      <c r="C233" s="48" t="s">
        <v>322</v>
      </c>
      <c r="D233" s="36" t="s">
        <v>323</v>
      </c>
      <c r="E233" s="36" t="s">
        <v>324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207</v>
      </c>
      <c r="C234" s="198" t="s">
        <v>207</v>
      </c>
      <c r="D234" s="197" t="s">
        <v>207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207</v>
      </c>
      <c r="C235" s="198" t="s">
        <v>207</v>
      </c>
      <c r="D235" s="197" t="s">
        <v>207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207</v>
      </c>
      <c r="C236" s="198" t="s">
        <v>207</v>
      </c>
      <c r="D236" s="197" t="s">
        <v>207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207</v>
      </c>
      <c r="C237" s="198" t="s">
        <v>207</v>
      </c>
      <c r="D237" s="197" t="s">
        <v>207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207</v>
      </c>
      <c r="C238" s="198" t="s">
        <v>207</v>
      </c>
      <c r="D238" s="197" t="s">
        <v>207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207</v>
      </c>
      <c r="C239" s="198" t="s">
        <v>207</v>
      </c>
      <c r="D239" s="197" t="s">
        <v>207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31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51</v>
      </c>
      <c r="B264" s="48" t="s">
        <v>321</v>
      </c>
      <c r="C264" s="48" t="s">
        <v>322</v>
      </c>
      <c r="D264" s="36" t="s">
        <v>323</v>
      </c>
      <c r="E264" s="36" t="s">
        <v>324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207</v>
      </c>
      <c r="C265" s="198" t="s">
        <v>207</v>
      </c>
      <c r="D265" s="197" t="s">
        <v>207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207</v>
      </c>
      <c r="C266" s="198" t="s">
        <v>207</v>
      </c>
      <c r="D266" s="197" t="s">
        <v>207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207</v>
      </c>
      <c r="C267" s="198" t="s">
        <v>207</v>
      </c>
      <c r="D267" s="197" t="s">
        <v>207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207</v>
      </c>
      <c r="C268" s="198" t="s">
        <v>207</v>
      </c>
      <c r="D268" s="197" t="s">
        <v>207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207</v>
      </c>
      <c r="C269" s="198" t="s">
        <v>207</v>
      </c>
      <c r="D269" s="197" t="s">
        <v>207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207</v>
      </c>
      <c r="C270" s="198" t="s">
        <v>207</v>
      </c>
      <c r="D270" s="197" t="s">
        <v>207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32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51</v>
      </c>
      <c r="B295" s="48" t="s">
        <v>321</v>
      </c>
      <c r="C295" s="48" t="s">
        <v>322</v>
      </c>
      <c r="D295" s="36" t="s">
        <v>323</v>
      </c>
      <c r="E295" s="36" t="s">
        <v>324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207</v>
      </c>
      <c r="C296" s="198" t="s">
        <v>207</v>
      </c>
      <c r="D296" s="197" t="s">
        <v>207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207</v>
      </c>
      <c r="C297" s="198" t="s">
        <v>207</v>
      </c>
      <c r="D297" s="197" t="s">
        <v>207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207</v>
      </c>
      <c r="C298" s="198" t="s">
        <v>207</v>
      </c>
      <c r="D298" s="197" t="s">
        <v>207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207</v>
      </c>
      <c r="C299" s="198" t="s">
        <v>207</v>
      </c>
      <c r="D299" s="197" t="s">
        <v>207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207</v>
      </c>
      <c r="C300" s="198" t="s">
        <v>207</v>
      </c>
      <c r="D300" s="197" t="s">
        <v>207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207</v>
      </c>
      <c r="C301" s="198" t="s">
        <v>207</v>
      </c>
      <c r="D301" s="197" t="s">
        <v>207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68722-3E2A-4F4A-9AFF-72A168FE0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18F9DD-407B-4402-A290-6DE3A8134033}">
  <ds:schemaRefs>
    <ds:schemaRef ds:uri="http://www.w3.org/XML/1998/namespace"/>
    <ds:schemaRef ds:uri="7b742faf-fdf8-4591-b699-ecf8e70a4961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JEAN-CHARLES Isabelle</cp:lastModifiedBy>
  <cp:revision/>
  <dcterms:created xsi:type="dcterms:W3CDTF">2021-02-01T08:22:39Z</dcterms:created>
  <dcterms:modified xsi:type="dcterms:W3CDTF">2025-01-20T14:38:43Z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