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Z:\FORET\Clients\Clients actifs\Edward\GFR de la FRESLONNIERE\Gestion\Subvention\LBC 2024\"/>
    </mc:Choice>
  </mc:AlternateContent>
  <xr:revisionPtr revIDLastSave="0" documentId="13_ncr:1_{22F8B6DE-B85B-49C1-B07C-1D40A6E73C76}" xr6:coauthVersionLast="47" xr6:coauthVersionMax="47" xr10:uidLastSave="{00000000-0000-0000-0000-000000000000}"/>
  <bookViews>
    <workbookView xWindow="-109" yWindow="-109" windowWidth="26301" windowHeight="14169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EC4" i="2"/>
  <c r="GL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W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EW33" i="2"/>
  <c r="HH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A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HG57" i="2"/>
  <c r="FS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EB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EX130" i="2"/>
  <c r="EB130" i="2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B145" i="2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DH156" i="2"/>
  <c r="HI156" i="2"/>
  <c r="HG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HG160" i="2"/>
  <c r="EC160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HH161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I163" i="2"/>
  <c r="HH163" i="2"/>
  <c r="EV163" i="2"/>
  <c r="EY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FR164" i="2" l="1"/>
  <c r="DH164" i="2"/>
  <c r="HH164" i="2"/>
  <c r="EX164" i="2"/>
  <c r="EV164" i="2"/>
  <c r="DI163" i="2"/>
  <c r="FS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R167" i="2"/>
  <c r="DG167" i="2"/>
  <c r="HH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EC168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V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HH173" i="2"/>
  <c r="HJ172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FS175" i="2"/>
  <c r="EA175" i="2"/>
  <c r="HI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EY179" i="2" s="1"/>
  <c r="DF179" i="2"/>
  <c r="EA179" i="2"/>
  <c r="ED179" i="2" s="1"/>
  <c r="HG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EA185" i="2" l="1"/>
  <c r="EV185" i="2"/>
  <c r="HH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H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HH189" i="2"/>
  <c r="EV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HH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G195" i="2"/>
  <c r="EX195" i="2"/>
  <c r="HI195" i="2"/>
  <c r="EA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EA197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A199" i="2"/>
  <c r="HH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HG201" i="2" l="1"/>
  <c r="FS201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X202" i="2"/>
  <c r="FR202" i="2"/>
  <c r="HI202" i="2"/>
  <c r="FS202" i="2"/>
  <c r="EW202" i="2"/>
  <c r="HG202" i="2"/>
  <c r="HJ202" i="2" s="1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82" i="2" a="1"/>
  <c r="BC82" i="2" s="1"/>
  <c r="BC181" i="2" a="1"/>
  <c r="BC181" i="2" s="1"/>
  <c r="GT133" i="2" a="1"/>
  <c r="GT133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41" i="2" a="1"/>
  <c r="DN41" i="2" s="1"/>
  <c r="DN25" i="2" a="1"/>
  <c r="DN25" i="2" s="1"/>
  <c r="DN170" i="2" a="1"/>
  <c r="DN170" i="2" s="1"/>
  <c r="DN86" i="2" a="1"/>
  <c r="DN86" i="2" s="1"/>
  <c r="DN150" i="2" a="1"/>
  <c r="DN150" i="2" s="1"/>
  <c r="CS116" i="2" a="1"/>
  <c r="CS116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4" i="2" a="1"/>
  <c r="BC84" i="2" s="1"/>
  <c r="BC143" i="2" a="1"/>
  <c r="BC143" i="2" s="1"/>
  <c r="BC7" i="2" a="1"/>
  <c r="BC7" i="2" s="1"/>
  <c r="BC83" i="2" a="1"/>
  <c r="BC83" i="2" s="1"/>
  <c r="BC18" i="2" a="1"/>
  <c r="BC18" i="2" s="1"/>
  <c r="GT21" i="2" a="1"/>
  <c r="GT21" i="2" s="1"/>
  <c r="GT74" i="2" a="1"/>
  <c r="GT74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135" i="2" a="1"/>
  <c r="DN135" i="2" s="1"/>
  <c r="DN49" i="2" a="1"/>
  <c r="DN49" i="2" s="1"/>
  <c r="DN16" i="2" a="1"/>
  <c r="DN16" i="2" s="1"/>
  <c r="DN31" i="2" a="1"/>
  <c r="DN31" i="2" s="1"/>
  <c r="DN55" i="2" a="1"/>
  <c r="DN55" i="2" s="1"/>
  <c r="DN65" i="2" a="1"/>
  <c r="DN65" i="2" s="1"/>
  <c r="DN190" i="2" a="1"/>
  <c r="DN190" i="2" s="1"/>
  <c r="DN6" i="2" a="1"/>
  <c r="DN6" i="2" s="1"/>
  <c r="DO6" i="2" s="1"/>
  <c r="DN30" i="2" a="1"/>
  <c r="DN30" i="2" s="1"/>
  <c r="DN45" i="2" a="1"/>
  <c r="DN45" i="2" s="1"/>
  <c r="BX107" i="2" a="1"/>
  <c r="BX107" i="2" s="1"/>
  <c r="FD82" i="2" a="1"/>
  <c r="FD82" i="2" s="1"/>
  <c r="DN187" i="2" a="1"/>
  <c r="DN187" i="2" s="1"/>
  <c r="AX200" i="2"/>
  <c r="AH199" i="2" l="1" a="1"/>
  <c r="AH199" i="2" s="1"/>
  <c r="CS72" i="2" a="1"/>
  <c r="CS72" i="2" s="1"/>
  <c r="CS185" i="2" a="1"/>
  <c r="CS185" i="2" s="1"/>
  <c r="AH166" i="2" a="1"/>
  <c r="AH166" i="2" s="1"/>
  <c r="AH19" i="2" a="1"/>
  <c r="AH19" i="2" s="1"/>
  <c r="CS134" i="2" a="1"/>
  <c r="CS134" i="2" s="1"/>
  <c r="CS38" i="2" a="1"/>
  <c r="CS38" i="2" s="1"/>
  <c r="AH90" i="2" a="1"/>
  <c r="AH90" i="2" s="1"/>
  <c r="CS105" i="2" a="1"/>
  <c r="CS105" i="2" s="1"/>
  <c r="CS77" i="2" a="1"/>
  <c r="CS77" i="2" s="1"/>
  <c r="CS24" i="2" a="1"/>
  <c r="CS24" i="2" s="1"/>
  <c r="CS161" i="2" a="1"/>
  <c r="CS161" i="2" s="1"/>
  <c r="AH151" i="2" a="1"/>
  <c r="AH151" i="2" s="1"/>
  <c r="CS114" i="2" a="1"/>
  <c r="CS114" i="2" s="1"/>
  <c r="AH163" i="2" a="1"/>
  <c r="AH163" i="2" s="1"/>
  <c r="CS137" i="2" a="1"/>
  <c r="CS137" i="2" s="1"/>
  <c r="CS129" i="2" a="1"/>
  <c r="CS129" i="2" s="1"/>
  <c r="AH92" i="2" a="1"/>
  <c r="AH92" i="2" s="1"/>
  <c r="CS56" i="2" a="1"/>
  <c r="CS56" i="2" s="1"/>
  <c r="CS120" i="2" a="1"/>
  <c r="CS120" i="2" s="1"/>
  <c r="AH62" i="2" a="1"/>
  <c r="AH62" i="2" s="1"/>
  <c r="CS52" i="2" a="1"/>
  <c r="CS52" i="2" s="1"/>
  <c r="BP203" i="2"/>
  <c r="BC164" i="2" a="1"/>
  <c r="BC164" i="2" s="1"/>
  <c r="DN103" i="2" a="1"/>
  <c r="DN10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DN56" i="2" a="1"/>
  <c r="DN56" i="2" s="1"/>
  <c r="BC114" i="2" a="1"/>
  <c r="BC114" i="2" s="1"/>
  <c r="BC68" i="2" a="1"/>
  <c r="BC68" i="2" s="1"/>
  <c r="HG203" i="2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GT190" i="2" a="1"/>
  <c r="GT190" i="2" s="1"/>
  <c r="DN63" i="2" a="1"/>
  <c r="DN63" i="2" s="1"/>
  <c r="BC151" i="2" a="1"/>
  <c r="BC151" i="2" s="1"/>
  <c r="BC31" i="2" a="1"/>
  <c r="BC31" i="2" s="1"/>
  <c r="BC192" i="2" a="1"/>
  <c r="BC192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GT102" i="2" a="1"/>
  <c r="GT102" i="2" s="1"/>
  <c r="BC117" i="2" a="1"/>
  <c r="BC117" i="2" s="1"/>
  <c r="BC126" i="2" a="1"/>
  <c r="BC126" i="2" s="1"/>
  <c r="BC58" i="2" a="1"/>
  <c r="BC58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GT68" i="2" a="1"/>
  <c r="GT68" i="2" s="1"/>
  <c r="BC65" i="2" a="1"/>
  <c r="BC65" i="2" s="1"/>
  <c r="BC47" i="2" a="1"/>
  <c r="BC47" i="2" s="1"/>
  <c r="GT12" i="2" a="1"/>
  <c r="GT12" i="2" s="1"/>
  <c r="GT38" i="2" a="1"/>
  <c r="GT38" i="2" s="1"/>
  <c r="GT152" i="2" a="1"/>
  <c r="GT152" i="2" s="1"/>
  <c r="GT122" i="2" a="1"/>
  <c r="GT122" i="2" s="1"/>
  <c r="GT184" i="2" a="1"/>
  <c r="GT184" i="2" s="1"/>
  <c r="GT138" i="2" a="1"/>
  <c r="GT138" i="2" s="1"/>
  <c r="GT178" i="2" a="1"/>
  <c r="GT178" i="2" s="1"/>
  <c r="GT107" i="2" a="1"/>
  <c r="GT107" i="2" s="1"/>
  <c r="GT189" i="2" a="1"/>
  <c r="GT189" i="2" s="1"/>
  <c r="GT174" i="2" a="1"/>
  <c r="GT174" i="2" s="1"/>
  <c r="GT126" i="2" a="1"/>
  <c r="GT126" i="2" s="1"/>
  <c r="GT198" i="2" a="1"/>
  <c r="GT198" i="2" s="1"/>
  <c r="GT11" i="2" a="1"/>
  <c r="GT11" i="2" s="1"/>
  <c r="GT33" i="2" a="1"/>
  <c r="GT33" i="2" s="1"/>
  <c r="GT51" i="2" a="1"/>
  <c r="GT51" i="2" s="1"/>
  <c r="GT115" i="2" a="1"/>
  <c r="GT115" i="2" s="1"/>
  <c r="FR203" i="2"/>
  <c r="GT191" i="2" a="1"/>
  <c r="GT191" i="2" s="1"/>
  <c r="GT147" i="2" a="1"/>
  <c r="GT147" i="2" s="1"/>
  <c r="GT121" i="2" a="1"/>
  <c r="GT121" i="2" s="1"/>
  <c r="GT181" i="2" a="1"/>
  <c r="GT181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<sst xmlns="http://schemas.openxmlformats.org/spreadsheetml/2006/main" count="1171" uniqueCount="324">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</sst>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1.9027625333787848</c:v>
                </c:pt>
                <c:pt idx="2">
                  <c:v>2.3344741345749918</c:v>
                </c:pt>
                <c:pt idx="3">
                  <c:v>2.8645149000345267</c:v>
                </c:pt>
                <c:pt idx="4">
                  <c:v>3.5153625765662295</c:v>
                </c:pt>
                <c:pt idx="5">
                  <c:v>4.3146507835864822</c:v>
                </c:pt>
                <c:pt idx="6">
                  <c:v>5.2963553964521255</c:v>
                </c:pt>
                <c:pt idx="7">
                  <c:v>6.5022547183660953</c:v>
                </c:pt>
                <c:pt idx="8">
                  <c:v>7.9837267940278549</c:v>
                </c:pt>
                <c:pt idx="9">
                  <c:v>9.8039619136364866</c:v>
                </c:pt>
                <c:pt idx="10">
                  <c:v>12.040686467621816</c:v>
                </c:pt>
                <c:pt idx="11">
                  <c:v>14.789516636387651</c:v>
                </c:pt>
                <c:pt idx="12">
                  <c:v>18.168087916922143</c:v>
                </c:pt>
                <c:pt idx="13">
                  <c:v>22.321140410006929</c:v>
                </c:pt>
                <c:pt idx="14">
                  <c:v>27.42678161127364</c:v>
                </c:pt>
                <c:pt idx="15">
                  <c:v>33.704200008653665</c:v>
                </c:pt>
                <c:pt idx="16">
                  <c:v>41.423166360383227</c:v>
                </c:pt>
                <c:pt idx="17">
                  <c:v>50.91573791531308</c:v>
                </c:pt>
                <c:pt idx="18">
                  <c:v>62.590677499897197</c:v>
                </c:pt>
                <c:pt idx="19">
                  <c:v>76.951218601821182</c:v>
                </c:pt>
                <c:pt idx="20">
                  <c:v>94.616954594965264</c:v>
                </c:pt>
                <c:pt idx="21">
                  <c:v>116.35081157253938</c:v>
                </c:pt>
                <c:pt idx="22">
                  <c:v>143.09228790376088</c:v>
                </c:pt>
                <c:pt idx="23">
                  <c:v>137.8784585019167</c:v>
                </c:pt>
                <c:pt idx="24">
                  <c:v>153.50647811881331</c:v>
                </c:pt>
                <c:pt idx="25">
                  <c:v>169.09664015835338</c:v>
                </c:pt>
                <c:pt idx="26">
                  <c:v>160.0067319394324</c:v>
                </c:pt>
                <c:pt idx="27">
                  <c:v>172.98874990477893</c:v>
                </c:pt>
                <c:pt idx="28">
                  <c:v>185.9478634358592</c:v>
                </c:pt>
                <c:pt idx="29">
                  <c:v>198.88589463565651</c:v>
                </c:pt>
                <c:pt idx="30">
                  <c:v>211.80440891545263</c:v>
                </c:pt>
                <c:pt idx="31">
                  <c:v>184.91193253803269</c:v>
                </c:pt>
                <c:pt idx="32">
                  <c:v>201.98806367652801</c:v>
                </c:pt>
                <c:pt idx="33">
                  <c:v>219.03076565248196</c:v>
                </c:pt>
                <c:pt idx="34">
                  <c:v>236.04300605613699</c:v>
                </c:pt>
                <c:pt idx="35">
                  <c:v>253.0272894565154</c:v>
                </c:pt>
                <c:pt idx="36">
                  <c:v>218.77277702212461</c:v>
                </c:pt>
                <c:pt idx="37">
                  <c:v>237.33064408253642</c:v>
                </c:pt>
                <c:pt idx="38">
                  <c:v>255.85544021473845</c:v>
                </c:pt>
                <c:pt idx="39">
                  <c:v>274.34989649044331</c:v>
                </c:pt>
                <c:pt idx="40">
                  <c:v>292.81634557312492</c:v>
                </c:pt>
                <c:pt idx="41">
                  <c:v>261.50962832933971</c:v>
                </c:pt>
                <c:pt idx="42">
                  <c:v>282.81703405493198</c:v>
                </c:pt>
                <c:pt idx="43">
                  <c:v>304.08848473578593</c:v>
                </c:pt>
                <c:pt idx="44">
                  <c:v>325.32684808209279</c:v>
                </c:pt>
                <c:pt idx="45">
                  <c:v>346.53458683392802</c:v>
                </c:pt>
                <c:pt idx="46">
                  <c:v>301.01520311808821</c:v>
                </c:pt>
                <c:pt idx="47">
                  <c:v>323.28114705504527</c:v>
                </c:pt>
                <c:pt idx="48">
                  <c:v>345.51319650540682</c:v>
                </c:pt>
                <c:pt idx="49">
                  <c:v>367.7138377526897</c:v>
                </c:pt>
                <c:pt idx="50">
                  <c:v>389.88523246274627</c:v>
                </c:pt>
                <c:pt idx="51">
                  <c:v>340.78839978947002</c:v>
                </c:pt>
                <c:pt idx="52">
                  <c:v>359.29645830338865</c:v>
                </c:pt>
                <c:pt idx="53">
                  <c:v>377.78366605701348</c:v>
                </c:pt>
                <c:pt idx="54">
                  <c:v>396.2511865543492</c:v>
                </c:pt>
                <c:pt idx="55">
                  <c:v>414.70006603563183</c:v>
                </c:pt>
                <c:pt idx="56">
                  <c:v>433.13125009429888</c:v>
                </c:pt>
                <c:pt idx="57">
                  <c:v>451.54559731804261</c:v>
                </c:pt>
                <c:pt idx="58">
                  <c:v>469.94389058892403</c:v>
                </c:pt>
                <c:pt idx="59">
                  <c:v>394.02335674191113</c:v>
                </c:pt>
                <c:pt idx="60">
                  <c:v>417.24333014580742</c:v>
                </c:pt>
                <c:pt idx="61">
                  <c:v>440.43546056187193</c:v>
                </c:pt>
                <c:pt idx="62">
                  <c:v>463.60141904065881</c:v>
                </c:pt>
                <c:pt idx="63">
                  <c:v>486.74269613269007</c:v>
                </c:pt>
                <c:pt idx="64">
                  <c:v>509.86062921362287</c:v>
                </c:pt>
                <c:pt idx="65">
                  <c:v>532.95642459676935</c:v>
                </c:pt>
                <c:pt idx="66">
                  <c:v>556.03117561453917</c:v>
                </c:pt>
                <c:pt idx="67">
                  <c:v>494.5039947032879</c:v>
                </c:pt>
                <c:pt idx="68">
                  <c:v>515.24103765857421</c:v>
                </c:pt>
                <c:pt idx="69">
                  <c:v>535.96047213768099</c:v>
                </c:pt>
                <c:pt idx="70">
                  <c:v>556.66307407148986</c:v>
                </c:pt>
                <c:pt idx="71">
                  <c:v>577.34955701911838</c:v>
                </c:pt>
                <c:pt idx="72">
                  <c:v>598.02057928186184</c:v>
                </c:pt>
                <c:pt idx="73">
                  <c:v>618.67674998301311</c:v>
                </c:pt>
                <c:pt idx="74">
                  <c:v>639.31863429406837</c:v>
                </c:pt>
                <c:pt idx="75">
                  <c:v>605.5909456624297</c:v>
                </c:pt>
                <c:pt idx="76">
                  <c:v>618.51912409554745</c:v>
                </c:pt>
                <c:pt idx="77">
                  <c:v>631.44170400699352</c:v>
                </c:pt>
                <c:pt idx="78">
                  <c:v>644.35881606732414</c:v>
                </c:pt>
                <c:pt idx="79">
                  <c:v>657.27058528336488</c:v>
                </c:pt>
                <c:pt idx="80">
                  <c:v>670.17713135245776</c:v>
                </c:pt>
                <c:pt idx="81">
                  <c:v>683.07856898801435</c:v>
                </c:pt>
                <c:pt idx="82">
                  <c:v>695.97500821921165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907536"/>
        <c:axId val="179824168"/>
      </c:scatterChart>
      <c:valAx>
        <c:axId val="28190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9824168"/>
        <c:crosses val="autoZero"/>
        <c:crossBetween val="midCat"/>
      </c:valAx>
      <c:valAx>
        <c:axId val="179824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190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388480"/>
        <c:axId val="396388872"/>
      </c:scatterChart>
      <c:valAx>
        <c:axId val="396388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388872"/>
        <c:crosses val="autoZero"/>
        <c:crossBetween val="midCat"/>
      </c:valAx>
      <c:valAx>
        <c:axId val="39638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388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1.8038883390683471</c:v>
                </c:pt>
                <c:pt idx="2">
                  <c:v>2.1897729047023593</c:v>
                </c:pt>
                <c:pt idx="3">
                  <c:v>2.6585227899015504</c:v>
                </c:pt>
                <c:pt idx="4">
                  <c:v>3.2279971105254481</c:v>
                </c:pt>
                <c:pt idx="5">
                  <c:v>3.919917031470415</c:v>
                </c:pt>
                <c:pt idx="6">
                  <c:v>4.7607035707095422</c:v>
                </c:pt>
                <c:pt idx="7">
                  <c:v>5.7824976793244902</c:v>
                </c:pt>
                <c:pt idx="8">
                  <c:v>7.0244023602037151</c:v>
                </c:pt>
                <c:pt idx="9">
                  <c:v>8.5339952832965214</c:v>
                </c:pt>
                <c:pt idx="10">
                  <c:v>10.369170956195171</c:v>
                </c:pt>
                <c:pt idx="11">
                  <c:v>12.600384433857405</c:v>
                </c:pt>
                <c:pt idx="12">
                  <c:v>15.313384311036627</c:v>
                </c:pt>
                <c:pt idx="13">
                  <c:v>18.612541958368652</c:v>
                </c:pt>
                <c:pt idx="14">
                  <c:v>22.624907398105716</c:v>
                </c:pt>
                <c:pt idx="15">
                  <c:v>27.505150795572561</c:v>
                </c:pt>
                <c:pt idx="16">
                  <c:v>33.441583399188175</c:v>
                </c:pt>
                <c:pt idx="17">
                  <c:v>40.663494276299794</c:v>
                </c:pt>
                <c:pt idx="18">
                  <c:v>49.450091049385911</c:v>
                </c:pt>
                <c:pt idx="19">
                  <c:v>60.141396094149911</c:v>
                </c:pt>
                <c:pt idx="20">
                  <c:v>73.151526827873639</c:v>
                </c:pt>
                <c:pt idx="21">
                  <c:v>88.98488285695737</c:v>
                </c:pt>
                <c:pt idx="22">
                  <c:v>108.25587760652974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528.76253544371991</c:v>
                </c:pt>
                <c:pt idx="84">
                  <c:v>528.76253544371991</c:v>
                </c:pt>
                <c:pt idx="85">
                  <c:v>528.76253544371991</c:v>
                </c:pt>
                <c:pt idx="86">
                  <c:v>528.76253544371991</c:v>
                </c:pt>
                <c:pt idx="87">
                  <c:v>528.76253544371991</c:v>
                </c:pt>
                <c:pt idx="88">
                  <c:v>528.76253544371991</c:v>
                </c:pt>
                <c:pt idx="89">
                  <c:v>528.76253544371991</c:v>
                </c:pt>
                <c:pt idx="90">
                  <c:v>528.76253544371991</c:v>
                </c:pt>
                <c:pt idx="91">
                  <c:v>528.76253544371991</c:v>
                </c:pt>
                <c:pt idx="92">
                  <c:v>528.76253544371991</c:v>
                </c:pt>
                <c:pt idx="93">
                  <c:v>528.76253544371991</c:v>
                </c:pt>
                <c:pt idx="94">
                  <c:v>528.76253544371991</c:v>
                </c:pt>
                <c:pt idx="95">
                  <c:v>528.76253544371991</c:v>
                </c:pt>
                <c:pt idx="96">
                  <c:v>528.76253544371991</c:v>
                </c:pt>
                <c:pt idx="97">
                  <c:v>528.76253544371991</c:v>
                </c:pt>
                <c:pt idx="98">
                  <c:v>528.76253544371991</c:v>
                </c:pt>
                <c:pt idx="99">
                  <c:v>528.76253544371991</c:v>
                </c:pt>
                <c:pt idx="100">
                  <c:v>528.76253544371991</c:v>
                </c:pt>
                <c:pt idx="101">
                  <c:v>528.76253544371991</c:v>
                </c:pt>
                <c:pt idx="102">
                  <c:v>528.76253544371991</c:v>
                </c:pt>
                <c:pt idx="103">
                  <c:v>528.76253544371991</c:v>
                </c:pt>
                <c:pt idx="104">
                  <c:v>528.76253544371991</c:v>
                </c:pt>
                <c:pt idx="105">
                  <c:v>528.76253544371991</c:v>
                </c:pt>
                <c:pt idx="106">
                  <c:v>528.76253544371991</c:v>
                </c:pt>
                <c:pt idx="107">
                  <c:v>528.76253544371991</c:v>
                </c:pt>
                <c:pt idx="108">
                  <c:v>528.76253544371991</c:v>
                </c:pt>
                <c:pt idx="109">
                  <c:v>528.76253544371991</c:v>
                </c:pt>
                <c:pt idx="110">
                  <c:v>528.76253544371991</c:v>
                </c:pt>
                <c:pt idx="111">
                  <c:v>528.76253544371991</c:v>
                </c:pt>
                <c:pt idx="112">
                  <c:v>528.76253544371991</c:v>
                </c:pt>
                <c:pt idx="113">
                  <c:v>528.76253544371991</c:v>
                </c:pt>
                <c:pt idx="114">
                  <c:v>528.76253544371991</c:v>
                </c:pt>
                <c:pt idx="115">
                  <c:v>528.76253544371991</c:v>
                </c:pt>
                <c:pt idx="116">
                  <c:v>528.76253544371991</c:v>
                </c:pt>
                <c:pt idx="117">
                  <c:v>528.76253544371991</c:v>
                </c:pt>
                <c:pt idx="118">
                  <c:v>528.76253544371991</c:v>
                </c:pt>
                <c:pt idx="119">
                  <c:v>528.76253544371991</c:v>
                </c:pt>
                <c:pt idx="120">
                  <c:v>528.76253544371991</c:v>
                </c:pt>
                <c:pt idx="121">
                  <c:v>528.76253544371991</c:v>
                </c:pt>
                <c:pt idx="122">
                  <c:v>528.76253544371991</c:v>
                </c:pt>
                <c:pt idx="123">
                  <c:v>528.76253544371991</c:v>
                </c:pt>
                <c:pt idx="124">
                  <c:v>528.76253544371991</c:v>
                </c:pt>
                <c:pt idx="125">
                  <c:v>528.76253544371991</c:v>
                </c:pt>
                <c:pt idx="126">
                  <c:v>528.76253544371991</c:v>
                </c:pt>
                <c:pt idx="127">
                  <c:v>528.76253544371991</c:v>
                </c:pt>
                <c:pt idx="128">
                  <c:v>528.76253544371991</c:v>
                </c:pt>
                <c:pt idx="129">
                  <c:v>528.76253544371991</c:v>
                </c:pt>
                <c:pt idx="130">
                  <c:v>528.76253544371991</c:v>
                </c:pt>
                <c:pt idx="131">
                  <c:v>528.76253544371991</c:v>
                </c:pt>
                <c:pt idx="132">
                  <c:v>528.76253544371991</c:v>
                </c:pt>
                <c:pt idx="133">
                  <c:v>528.76253544371991</c:v>
                </c:pt>
                <c:pt idx="134">
                  <c:v>528.76253544371991</c:v>
                </c:pt>
                <c:pt idx="135">
                  <c:v>528.76253544371991</c:v>
                </c:pt>
                <c:pt idx="136">
                  <c:v>528.76253544371991</c:v>
                </c:pt>
                <c:pt idx="137">
                  <c:v>528.76253544371991</c:v>
                </c:pt>
                <c:pt idx="138">
                  <c:v>528.76253544371991</c:v>
                </c:pt>
                <c:pt idx="139">
                  <c:v>528.76253544371991</c:v>
                </c:pt>
                <c:pt idx="140">
                  <c:v>528.76253544371991</c:v>
                </c:pt>
                <c:pt idx="141">
                  <c:v>528.76253544371991</c:v>
                </c:pt>
                <c:pt idx="142">
                  <c:v>528.76253544371991</c:v>
                </c:pt>
                <c:pt idx="143">
                  <c:v>528.76253544371991</c:v>
                </c:pt>
                <c:pt idx="144">
                  <c:v>528.76253544371991</c:v>
                </c:pt>
                <c:pt idx="145">
                  <c:v>528.76253544371991</c:v>
                </c:pt>
                <c:pt idx="146">
                  <c:v>528.76253544371991</c:v>
                </c:pt>
                <c:pt idx="147">
                  <c:v>528.76253544371991</c:v>
                </c:pt>
                <c:pt idx="148">
                  <c:v>528.76253544371991</c:v>
                </c:pt>
                <c:pt idx="149">
                  <c:v>528.76253544371991</c:v>
                </c:pt>
                <c:pt idx="150">
                  <c:v>528.76253544371991</c:v>
                </c:pt>
                <c:pt idx="151">
                  <c:v>528.76253544371991</c:v>
                </c:pt>
                <c:pt idx="152">
                  <c:v>528.76253544371991</c:v>
                </c:pt>
                <c:pt idx="153">
                  <c:v>528.76253544371991</c:v>
                </c:pt>
                <c:pt idx="154">
                  <c:v>528.76253544371991</c:v>
                </c:pt>
                <c:pt idx="155">
                  <c:v>528.76253544371991</c:v>
                </c:pt>
                <c:pt idx="156">
                  <c:v>528.76253544371991</c:v>
                </c:pt>
                <c:pt idx="157">
                  <c:v>528.76253544371991</c:v>
                </c:pt>
                <c:pt idx="158">
                  <c:v>528.76253544371991</c:v>
                </c:pt>
                <c:pt idx="159">
                  <c:v>528.76253544371991</c:v>
                </c:pt>
                <c:pt idx="160">
                  <c:v>528.76253544371991</c:v>
                </c:pt>
                <c:pt idx="161">
                  <c:v>528.76253544371991</c:v>
                </c:pt>
                <c:pt idx="162">
                  <c:v>528.76253544371991</c:v>
                </c:pt>
                <c:pt idx="163">
                  <c:v>528.76253544371991</c:v>
                </c:pt>
                <c:pt idx="164">
                  <c:v>528.76253544371991</c:v>
                </c:pt>
                <c:pt idx="165">
                  <c:v>528.76253544371991</c:v>
                </c:pt>
                <c:pt idx="166">
                  <c:v>528.76253544371991</c:v>
                </c:pt>
                <c:pt idx="167">
                  <c:v>528.76253544371991</c:v>
                </c:pt>
                <c:pt idx="168">
                  <c:v>528.76253544371991</c:v>
                </c:pt>
                <c:pt idx="169">
                  <c:v>528.76253544371991</c:v>
                </c:pt>
                <c:pt idx="170">
                  <c:v>528.76253544371991</c:v>
                </c:pt>
                <c:pt idx="171">
                  <c:v>528.76253544371991</c:v>
                </c:pt>
                <c:pt idx="172">
                  <c:v>528.76253544371991</c:v>
                </c:pt>
                <c:pt idx="173">
                  <c:v>528.76253544371991</c:v>
                </c:pt>
                <c:pt idx="174">
                  <c:v>528.76253544371991</c:v>
                </c:pt>
                <c:pt idx="175">
                  <c:v>528.76253544371991</c:v>
                </c:pt>
                <c:pt idx="176">
                  <c:v>528.76253544371991</c:v>
                </c:pt>
                <c:pt idx="177">
                  <c:v>528.76253544371991</c:v>
                </c:pt>
                <c:pt idx="178">
                  <c:v>528.76253544371991</c:v>
                </c:pt>
                <c:pt idx="179">
                  <c:v>528.76253544371991</c:v>
                </c:pt>
                <c:pt idx="180">
                  <c:v>528.76253544371991</c:v>
                </c:pt>
                <c:pt idx="181">
                  <c:v>528.76253544371991</c:v>
                </c:pt>
                <c:pt idx="182">
                  <c:v>528.76253544371991</c:v>
                </c:pt>
                <c:pt idx="183">
                  <c:v>528.76253544371991</c:v>
                </c:pt>
                <c:pt idx="184">
                  <c:v>528.76253544371991</c:v>
                </c:pt>
                <c:pt idx="185">
                  <c:v>528.76253544371991</c:v>
                </c:pt>
                <c:pt idx="186">
                  <c:v>528.76253544371991</c:v>
                </c:pt>
                <c:pt idx="187">
                  <c:v>528.76253544371991</c:v>
                </c:pt>
                <c:pt idx="188">
                  <c:v>528.76253544371991</c:v>
                </c:pt>
                <c:pt idx="189">
                  <c:v>528.76253544371991</c:v>
                </c:pt>
                <c:pt idx="190">
                  <c:v>528.76253544371991</c:v>
                </c:pt>
                <c:pt idx="191">
                  <c:v>528.76253544371991</c:v>
                </c:pt>
                <c:pt idx="192">
                  <c:v>528.76253544371991</c:v>
                </c:pt>
                <c:pt idx="193">
                  <c:v>528.76253544371991</c:v>
                </c:pt>
                <c:pt idx="194">
                  <c:v>528.76253544371991</c:v>
                </c:pt>
                <c:pt idx="195">
                  <c:v>528.76253544371991</c:v>
                </c:pt>
                <c:pt idx="196">
                  <c:v>528.76253544371991</c:v>
                </c:pt>
                <c:pt idx="197">
                  <c:v>528.76253544371991</c:v>
                </c:pt>
                <c:pt idx="198">
                  <c:v>528.76253544371991</c:v>
                </c:pt>
                <c:pt idx="199">
                  <c:v>528.76253544371991</c:v>
                </c:pt>
                <c:pt idx="200">
                  <c:v>528.76253544371991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1944"/>
        <c:axId val="396122336"/>
      </c:scatterChart>
      <c:valAx>
        <c:axId val="396121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2336"/>
        <c:crosses val="autoZero"/>
        <c:crossBetween val="midCat"/>
      </c:valAx>
      <c:valAx>
        <c:axId val="396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1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23120"/>
        <c:axId val="395902944"/>
      </c:scatterChart>
      <c:valAx>
        <c:axId val="39612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2944"/>
        <c:crosses val="autoZero"/>
        <c:crossBetween val="midCat"/>
      </c:valAx>
      <c:valAx>
        <c:axId val="3959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12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3728"/>
        <c:axId val="395904120"/>
      </c:scatterChart>
      <c:valAx>
        <c:axId val="395903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4120"/>
        <c:crosses val="autoZero"/>
        <c:crossBetween val="midCat"/>
      </c:valAx>
      <c:valAx>
        <c:axId val="395904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4904"/>
        <c:axId val="395905296"/>
      </c:scatterChart>
      <c:valAx>
        <c:axId val="395904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5296"/>
        <c:crosses val="autoZero"/>
        <c:crossBetween val="midCat"/>
      </c:valAx>
      <c:valAx>
        <c:axId val="39590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4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06080"/>
        <c:axId val="395906472"/>
      </c:scatterChart>
      <c:valAx>
        <c:axId val="39590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6472"/>
        <c:crosses val="autoZero"/>
        <c:crossBetween val="midCat"/>
      </c:valAx>
      <c:valAx>
        <c:axId val="39590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590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5184"/>
        <c:axId val="396095576"/>
      </c:scatterChart>
      <c:valAx>
        <c:axId val="396095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5576"/>
        <c:crosses val="autoZero"/>
        <c:crossBetween val="midCat"/>
      </c:valAx>
      <c:valAx>
        <c:axId val="39609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6360"/>
        <c:axId val="396096752"/>
      </c:scatterChart>
      <c:valAx>
        <c:axId val="396096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6752"/>
        <c:crosses val="autoZero"/>
        <c:crossBetween val="midCat"/>
      </c:valAx>
      <c:valAx>
        <c:axId val="39609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6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097536"/>
        <c:axId val="396097928"/>
      </c:scatterChart>
      <c:valAx>
        <c:axId val="39609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7928"/>
        <c:crosses val="autoZero"/>
        <c:crossBetween val="midCat"/>
      </c:valAx>
      <c:valAx>
        <c:axId val="3960979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09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3" x14ac:dyDescent="0.25"/>
  <cols>
    <col min="1" max="1" width="6.75" customWidth="1"/>
    <col min="2" max="13" width="15.875" customWidth="1"/>
  </cols>
  <sheetData>
    <row r="12" spans="2:13" ht="14.9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4.9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4.9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.1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.1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.1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.1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.1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.1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.1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.1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.1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.1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.1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.1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.1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.1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0" zoomScale="80" zoomScaleNormal="80" workbookViewId="0">
      <selection activeCell="H68" sqref="H68"/>
    </sheetView>
  </sheetViews>
  <sheetFormatPr baseColWidth="10" defaultColWidth="11.375" defaultRowHeight="14.3" x14ac:dyDescent="0.25"/>
  <cols>
    <col min="1" max="1" width="13.75" style="23" customWidth="1"/>
    <col min="2" max="2" width="36.125" style="23" customWidth="1"/>
    <col min="3" max="3" width="14.875" style="23" bestFit="1" customWidth="1"/>
    <col min="4" max="4" width="16.375" style="23" customWidth="1"/>
    <col min="5" max="5" width="23.25" style="23" customWidth="1"/>
    <col min="6" max="6" width="28.875" style="23" bestFit="1" customWidth="1"/>
    <col min="7" max="8" width="14.75" style="23" customWidth="1"/>
    <col min="9" max="9" width="17" style="23" customWidth="1"/>
    <col min="10" max="10" width="13.875" style="23" customWidth="1"/>
    <col min="11" max="16384" width="11.37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8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35" x14ac:dyDescent="0.25">
      <c r="A5" s="268" t="s">
        <v>231</v>
      </c>
      <c r="B5" s="268"/>
      <c r="C5" s="24">
        <v>1.5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ht="14.95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3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0.6</v>
      </c>
      <c r="D9" s="33">
        <f t="shared" ref="D9:D18" si="0">C9*$C$5</f>
        <v>0.89999999999999991</v>
      </c>
      <c r="E9" s="34">
        <v>82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14.95" x14ac:dyDescent="0.25">
      <c r="A10" s="30" t="s">
        <v>166</v>
      </c>
      <c r="B10" s="31" t="s">
        <v>41</v>
      </c>
      <c r="C10" s="32">
        <v>0.4</v>
      </c>
      <c r="D10" s="33">
        <f t="shared" si="0"/>
        <v>0.60000000000000009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ht="14.95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14.95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ht="14.95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ht="14.95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14.95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14.95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ht="14.9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ht="14.9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ht="14.95" x14ac:dyDescent="0.25">
      <c r="A19" s="78"/>
      <c r="B19" s="36" t="s">
        <v>175</v>
      </c>
      <c r="C19" s="37">
        <f>SUM(C9:C18)</f>
        <v>1</v>
      </c>
      <c r="D19" s="38">
        <f>SUM(D9:D18)</f>
        <v>1.5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ht="14.9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.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ht="14.9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14.9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14.9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14.9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.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ht="14.9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ht="14.9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ht="14.9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2.8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22</v>
      </c>
      <c r="B36" s="60">
        <v>107</v>
      </c>
      <c r="C36" s="60">
        <v>1</v>
      </c>
      <c r="D36" s="60">
        <v>16</v>
      </c>
      <c r="E36" s="51"/>
      <c r="F36" s="51"/>
      <c r="G36" s="51">
        <v>1</v>
      </c>
      <c r="H36" s="51"/>
      <c r="I36" s="49">
        <f>IFERROR(B36/A36,"")</f>
        <v>4.8636363636363633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127</v>
      </c>
      <c r="C37" s="60">
        <v>2</v>
      </c>
      <c r="D37" s="60">
        <v>17</v>
      </c>
      <c r="E37" s="51"/>
      <c r="F37" s="51">
        <v>0.2</v>
      </c>
      <c r="G37" s="51">
        <v>0.8</v>
      </c>
      <c r="H37" s="51"/>
      <c r="I37" s="53">
        <f t="shared" ref="I37:I55" si="1">IF(A37&lt;&gt;0,(B37-(B36-D36))/(A37-A36),"")</f>
        <v>12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160</v>
      </c>
      <c r="C38" s="60">
        <v>3</v>
      </c>
      <c r="D38" s="60">
        <v>34</v>
      </c>
      <c r="E38" s="51"/>
      <c r="F38" s="51">
        <v>0.6</v>
      </c>
      <c r="G38" s="51">
        <v>0.4</v>
      </c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192</v>
      </c>
      <c r="C39" s="60">
        <v>4</v>
      </c>
      <c r="D39" s="60">
        <v>41</v>
      </c>
      <c r="E39" s="51">
        <v>0.2</v>
      </c>
      <c r="F39" s="51">
        <v>0.6</v>
      </c>
      <c r="G39" s="51">
        <v>0.2</v>
      </c>
      <c r="H39" s="51"/>
      <c r="I39" s="49">
        <f t="shared" si="1"/>
        <v>13.2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223</v>
      </c>
      <c r="C40" s="60">
        <v>5</v>
      </c>
      <c r="D40" s="60">
        <v>41</v>
      </c>
      <c r="E40" s="51">
        <v>0.4</v>
      </c>
      <c r="F40" s="51">
        <v>0.5</v>
      </c>
      <c r="G40" s="51">
        <v>0.1</v>
      </c>
      <c r="H40" s="51"/>
      <c r="I40" s="49">
        <f t="shared" si="1"/>
        <v>14.4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265</v>
      </c>
      <c r="C41" s="60">
        <v>6</v>
      </c>
      <c r="D41" s="60">
        <v>53</v>
      </c>
      <c r="E41" s="51">
        <v>0.5</v>
      </c>
      <c r="F41" s="51">
        <v>0.5</v>
      </c>
      <c r="G41" s="51"/>
      <c r="H41" s="51"/>
      <c r="I41" s="53">
        <f t="shared" si="1"/>
        <v>16.600000000000001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299</v>
      </c>
      <c r="C42" s="60">
        <v>7</v>
      </c>
      <c r="D42" s="60">
        <v>53</v>
      </c>
      <c r="E42" s="51">
        <v>0.5</v>
      </c>
      <c r="F42" s="51">
        <v>0.5</v>
      </c>
      <c r="G42" s="51"/>
      <c r="H42" s="51"/>
      <c r="I42" s="53">
        <f t="shared" si="1"/>
        <v>17.399999999999999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58</v>
      </c>
      <c r="B43" s="60">
        <v>362</v>
      </c>
      <c r="C43" s="60">
        <v>8</v>
      </c>
      <c r="D43" s="60">
        <v>78</v>
      </c>
      <c r="E43" s="51">
        <v>0.6</v>
      </c>
      <c r="F43" s="51">
        <v>0.4</v>
      </c>
      <c r="G43" s="51"/>
      <c r="H43" s="51"/>
      <c r="I43" s="49">
        <f t="shared" si="1"/>
        <v>14.5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66</v>
      </c>
      <c r="B44" s="60">
        <v>430</v>
      </c>
      <c r="C44" s="60">
        <v>9</v>
      </c>
      <c r="D44" s="60">
        <v>65</v>
      </c>
      <c r="E44" s="51">
        <v>0.7</v>
      </c>
      <c r="F44" s="51">
        <v>0.3</v>
      </c>
      <c r="G44" s="51"/>
      <c r="H44" s="51"/>
      <c r="I44" s="49">
        <f t="shared" si="1"/>
        <v>18.25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74</v>
      </c>
      <c r="B45" s="60">
        <v>496</v>
      </c>
      <c r="C45" s="60">
        <v>10</v>
      </c>
      <c r="D45" s="60">
        <v>37</v>
      </c>
      <c r="E45" s="51">
        <v>0.9</v>
      </c>
      <c r="F45" s="51">
        <v>0.1</v>
      </c>
      <c r="G45" s="51"/>
      <c r="H45" s="51"/>
      <c r="I45" s="49">
        <f t="shared" si="1"/>
        <v>16.375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82</v>
      </c>
      <c r="B46" s="60">
        <v>541</v>
      </c>
      <c r="C46" s="60">
        <v>11</v>
      </c>
      <c r="D46" s="60">
        <v>541</v>
      </c>
      <c r="E46" s="51">
        <v>0.9</v>
      </c>
      <c r="F46" s="51">
        <v>0.1</v>
      </c>
      <c r="G46" s="51"/>
      <c r="H46" s="51"/>
      <c r="I46" s="49">
        <f t="shared" si="1"/>
        <v>10.25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sylvestre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2.8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22</v>
      </c>
      <c r="B62" s="60">
        <v>84</v>
      </c>
      <c r="C62" s="60"/>
      <c r="D62" s="60"/>
      <c r="E62" s="51"/>
      <c r="F62" s="51"/>
      <c r="G62" s="51"/>
      <c r="H62" s="51"/>
      <c r="I62" s="53">
        <f>IFERROR(B62/A62,"")</f>
        <v>3.8181818181818183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131</v>
      </c>
      <c r="C63" s="60">
        <v>1</v>
      </c>
      <c r="D63" s="60">
        <v>21</v>
      </c>
      <c r="E63" s="51"/>
      <c r="F63" s="51"/>
      <c r="G63" s="51">
        <v>1</v>
      </c>
      <c r="H63" s="51"/>
      <c r="I63" s="49">
        <f>IF(A63&lt;&gt;0,(B63-(B62-D62))/(A63-A62),"")</f>
        <v>15.666666666666666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182</v>
      </c>
      <c r="C64" s="60">
        <v>2</v>
      </c>
      <c r="D64" s="60">
        <v>36</v>
      </c>
      <c r="E64" s="51"/>
      <c r="F64" s="51">
        <v>0.6</v>
      </c>
      <c r="G64" s="51">
        <v>0.4</v>
      </c>
      <c r="H64" s="51"/>
      <c r="I64" s="49">
        <f>IF(A64&lt;&gt;0,(B64-(B63-D63))/(A64-A63),"")</f>
        <v>14.4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229</v>
      </c>
      <c r="C65" s="60">
        <v>3</v>
      </c>
      <c r="D65" s="60">
        <v>49</v>
      </c>
      <c r="E65" s="51">
        <v>0.2</v>
      </c>
      <c r="F65" s="51">
        <v>0.6</v>
      </c>
      <c r="G65" s="51">
        <v>0.2</v>
      </c>
      <c r="H65" s="51"/>
      <c r="I65" s="49">
        <f>IF(A65&lt;&gt;0,(B65-(B64-D64))/(A65-A64),"")</f>
        <v>16.600000000000001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256</v>
      </c>
      <c r="C66" s="60">
        <v>4</v>
      </c>
      <c r="D66" s="60">
        <v>42</v>
      </c>
      <c r="E66" s="51">
        <v>0.4</v>
      </c>
      <c r="F66" s="51">
        <v>0.5</v>
      </c>
      <c r="G66" s="51">
        <v>0.1</v>
      </c>
      <c r="H66" s="51"/>
      <c r="I66" s="49">
        <f t="shared" ref="I66:I81" si="2">IF(A66&lt;&gt;0,(B66-(B65-D65))/(A66-A65),"")</f>
        <v>15.2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283</v>
      </c>
      <c r="C67" s="60">
        <v>5</v>
      </c>
      <c r="D67" s="60">
        <v>38</v>
      </c>
      <c r="E67" s="51">
        <v>0.5</v>
      </c>
      <c r="F67" s="51">
        <v>0.5</v>
      </c>
      <c r="G67" s="51"/>
      <c r="H67" s="51"/>
      <c r="I67" s="49">
        <f t="shared" si="2"/>
        <v>13.8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311</v>
      </c>
      <c r="C68" s="60">
        <v>6</v>
      </c>
      <c r="D68" s="60">
        <v>37</v>
      </c>
      <c r="E68" s="51">
        <v>0.5</v>
      </c>
      <c r="F68" s="51">
        <v>0.5</v>
      </c>
      <c r="G68" s="51"/>
      <c r="H68" s="51"/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58</v>
      </c>
      <c r="B69" s="50">
        <v>372</v>
      </c>
      <c r="C69" s="50">
        <v>7</v>
      </c>
      <c r="D69" s="50">
        <v>48</v>
      </c>
      <c r="E69" s="51">
        <v>0.6</v>
      </c>
      <c r="F69" s="51">
        <v>0.4</v>
      </c>
      <c r="G69" s="51"/>
      <c r="H69" s="51"/>
      <c r="I69" s="49">
        <f t="shared" si="2"/>
        <v>12.25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66</v>
      </c>
      <c r="B70" s="50">
        <v>415</v>
      </c>
      <c r="C70" s="50">
        <v>8</v>
      </c>
      <c r="D70" s="50">
        <v>50</v>
      </c>
      <c r="E70" s="51">
        <v>0.7</v>
      </c>
      <c r="F70" s="51">
        <v>0.3</v>
      </c>
      <c r="G70" s="51"/>
      <c r="H70" s="51"/>
      <c r="I70" s="49">
        <f t="shared" si="2"/>
        <v>11.375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74</v>
      </c>
      <c r="B71" s="50">
        <v>419</v>
      </c>
      <c r="C71" s="50">
        <v>9</v>
      </c>
      <c r="D71" s="50">
        <v>20</v>
      </c>
      <c r="E71" s="51">
        <v>0.9</v>
      </c>
      <c r="F71" s="51">
        <v>0.1</v>
      </c>
      <c r="G71" s="51"/>
      <c r="H71" s="51"/>
      <c r="I71" s="49">
        <f t="shared" si="2"/>
        <v>6.75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82</v>
      </c>
      <c r="B72" s="50">
        <v>444</v>
      </c>
      <c r="C72" s="50">
        <v>10</v>
      </c>
      <c r="D72" s="50">
        <v>17</v>
      </c>
      <c r="E72" s="51">
        <v>0.9</v>
      </c>
      <c r="F72" s="51">
        <v>0.1</v>
      </c>
      <c r="G72" s="51"/>
      <c r="H72" s="51"/>
      <c r="I72" s="49">
        <f t="shared" si="2"/>
        <v>5.625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2.8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2.8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2.8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2.8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2.8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2.8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2.8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2.8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0" sqref="B10"/>
    </sheetView>
  </sheetViews>
  <sheetFormatPr baseColWidth="10" defaultColWidth="11.375" defaultRowHeight="14.3" x14ac:dyDescent="0.25"/>
  <cols>
    <col min="1" max="1" width="5.875" style="1" customWidth="1"/>
    <col min="2" max="2" width="14.125" style="1" customWidth="1"/>
    <col min="3" max="3" width="62.125" style="1" customWidth="1"/>
    <col min="4" max="5" width="4.25" style="1" customWidth="1"/>
    <col min="6" max="6" width="14.25" style="1" customWidth="1"/>
    <col min="7" max="7" width="73.25" style="1" bestFit="1" customWidth="1"/>
    <col min="8" max="10" width="11.375" style="1"/>
    <col min="11" max="11" width="12.625" style="1" customWidth="1"/>
    <col min="12" max="16384" width="11.375" style="1"/>
  </cols>
  <sheetData>
    <row r="1" spans="1:38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4.95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14.95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ht="14.95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350000000000001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350000000000001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350000000000001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ht="14.95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ht="14.95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.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.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ht="14.95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4.9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4.9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4.9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ERREUR : corrigez ; le total n'est pas égal à celui de la cellule B8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4.9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4.9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4.9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4.9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4.9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4.9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4.9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4.9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4.9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4.9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4.9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75" defaultRowHeight="14.3" x14ac:dyDescent="0.25"/>
  <cols>
    <col min="1" max="1" width="6.875" style="4" bestFit="1" customWidth="1"/>
    <col min="2" max="4" width="11.375" style="4"/>
    <col min="5" max="5" width="9.625" style="4" customWidth="1"/>
    <col min="6" max="7" width="11.375" style="4"/>
    <col min="8" max="8" width="10.75" style="4" customWidth="1"/>
    <col min="9" max="9" width="9.375" style="4" customWidth="1"/>
    <col min="10" max="11" width="10.625" style="4" bestFit="1" customWidth="1"/>
    <col min="12" max="12" width="14" style="4" bestFit="1" customWidth="1"/>
    <col min="13" max="13" width="14" style="4" customWidth="1"/>
    <col min="14" max="23" width="11.375" style="4"/>
    <col min="24" max="24" width="11.75" style="4" bestFit="1" customWidth="1"/>
    <col min="25" max="25" width="14.625" style="4" bestFit="1" customWidth="1"/>
    <col min="26" max="26" width="12.375" style="4" bestFit="1" customWidth="1"/>
    <col min="27" max="27" width="9.75" style="4" bestFit="1" customWidth="1"/>
    <col min="28" max="28" width="11" style="4" bestFit="1" customWidth="1"/>
    <col min="29" max="29" width="9.375" style="4" bestFit="1" customWidth="1"/>
    <col min="30" max="31" width="9.375" style="4" customWidth="1"/>
    <col min="32" max="32" width="11.375" style="4"/>
    <col min="33" max="34" width="14" style="4" bestFit="1" customWidth="1"/>
    <col min="35" max="35" width="10.625" style="4" bestFit="1" customWidth="1"/>
    <col min="36" max="36" width="9.375" style="4" bestFit="1" customWidth="1"/>
    <col min="37" max="38" width="10.625" style="4" bestFit="1" customWidth="1"/>
    <col min="39" max="41" width="10.625" style="4" customWidth="1"/>
    <col min="42" max="42" width="9" style="4" bestFit="1" customWidth="1"/>
    <col min="43" max="43" width="10.625" style="4" bestFit="1" customWidth="1"/>
    <col min="44" max="44" width="9.25" style="4" bestFit="1" customWidth="1"/>
    <col min="45" max="45" width="11.75" style="4" bestFit="1" customWidth="1"/>
    <col min="46" max="46" width="8.375" style="4" bestFit="1" customWidth="1"/>
    <col min="47" max="47" width="9.375" style="4" bestFit="1" customWidth="1"/>
    <col min="48" max="48" width="9.75" style="4" bestFit="1" customWidth="1"/>
    <col min="49" max="49" width="11" style="4" bestFit="1" customWidth="1"/>
    <col min="50" max="50" width="9.375" style="4" bestFit="1" customWidth="1"/>
    <col min="51" max="52" width="9.375" style="4" customWidth="1"/>
    <col min="53" max="53" width="10.625" style="4" bestFit="1" customWidth="1"/>
    <col min="54" max="54" width="14.25" style="4" customWidth="1"/>
    <col min="55" max="55" width="14" style="4" customWidth="1"/>
    <col min="56" max="56" width="10.625" style="4" bestFit="1" customWidth="1"/>
    <col min="57" max="57" width="9.375" style="4" bestFit="1" customWidth="1"/>
    <col min="58" max="59" width="10.625" style="4" bestFit="1" customWidth="1"/>
    <col min="60" max="62" width="10.625" style="4" customWidth="1"/>
    <col min="63" max="63" width="9" style="4" bestFit="1" customWidth="1"/>
    <col min="64" max="64" width="10.625" style="4" bestFit="1" customWidth="1"/>
    <col min="65" max="65" width="9.25" style="4" bestFit="1" customWidth="1"/>
    <col min="66" max="66" width="11.75" style="4" bestFit="1" customWidth="1"/>
    <col min="67" max="67" width="8.375" style="4" bestFit="1" customWidth="1"/>
    <col min="68" max="68" width="9.375" style="4" bestFit="1" customWidth="1"/>
    <col min="69" max="69" width="9.75" style="4" bestFit="1" customWidth="1"/>
    <col min="70" max="70" width="11" style="4" bestFit="1" customWidth="1"/>
    <col min="71" max="71" width="9.375" style="4" bestFit="1" customWidth="1"/>
    <col min="72" max="73" width="9.375" style="4" customWidth="1"/>
    <col min="74" max="74" width="10.625" style="4" bestFit="1" customWidth="1"/>
    <col min="75" max="75" width="14" style="4" bestFit="1" customWidth="1"/>
    <col min="76" max="76" width="13.875" style="4" customWidth="1"/>
    <col min="77" max="77" width="10.625" style="4" bestFit="1" customWidth="1"/>
    <col min="78" max="78" width="9.375" style="4" bestFit="1" customWidth="1"/>
    <col min="79" max="80" width="10.625" style="4" bestFit="1" customWidth="1"/>
    <col min="81" max="83" width="10.625" style="4" customWidth="1"/>
    <col min="84" max="84" width="11.375" style="4"/>
    <col min="85" max="85" width="10.625" style="4" bestFit="1" customWidth="1"/>
    <col min="86" max="86" width="9.25" style="4" bestFit="1" customWidth="1"/>
    <col min="87" max="87" width="11.75" style="4" bestFit="1" customWidth="1"/>
    <col min="88" max="88" width="8.375" style="4" bestFit="1" customWidth="1"/>
    <col min="89" max="89" width="9.375" style="4" bestFit="1" customWidth="1"/>
    <col min="90" max="90" width="9.75" style="4" bestFit="1" customWidth="1"/>
    <col min="91" max="91" width="11" style="4" bestFit="1" customWidth="1"/>
    <col min="92" max="92" width="9.375" style="4" bestFit="1" customWidth="1"/>
    <col min="93" max="94" width="9.375" style="4" customWidth="1"/>
    <col min="95" max="95" width="11.375" style="4"/>
    <col min="96" max="97" width="14" style="4" customWidth="1"/>
    <col min="98" max="98" width="10.625" style="4" bestFit="1" customWidth="1"/>
    <col min="99" max="99" width="9.375" style="4" bestFit="1" customWidth="1"/>
    <col min="100" max="101" width="10.625" style="4" bestFit="1" customWidth="1"/>
    <col min="102" max="104" width="10.625" style="4" customWidth="1"/>
    <col min="105" max="105" width="9" style="4" bestFit="1" customWidth="1"/>
    <col min="106" max="106" width="10.625" style="4" bestFit="1" customWidth="1"/>
    <col min="107" max="107" width="9.25" style="4" bestFit="1" customWidth="1"/>
    <col min="108" max="108" width="11.75" style="4" bestFit="1" customWidth="1"/>
    <col min="109" max="109" width="8.375" style="4" bestFit="1" customWidth="1"/>
    <col min="110" max="110" width="9.375" style="4" bestFit="1" customWidth="1"/>
    <col min="111" max="111" width="9.75" style="4" bestFit="1" customWidth="1"/>
    <col min="112" max="112" width="11" style="4" bestFit="1" customWidth="1"/>
    <col min="113" max="113" width="9.375" style="4" bestFit="1" customWidth="1"/>
    <col min="114" max="115" width="9.375" style="4" customWidth="1"/>
    <col min="116" max="116" width="10.625" style="4" bestFit="1" customWidth="1"/>
    <col min="117" max="117" width="14.25" style="4" customWidth="1"/>
    <col min="118" max="118" width="14" style="4" bestFit="1" customWidth="1"/>
    <col min="119" max="119" width="10.625" style="4" bestFit="1" customWidth="1"/>
    <col min="120" max="120" width="9.375" style="4" bestFit="1" customWidth="1"/>
    <col min="121" max="122" width="10.625" style="4" bestFit="1" customWidth="1"/>
    <col min="123" max="125" width="10.625" style="4" customWidth="1"/>
    <col min="126" max="126" width="9" style="4" bestFit="1" customWidth="1"/>
    <col min="127" max="127" width="10.625" style="4" bestFit="1" customWidth="1"/>
    <col min="128" max="128" width="9.25" style="4" bestFit="1" customWidth="1"/>
    <col min="129" max="129" width="11.75" style="4" bestFit="1" customWidth="1"/>
    <col min="130" max="130" width="8.375" style="4" bestFit="1" customWidth="1"/>
    <col min="131" max="131" width="9.375" style="4" bestFit="1" customWidth="1"/>
    <col min="132" max="132" width="9.75" style="4" bestFit="1" customWidth="1"/>
    <col min="133" max="133" width="11" style="4" bestFit="1" customWidth="1"/>
    <col min="134" max="134" width="9.375" style="4" bestFit="1" customWidth="1"/>
    <col min="135" max="136" width="9.375" style="4" customWidth="1"/>
    <col min="137" max="137" width="10.625" style="4" bestFit="1" customWidth="1"/>
    <col min="138" max="139" width="14" style="4" customWidth="1"/>
    <col min="140" max="140" width="10.625" style="4" bestFit="1" customWidth="1"/>
    <col min="141" max="141" width="9.375" style="4" bestFit="1" customWidth="1"/>
    <col min="142" max="143" width="10.625" style="4" bestFit="1" customWidth="1"/>
    <col min="144" max="146" width="10.625" style="4" customWidth="1"/>
    <col min="147" max="147" width="9" style="4" bestFit="1" customWidth="1"/>
    <col min="148" max="148" width="10.625" style="4" bestFit="1" customWidth="1"/>
    <col min="149" max="149" width="9.25" style="4" bestFit="1" customWidth="1"/>
    <col min="150" max="150" width="11.75" style="4" bestFit="1" customWidth="1"/>
    <col min="151" max="151" width="8.375" style="4" bestFit="1" customWidth="1"/>
    <col min="152" max="152" width="9.375" style="4" bestFit="1" customWidth="1"/>
    <col min="153" max="153" width="9.75" style="4" bestFit="1" customWidth="1"/>
    <col min="154" max="154" width="11" style="4" bestFit="1" customWidth="1"/>
    <col min="155" max="155" width="9.375" style="4" bestFit="1" customWidth="1"/>
    <col min="156" max="157" width="9.375" style="4" customWidth="1"/>
    <col min="158" max="158" width="11.375" style="4"/>
    <col min="159" max="160" width="14" style="4" bestFit="1" customWidth="1"/>
    <col min="161" max="161" width="10.625" style="4" bestFit="1" customWidth="1"/>
    <col min="162" max="162" width="9.375" style="4" bestFit="1" customWidth="1"/>
    <col min="163" max="164" width="10.625" style="4" bestFit="1" customWidth="1"/>
    <col min="165" max="167" width="10.625" style="4" customWidth="1"/>
    <col min="168" max="168" width="9" style="4" bestFit="1" customWidth="1"/>
    <col min="169" max="169" width="10.625" style="4" bestFit="1" customWidth="1"/>
    <col min="170" max="170" width="9.25" style="4" bestFit="1" customWidth="1"/>
    <col min="171" max="171" width="11.75" style="4" bestFit="1" customWidth="1"/>
    <col min="172" max="172" width="8.125" style="4" bestFit="1" customWidth="1"/>
    <col min="173" max="173" width="9.375" style="4" bestFit="1" customWidth="1"/>
    <col min="174" max="174" width="9.75" style="4" bestFit="1" customWidth="1"/>
    <col min="175" max="175" width="11" style="4" bestFit="1" customWidth="1"/>
    <col min="176" max="176" width="9.375" style="4" bestFit="1" customWidth="1"/>
    <col min="177" max="178" width="9.375" style="4" customWidth="1"/>
    <col min="179" max="179" width="10.625" style="4" bestFit="1" customWidth="1"/>
    <col min="180" max="181" width="14" style="4" bestFit="1" customWidth="1"/>
    <col min="182" max="182" width="10.625" style="4" bestFit="1" customWidth="1"/>
    <col min="183" max="183" width="9.375" style="4" bestFit="1" customWidth="1"/>
    <col min="184" max="185" width="10.625" style="4" bestFit="1" customWidth="1"/>
    <col min="186" max="188" width="10.625" style="4" customWidth="1"/>
    <col min="189" max="189" width="9" style="4" bestFit="1" customWidth="1"/>
    <col min="190" max="190" width="10.625" style="4" bestFit="1" customWidth="1"/>
    <col min="191" max="191" width="9.25" style="4" bestFit="1" customWidth="1"/>
    <col min="192" max="192" width="11.375" style="4"/>
    <col min="193" max="193" width="8.375" style="4" bestFit="1" customWidth="1"/>
    <col min="194" max="194" width="9.375" style="4" bestFit="1" customWidth="1"/>
    <col min="195" max="195" width="9.75" style="4" bestFit="1" customWidth="1"/>
    <col min="196" max="196" width="11" style="4" bestFit="1" customWidth="1"/>
    <col min="197" max="197" width="9.375" style="4" bestFit="1" customWidth="1"/>
    <col min="198" max="199" width="9.375" style="4" customWidth="1"/>
    <col min="200" max="200" width="10.625" style="4" bestFit="1" customWidth="1"/>
    <col min="201" max="201" width="14" style="4" customWidth="1"/>
    <col min="202" max="202" width="14.25" style="4" customWidth="1"/>
    <col min="203" max="203" width="10.625" style="4" bestFit="1" customWidth="1"/>
    <col min="204" max="204" width="9.375" style="4" bestFit="1" customWidth="1"/>
    <col min="205" max="206" width="10.625" style="4" bestFit="1" customWidth="1"/>
    <col min="207" max="209" width="10.625" style="4" customWidth="1"/>
    <col min="210" max="210" width="9" style="4" bestFit="1" customWidth="1"/>
    <col min="211" max="211" width="10.625" style="4" bestFit="1" customWidth="1"/>
    <col min="212" max="212" width="9.25" style="4" bestFit="1" customWidth="1"/>
    <col min="213" max="213" width="11.75" style="4" bestFit="1" customWidth="1"/>
    <col min="214" max="214" width="8.375" style="4" bestFit="1" customWidth="1"/>
    <col min="215" max="215" width="9.375" style="4" bestFit="1" customWidth="1"/>
    <col min="216" max="216" width="9.75" style="4" bestFit="1" customWidth="1"/>
    <col min="217" max="217" width="11" style="4" bestFit="1" customWidth="1"/>
    <col min="218" max="218" width="9.375" style="4" bestFit="1" customWidth="1"/>
    <col min="219" max="16384" width="11.375" style="4"/>
  </cols>
  <sheetData>
    <row r="1" spans="1:218" ht="26.5" thickBot="1" x14ac:dyDescent="0.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sylvestre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ht="14.95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0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0</v>
      </c>
      <c r="S3" s="59">
        <f ca="1">AVERAGE(OFFSET($R$3,0,0,'Données projet'!$E$9+1,1))-AVERAGE(OFFSET($H$3,0,0,'Données projet'!$E$9+1,1))</f>
        <v>318.84317557630413</v>
      </c>
      <c r="T3" s="59">
        <f>IF('Données projet'!E9&gt;30,$R$33-$H$33,LOOKUP('Données projet'!$E$9,$A$3:$A$203,R3:R203)-LOOKUP('Données projet'!$E$9,$A$3:$A$203,$H$3:$H$203))</f>
        <v>211.80440891545263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0</v>
      </c>
      <c r="AN3" s="59">
        <f ca="1">AVERAGE(OFFSET($AM$3,0,0,'Données projet'!$E$10+1,1))-AVERAGE(OFFSET($H$3,0,0,'Données projet'!$E$10+1,1))</f>
        <v>302.26866345315602</v>
      </c>
      <c r="AO3" s="59">
        <f>IF('Données projet'!E10&gt;30,$AM$33-$H$33,LOOKUP('Données projet'!$E$10,$A$3:$A$203,AM3:AM203)-LOOKUP('Données projet'!$E$10,$A$3:$A$203,$H$3:$H$203))</f>
        <v>229.97213730997649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ht="14.95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0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4.8636363636363633</v>
      </c>
      <c r="N4" s="13">
        <f>IF('Données projet'!$A$36&gt;35,N3+M4-V3,IF(A4&lt;'Données projet'!$A$36,$K$205^A4,IF(A4='Données projet'!$A$36,'Données projet'!$B$36,N3+M4-V3)))</f>
        <v>1.2366440639531338</v>
      </c>
      <c r="O4" s="13">
        <f>N4*VLOOKUP('Données projet'!$B$9,Paramètres!$A$1:$I$89,3,0)*VLOOKUP('Données projet'!$B$9,Paramètres!$A$1:$I$89,5,0)</f>
        <v>0.73951315024397413</v>
      </c>
      <c r="P4" s="13">
        <f>EXP(-1.0587+0.8836*LN(O4)+0.284)</f>
        <v>0.35298208423188321</v>
      </c>
      <c r="Q4" s="20">
        <f t="shared" ref="Q4:Q34" si="2">(O4+P4)*0.475*44/12</f>
        <v>1.9027625333787848</v>
      </c>
      <c r="R4" s="59">
        <f t="shared" si="0"/>
        <v>1.9027625333787848</v>
      </c>
      <c r="S4" s="59">
        <f ca="1">AVERAGE(OFFSET($R$3,0,0,'Données projet'!$E$9+1,1))-AVERAGE(OFFSET($H$3,0,0,'Données projet'!$E$9+1,1))</f>
        <v>318.84317557630413</v>
      </c>
      <c r="T4" s="59">
        <f>$T$3</f>
        <v>211.80440891545263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3.8181818181818183</v>
      </c>
      <c r="AI4" s="13">
        <f>IF('Données projet'!$A$62&gt;35,AI3+AH4-AQ3,IF(A4&lt;'Données projet'!$A$62,$AF$205^A4,IF(A4='Données projet'!$A$62,'Données projet'!$B$62,AI3+AH4-AQ3)))</f>
        <v>1.2231148535053959</v>
      </c>
      <c r="AJ4" s="13">
        <f>AI4*VLOOKUP('Données projet'!$B$10,Paramètres!$A$1:$I$89,3,0)*VLOOKUP('Données projet'!$B$10,Paramètres!$A$1:$I$89,5,0)</f>
        <v>0.69962169620508652</v>
      </c>
      <c r="AK4" s="13">
        <f>EXP(-1.0587+0.8836*LN(AJ4)+0.284)</f>
        <v>0.33610366593941898</v>
      </c>
      <c r="AL4" s="20">
        <f t="shared" ref="AL4:AL67" si="4">(AJ4+AK4)*0.475*44/12</f>
        <v>1.8038883390683471</v>
      </c>
      <c r="AM4" s="59">
        <f t="shared" ref="AM4:AM67" si="5">AL4+(AD4+AE4)*44/12</f>
        <v>1.8038883390683471</v>
      </c>
      <c r="AN4" s="59">
        <f ca="1">AVERAGE(OFFSET($AM$3,0,0,'Données projet'!$E$10+1,1))-AVERAGE(OFFSET($H$3,0,0,'Données projet'!$E$10+1,1))</f>
        <v>302.26866345315602</v>
      </c>
      <c r="AO4" s="59">
        <f>$AO$3</f>
        <v>229.97213730997649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ht="14.95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0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4.8636363636363633</v>
      </c>
      <c r="N5" s="13">
        <f>IF('Données projet'!$A$36&gt;35,N4+M5-V4,IF(A5&lt;'Données projet'!$A$36,$K$205^A5,IF(A5='Données projet'!$A$36,'Données projet'!$B$36,N4+M5-V4)))</f>
        <v>1.5292885409105224</v>
      </c>
      <c r="O5" s="13">
        <f>N5*VLOOKUP('Données projet'!$B$9,Paramètres!$A$1:$I$89,3,0)*VLOOKUP('Données projet'!$B$9,Paramètres!$A$1:$I$89,5,0)</f>
        <v>0.91451454746449234</v>
      </c>
      <c r="P5" s="13">
        <f t="shared" ref="P5:P68" si="33">EXP(-1.0587+0.8836*LN(O5)+0.284)</f>
        <v>0.42585337669339779</v>
      </c>
      <c r="Q5" s="20">
        <f t="shared" si="2"/>
        <v>2.3344741345749918</v>
      </c>
      <c r="R5" s="59">
        <f t="shared" si="0"/>
        <v>2.3344741345749918</v>
      </c>
      <c r="S5" s="59">
        <f ca="1">AVERAGE(OFFSET($R$3,0,0,'Données projet'!$E$9+1,1))-AVERAGE(OFFSET($H$3,0,0,'Données projet'!$E$9+1,1))</f>
        <v>318.84317557630413</v>
      </c>
      <c r="T5" s="59">
        <f t="shared" ref="T5:T68" si="34">$T$3</f>
        <v>211.80440891545263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3.8181818181818183</v>
      </c>
      <c r="AI5" s="13">
        <f>IF('Données projet'!$A$62&gt;35,AI4+AH5-AQ4,IF(A5&lt;'Données projet'!$A$62,$AF$205^A5,IF(A5='Données projet'!$A$62,'Données projet'!$B$62,AI4+AH5-AQ4)))</f>
        <v>1.4960099448655262</v>
      </c>
      <c r="AJ5" s="13">
        <f>AI5*VLOOKUP('Données projet'!$B$10,Paramètres!$A$1:$I$89,3,0)*VLOOKUP('Données projet'!$B$10,Paramètres!$A$1:$I$89,5,0)</f>
        <v>0.85571768846308094</v>
      </c>
      <c r="AK5" s="13">
        <f t="shared" ref="AK5:AK68" si="35">EXP(-1.0587+0.8836*LN(AJ5)+0.284)</f>
        <v>0.40156818983492421</v>
      </c>
      <c r="AL5" s="20">
        <f t="shared" si="4"/>
        <v>2.1897729047023593</v>
      </c>
      <c r="AM5" s="59">
        <f t="shared" si="5"/>
        <v>2.1897729047023593</v>
      </c>
      <c r="AN5" s="59">
        <f ca="1">AVERAGE(OFFSET($AM$3,0,0,'Données projet'!$E$10+1,1))-AVERAGE(OFFSET($H$3,0,0,'Données projet'!$E$10+1,1))</f>
        <v>302.26866345315602</v>
      </c>
      <c r="AO5" s="59">
        <f t="shared" ref="AO5:AO68" si="36">$AO$3</f>
        <v>229.97213730997649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ht="14.95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0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4.8636363636363633</v>
      </c>
      <c r="N6" s="13">
        <f>IF('Données projet'!$A$36&gt;35,N5+M6-V5,IF(A6&lt;'Données projet'!$A$36,$K$205^A6,IF(A6='Données projet'!$A$36,'Données projet'!$B$36,N5+M6-V5)))</f>
        <v>1.8911855961885466</v>
      </c>
      <c r="O6" s="13">
        <f>N6*VLOOKUP('Données projet'!$B$9,Paramètres!$A$1:$I$89,3,0)*VLOOKUP('Données projet'!$B$9,Paramètres!$A$1:$I$89,5,0)</f>
        <v>1.130928986520751</v>
      </c>
      <c r="P6" s="13">
        <f t="shared" si="33"/>
        <v>0.5137685637383077</v>
      </c>
      <c r="Q6" s="20">
        <f t="shared" si="2"/>
        <v>2.8645149000345267</v>
      </c>
      <c r="R6" s="59">
        <f t="shared" si="0"/>
        <v>2.8645149000345267</v>
      </c>
      <c r="S6" s="59">
        <f ca="1">AVERAGE(OFFSET($R$3,0,0,'Données projet'!$E$9+1,1))-AVERAGE(OFFSET($H$3,0,0,'Données projet'!$E$9+1,1))</f>
        <v>318.84317557630413</v>
      </c>
      <c r="T6" s="59">
        <f t="shared" si="34"/>
        <v>211.80440891545263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3.8181818181818183</v>
      </c>
      <c r="AI6" s="13">
        <f>IF('Données projet'!$A$62&gt;35,AI5+AH6-AQ5,IF(A6&lt;'Données projet'!$A$62,$AF$205^A6,IF(A6='Données projet'!$A$62,'Données projet'!$B$62,AI5+AH6-AQ5)))</f>
        <v>1.8297919845568136</v>
      </c>
      <c r="AJ6" s="13">
        <f>AI6*VLOOKUP('Données projet'!$B$10,Paramètres!$A$1:$I$89,3,0)*VLOOKUP('Données projet'!$B$10,Paramètres!$A$1:$I$89,5,0)</f>
        <v>1.0466410151664975</v>
      </c>
      <c r="AK6" s="13">
        <f t="shared" si="35"/>
        <v>0.47978355319802907</v>
      </c>
      <c r="AL6" s="20">
        <f t="shared" si="4"/>
        <v>2.6585227899015504</v>
      </c>
      <c r="AM6" s="59">
        <f t="shared" si="5"/>
        <v>2.6585227899015504</v>
      </c>
      <c r="AN6" s="59">
        <f ca="1">AVERAGE(OFFSET($AM$3,0,0,'Données projet'!$E$10+1,1))-AVERAGE(OFFSET($H$3,0,0,'Données projet'!$E$10+1,1))</f>
        <v>302.26866345315602</v>
      </c>
      <c r="AO6" s="59">
        <f t="shared" si="36"/>
        <v>229.97213730997649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ht="14.95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0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4.8636363636363633</v>
      </c>
      <c r="N7" s="13">
        <f>IF('Données projet'!$A$36&gt;35,N6+M7-V6,IF(A7&lt;'Données projet'!$A$36,$K$205^A7,IF(A7='Données projet'!$A$36,'Données projet'!$B$36,N6+M7-V6)))</f>
        <v>2.3387234413602345</v>
      </c>
      <c r="O7" s="13">
        <f>N7*VLOOKUP('Données projet'!$B$9,Paramètres!$A$1:$I$89,3,0)*VLOOKUP('Données projet'!$B$9,Paramètres!$A$1:$I$89,5,0)</f>
        <v>1.3985566179334201</v>
      </c>
      <c r="P7" s="13">
        <f t="shared" si="33"/>
        <v>0.6198333781811618</v>
      </c>
      <c r="Q7" s="20">
        <f t="shared" si="2"/>
        <v>3.5153625765662295</v>
      </c>
      <c r="R7" s="59">
        <f t="shared" si="0"/>
        <v>3.5153625765662295</v>
      </c>
      <c r="S7" s="59">
        <f ca="1">AVERAGE(OFFSET($R$3,0,0,'Données projet'!$E$9+1,1))-AVERAGE(OFFSET($H$3,0,0,'Données projet'!$E$9+1,1))</f>
        <v>318.84317557630413</v>
      </c>
      <c r="T7" s="59">
        <f t="shared" si="34"/>
        <v>211.80440891545263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3.8181818181818183</v>
      </c>
      <c r="AI7" s="13">
        <f>IF('Données projet'!$A$62&gt;35,AI6+AH7-AQ6,IF(A7&lt;'Données projet'!$A$62,$AF$205^A7,IF(A7='Données projet'!$A$62,'Données projet'!$B$62,AI6+AH7-AQ6)))</f>
        <v>2.2380457551365547</v>
      </c>
      <c r="AJ7" s="13">
        <f>AI7*VLOOKUP('Données projet'!$B$10,Paramètres!$A$1:$I$89,3,0)*VLOOKUP('Données projet'!$B$10,Paramètres!$A$1:$I$89,5,0)</f>
        <v>1.2801621719381093</v>
      </c>
      <c r="AK7" s="13">
        <f t="shared" si="35"/>
        <v>0.57323329822004276</v>
      </c>
      <c r="AL7" s="20">
        <f t="shared" si="4"/>
        <v>3.2279971105254481</v>
      </c>
      <c r="AM7" s="59">
        <f t="shared" si="5"/>
        <v>3.2279971105254481</v>
      </c>
      <c r="AN7" s="59">
        <f ca="1">AVERAGE(OFFSET($AM$3,0,0,'Données projet'!$E$10+1,1))-AVERAGE(OFFSET($H$3,0,0,'Données projet'!$E$10+1,1))</f>
        <v>302.26866345315602</v>
      </c>
      <c r="AO7" s="59">
        <f t="shared" si="36"/>
        <v>229.97213730997649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ht="14.95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0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4.8636363636363633</v>
      </c>
      <c r="N8" s="13">
        <f>IF('Données projet'!$A$36&gt;35,N7+M8-V7,IF(A8&lt;'Données projet'!$A$36,$K$205^A8,IF(A8='Données projet'!$A$36,'Données projet'!$B$36,N7+M8-V7)))</f>
        <v>2.8921684609861789</v>
      </c>
      <c r="O8" s="13">
        <f>N8*VLOOKUP('Données projet'!$B$9,Paramètres!$A$1:$I$89,3,0)*VLOOKUP('Données projet'!$B$9,Paramètres!$A$1:$I$89,5,0)</f>
        <v>1.7295167396697351</v>
      </c>
      <c r="P8" s="13">
        <f t="shared" si="33"/>
        <v>0.74779471502106798</v>
      </c>
      <c r="Q8" s="20">
        <f t="shared" si="2"/>
        <v>4.3146507835864822</v>
      </c>
      <c r="R8" s="59">
        <f t="shared" si="0"/>
        <v>4.3146507835864822</v>
      </c>
      <c r="S8" s="59">
        <f ca="1">AVERAGE(OFFSET($R$3,0,0,'Données projet'!$E$9+1,1))-AVERAGE(OFFSET($H$3,0,0,'Données projet'!$E$9+1,1))</f>
        <v>318.84317557630413</v>
      </c>
      <c r="T8" s="59">
        <f t="shared" si="34"/>
        <v>211.80440891545263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3.8181818181818183</v>
      </c>
      <c r="AI8" s="13">
        <f>IF('Données projet'!$A$62&gt;35,AI7+AH8-AQ7,IF(A8&lt;'Données projet'!$A$62,$AF$205^A8,IF(A8='Données projet'!$A$62,'Données projet'!$B$62,AI7+AH8-AQ7)))</f>
        <v>2.7373870059322205</v>
      </c>
      <c r="AJ8" s="13">
        <f>AI8*VLOOKUP('Données projet'!$B$10,Paramètres!$A$1:$I$89,3,0)*VLOOKUP('Données projet'!$B$10,Paramètres!$A$1:$I$89,5,0)</f>
        <v>1.5657853673932303</v>
      </c>
      <c r="AK8" s="13">
        <f t="shared" si="35"/>
        <v>0.68488469852279721</v>
      </c>
      <c r="AL8" s="20">
        <f t="shared" si="4"/>
        <v>3.919917031470415</v>
      </c>
      <c r="AM8" s="59">
        <f t="shared" si="5"/>
        <v>3.919917031470415</v>
      </c>
      <c r="AN8" s="59">
        <f ca="1">AVERAGE(OFFSET($AM$3,0,0,'Données projet'!$E$10+1,1))-AVERAGE(OFFSET($H$3,0,0,'Données projet'!$E$10+1,1))</f>
        <v>302.26866345315602</v>
      </c>
      <c r="AO8" s="59">
        <f t="shared" si="36"/>
        <v>229.97213730997649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ht="14.95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0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4.8636363636363633</v>
      </c>
      <c r="N9" s="13">
        <f>IF('Données projet'!$A$36&gt;35,N8+M9-V8,IF(A9&lt;'Données projet'!$A$36,$K$205^A9,IF(A9='Données projet'!$A$36,'Données projet'!$B$36,N8+M9-V8)))</f>
        <v>3.5765829592310285</v>
      </c>
      <c r="O9" s="13">
        <f>N9*VLOOKUP('Données projet'!$B$9,Paramètres!$A$1:$I$89,3,0)*VLOOKUP('Données projet'!$B$9,Paramètres!$A$1:$I$89,5,0)</f>
        <v>2.1387966096201549</v>
      </c>
      <c r="P9" s="13">
        <f t="shared" si="33"/>
        <v>0.90217299599829037</v>
      </c>
      <c r="Q9" s="20">
        <f t="shared" si="2"/>
        <v>5.2963553964521255</v>
      </c>
      <c r="R9" s="59">
        <f t="shared" si="0"/>
        <v>5.2963553964521255</v>
      </c>
      <c r="S9" s="59">
        <f ca="1">AVERAGE(OFFSET($R$3,0,0,'Données projet'!$E$9+1,1))-AVERAGE(OFFSET($H$3,0,0,'Données projet'!$E$9+1,1))</f>
        <v>318.84317557630413</v>
      </c>
      <c r="T9" s="59">
        <f t="shared" si="34"/>
        <v>211.80440891545263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3.8181818181818183</v>
      </c>
      <c r="AI9" s="13">
        <f>IF('Données projet'!$A$62&gt;35,AI8+AH9-AQ8,IF(A9&lt;'Données projet'!$A$62,$AF$205^A9,IF(A9='Données projet'!$A$62,'Données projet'!$B$62,AI8+AH9-AQ8)))</f>
        <v>3.3481387067483621</v>
      </c>
      <c r="AJ9" s="13">
        <f>AI9*VLOOKUP('Données projet'!$B$10,Paramètres!$A$1:$I$89,3,0)*VLOOKUP('Données projet'!$B$10,Paramètres!$A$1:$I$89,5,0)</f>
        <v>1.9151353402600633</v>
      </c>
      <c r="AK9" s="13">
        <f t="shared" si="35"/>
        <v>0.81828297785067872</v>
      </c>
      <c r="AL9" s="20">
        <f t="shared" si="4"/>
        <v>4.7607035707095422</v>
      </c>
      <c r="AM9" s="59">
        <f t="shared" si="5"/>
        <v>4.7607035707095422</v>
      </c>
      <c r="AN9" s="59">
        <f ca="1">AVERAGE(OFFSET($AM$3,0,0,'Données projet'!$E$10+1,1))-AVERAGE(OFFSET($H$3,0,0,'Données projet'!$E$10+1,1))</f>
        <v>302.26866345315602</v>
      </c>
      <c r="AO9" s="59">
        <f t="shared" si="36"/>
        <v>229.97213730997649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ht="14.95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0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4.8636363636363633</v>
      </c>
      <c r="N10" s="13">
        <f>IF('Données projet'!$A$36&gt;35,N9+M10-V9,IF(A10&lt;'Données projet'!$A$36,$K$205^A10,IF(A10='Données projet'!$A$36,'Données projet'!$B$36,N9+M10-V9)))</f>
        <v>4.4229600857689846</v>
      </c>
      <c r="O10" s="13">
        <f>N10*VLOOKUP('Données projet'!$B$9,Paramètres!$A$1:$I$89,3,0)*VLOOKUP('Données projet'!$B$9,Paramètres!$A$1:$I$89,5,0)</f>
        <v>2.6449301312898532</v>
      </c>
      <c r="P10" s="13">
        <f t="shared" si="33"/>
        <v>1.088421860116517</v>
      </c>
      <c r="Q10" s="20">
        <f t="shared" si="2"/>
        <v>6.5022547183660953</v>
      </c>
      <c r="R10" s="59">
        <f t="shared" si="0"/>
        <v>6.5022547183660953</v>
      </c>
      <c r="S10" s="59">
        <f ca="1">AVERAGE(OFFSET($R$3,0,0,'Données projet'!$E$9+1,1))-AVERAGE(OFFSET($H$3,0,0,'Données projet'!$E$9+1,1))</f>
        <v>318.84317557630413</v>
      </c>
      <c r="T10" s="59">
        <f t="shared" si="34"/>
        <v>211.80440891545263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3.8181818181818183</v>
      </c>
      <c r="AI10" s="13">
        <f>IF('Données projet'!$A$62&gt;35,AI9+AH10-AQ9,IF(A10&lt;'Données projet'!$A$62,$AF$205^A10,IF(A10='Données projet'!$A$62,'Données projet'!$B$62,AI9+AH10-AQ9)))</f>
        <v>4.0951581838202689</v>
      </c>
      <c r="AJ10" s="13">
        <f>AI10*VLOOKUP('Données projet'!$B$10,Paramètres!$A$1:$I$89,3,0)*VLOOKUP('Données projet'!$B$10,Paramètres!$A$1:$I$89,5,0)</f>
        <v>2.3424304811451937</v>
      </c>
      <c r="AK10" s="13">
        <f t="shared" si="35"/>
        <v>0.97766388018944239</v>
      </c>
      <c r="AL10" s="20">
        <f t="shared" si="4"/>
        <v>5.7824976793244902</v>
      </c>
      <c r="AM10" s="59">
        <f t="shared" si="5"/>
        <v>5.7824976793244902</v>
      </c>
      <c r="AN10" s="59">
        <f ca="1">AVERAGE(OFFSET($AM$3,0,0,'Données projet'!$E$10+1,1))-AVERAGE(OFFSET($H$3,0,0,'Données projet'!$E$10+1,1))</f>
        <v>302.26866345315602</v>
      </c>
      <c r="AO10" s="59">
        <f t="shared" si="36"/>
        <v>229.97213730997649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ht="14.95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0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4.8636363636363633</v>
      </c>
      <c r="N11" s="13">
        <f>IF('Données projet'!$A$36&gt;35,N10+M11-V10,IF(A11&lt;'Données projet'!$A$36,$K$205^A11,IF(A11='Données projet'!$A$36,'Données projet'!$B$36,N10+M11-V10)))</f>
        <v>5.4696273351678579</v>
      </c>
      <c r="O11" s="13">
        <f>N11*VLOOKUP('Données projet'!$B$9,Paramètres!$A$1:$I$89,3,0)*VLOOKUP('Données projet'!$B$9,Paramètres!$A$1:$I$89,5,0)</f>
        <v>3.2708371464303791</v>
      </c>
      <c r="P11" s="13">
        <f t="shared" si="33"/>
        <v>1.3131208214325043</v>
      </c>
      <c r="Q11" s="20">
        <f t="shared" si="2"/>
        <v>7.9837267940278549</v>
      </c>
      <c r="R11" s="59">
        <f t="shared" si="0"/>
        <v>7.9837267940278549</v>
      </c>
      <c r="S11" s="59">
        <f ca="1">AVERAGE(OFFSET($R$3,0,0,'Données projet'!$E$9+1,1))-AVERAGE(OFFSET($H$3,0,0,'Données projet'!$E$9+1,1))</f>
        <v>318.84317557630413</v>
      </c>
      <c r="T11" s="59">
        <f t="shared" si="34"/>
        <v>211.80440891545263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3.8181818181818183</v>
      </c>
      <c r="AI11" s="13">
        <f>IF('Données projet'!$A$62&gt;35,AI10+AH11-AQ10,IF(A11&lt;'Données projet'!$A$62,$AF$205^A11,IF(A11='Données projet'!$A$62,'Données projet'!$B$62,AI10+AH11-AQ10)))</f>
        <v>5.008848802084751</v>
      </c>
      <c r="AJ11" s="13">
        <f>AI11*VLOOKUP('Données projet'!$B$10,Paramètres!$A$1:$I$89,3,0)*VLOOKUP('Données projet'!$B$10,Paramètres!$A$1:$I$89,5,0)</f>
        <v>2.8650615147924778</v>
      </c>
      <c r="AK11" s="13">
        <f t="shared" si="35"/>
        <v>1.1680881657072633</v>
      </c>
      <c r="AL11" s="20">
        <f t="shared" si="4"/>
        <v>7.0244023602037151</v>
      </c>
      <c r="AM11" s="59">
        <f t="shared" si="5"/>
        <v>7.0244023602037151</v>
      </c>
      <c r="AN11" s="59">
        <f ca="1">AVERAGE(OFFSET($AM$3,0,0,'Données projet'!$E$10+1,1))-AVERAGE(OFFSET($H$3,0,0,'Données projet'!$E$10+1,1))</f>
        <v>302.26866345315602</v>
      </c>
      <c r="AO11" s="59">
        <f t="shared" si="36"/>
        <v>229.97213730997649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ht="14.95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0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4.8636363636363633</v>
      </c>
      <c r="N12" s="13">
        <f>IF('Données projet'!$A$36&gt;35,N11+M12-V11,IF(A12&lt;'Données projet'!$A$36,$K$205^A12,IF(A12='Données projet'!$A$36,'Données projet'!$B$36,N11+M12-V11)))</f>
        <v>6.7639821760711287</v>
      </c>
      <c r="O12" s="13">
        <f>N12*VLOOKUP('Données projet'!$B$9,Paramètres!$A$1:$I$89,3,0)*VLOOKUP('Données projet'!$B$9,Paramètres!$A$1:$I$89,5,0)</f>
        <v>4.0448613412905354</v>
      </c>
      <c r="P12" s="13">
        <f t="shared" si="33"/>
        <v>1.5842077000318497</v>
      </c>
      <c r="Q12" s="20">
        <f t="shared" si="2"/>
        <v>9.8039619136364866</v>
      </c>
      <c r="R12" s="59">
        <f t="shared" si="0"/>
        <v>9.8039619136364866</v>
      </c>
      <c r="S12" s="59">
        <f ca="1">AVERAGE(OFFSET($R$3,0,0,'Données projet'!$E$9+1,1))-AVERAGE(OFFSET($H$3,0,0,'Données projet'!$E$9+1,1))</f>
        <v>318.84317557630413</v>
      </c>
      <c r="T12" s="59">
        <f t="shared" si="34"/>
        <v>211.80440891545263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3.8181818181818183</v>
      </c>
      <c r="AI12" s="13">
        <f>IF('Données projet'!$A$62&gt;35,AI11+AH12-AQ11,IF(A12&lt;'Données projet'!$A$62,$AF$205^A12,IF(A12='Données projet'!$A$62,'Données projet'!$B$62,AI11+AH12-AQ11)))</f>
        <v>6.1263973687925679</v>
      </c>
      <c r="AJ12" s="13">
        <f>AI12*VLOOKUP('Données projet'!$B$10,Paramètres!$A$1:$I$89,3,0)*VLOOKUP('Données projet'!$B$10,Paramètres!$A$1:$I$89,5,0)</f>
        <v>3.504299294949349</v>
      </c>
      <c r="AK12" s="13">
        <f t="shared" si="35"/>
        <v>1.3956023031156395</v>
      </c>
      <c r="AL12" s="20">
        <f t="shared" si="4"/>
        <v>8.5339952832965214</v>
      </c>
      <c r="AM12" s="59">
        <f t="shared" si="5"/>
        <v>8.5339952832965214</v>
      </c>
      <c r="AN12" s="59">
        <f ca="1">AVERAGE(OFFSET($AM$3,0,0,'Données projet'!$E$10+1,1))-AVERAGE(OFFSET($H$3,0,0,'Données projet'!$E$10+1,1))</f>
        <v>302.26866345315602</v>
      </c>
      <c r="AO12" s="59">
        <f t="shared" si="36"/>
        <v>229.97213730997649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ht="14.95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0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4.8636363636363633</v>
      </c>
      <c r="N13" s="13">
        <f>IF('Données projet'!$A$36&gt;35,N12+M13-V12,IF(A13&lt;'Données projet'!$A$36,$K$205^A13,IF(A13='Données projet'!$A$36,'Données projet'!$B$36,N12+M13-V12)))</f>
        <v>8.3646384067231629</v>
      </c>
      <c r="O13" s="13">
        <f>N13*VLOOKUP('Données projet'!$B$9,Paramètres!$A$1:$I$89,3,0)*VLOOKUP('Données projet'!$B$9,Paramètres!$A$1:$I$89,5,0)</f>
        <v>5.0020537672204517</v>
      </c>
      <c r="P13" s="13">
        <f t="shared" si="33"/>
        <v>1.9112590371557101</v>
      </c>
      <c r="Q13" s="20">
        <f t="shared" si="2"/>
        <v>12.040686467621816</v>
      </c>
      <c r="R13" s="59">
        <f t="shared" si="0"/>
        <v>12.040686467621816</v>
      </c>
      <c r="S13" s="59">
        <f ca="1">AVERAGE(OFFSET($R$3,0,0,'Données projet'!$E$9+1,1))-AVERAGE(OFFSET($H$3,0,0,'Données projet'!$E$9+1,1))</f>
        <v>318.84317557630413</v>
      </c>
      <c r="T13" s="59">
        <f t="shared" si="34"/>
        <v>211.80440891545263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3.8181818181818183</v>
      </c>
      <c r="AI13" s="13">
        <f>IF('Données projet'!$A$62&gt;35,AI12+AH13-AQ12,IF(A13&lt;'Données projet'!$A$62,$AF$205^A13,IF(A13='Données projet'!$A$62,'Données projet'!$B$62,AI12+AH13-AQ12)))</f>
        <v>7.4932876202465657</v>
      </c>
      <c r="AJ13" s="13">
        <f>AI13*VLOOKUP('Données projet'!$B$10,Paramètres!$A$1:$I$89,3,0)*VLOOKUP('Données projet'!$B$10,Paramètres!$A$1:$I$89,5,0)</f>
        <v>4.2861605187810357</v>
      </c>
      <c r="AK13" s="13">
        <f t="shared" si="35"/>
        <v>1.6674304608525559</v>
      </c>
      <c r="AL13" s="20">
        <f t="shared" si="4"/>
        <v>10.369170956195171</v>
      </c>
      <c r="AM13" s="59">
        <f t="shared" si="5"/>
        <v>10.369170956195171</v>
      </c>
      <c r="AN13" s="59">
        <f ca="1">AVERAGE(OFFSET($AM$3,0,0,'Données projet'!$E$10+1,1))-AVERAGE(OFFSET($H$3,0,0,'Données projet'!$E$10+1,1))</f>
        <v>302.26866345315602</v>
      </c>
      <c r="AO13" s="59">
        <f t="shared" si="36"/>
        <v>229.97213730997649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ht="14.95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0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4.8636363636363633</v>
      </c>
      <c r="N14" s="13">
        <f>IF('Données projet'!$A$36&gt;35,N13+M14-V13,IF(A14&lt;'Données projet'!$A$36,$K$205^A14,IF(A14='Données projet'!$A$36,'Données projet'!$B$36,N13+M14-V13)))</f>
        <v>10.344080432788598</v>
      </c>
      <c r="O14" s="13">
        <f>N14*VLOOKUP('Données projet'!$B$9,Paramètres!$A$1:$I$89,3,0)*VLOOKUP('Données projet'!$B$9,Paramètres!$A$1:$I$89,5,0)</f>
        <v>6.1857600988075827</v>
      </c>
      <c r="P14" s="13">
        <f t="shared" si="33"/>
        <v>2.3058284005537484</v>
      </c>
      <c r="Q14" s="20">
        <f t="shared" si="2"/>
        <v>14.789516636387651</v>
      </c>
      <c r="R14" s="59">
        <f t="shared" si="0"/>
        <v>14.789516636387651</v>
      </c>
      <c r="S14" s="59">
        <f ca="1">AVERAGE(OFFSET($R$3,0,0,'Données projet'!$E$9+1,1))-AVERAGE(OFFSET($H$3,0,0,'Données projet'!$E$9+1,1))</f>
        <v>318.84317557630413</v>
      </c>
      <c r="T14" s="59">
        <f t="shared" si="34"/>
        <v>211.80440891545263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3.8181818181818183</v>
      </c>
      <c r="AI14" s="13">
        <f>IF('Données projet'!$A$62&gt;35,AI13+AH14-AQ13,IF(A14&lt;'Données projet'!$A$62,$AF$205^A14,IF(A14='Données projet'!$A$62,'Données projet'!$B$62,AI13+AH14-AQ13)))</f>
        <v>9.1651513899116743</v>
      </c>
      <c r="AJ14" s="13">
        <f>AI14*VLOOKUP('Données projet'!$B$10,Paramètres!$A$1:$I$89,3,0)*VLOOKUP('Données projet'!$B$10,Paramètres!$A$1:$I$89,5,0)</f>
        <v>5.2424665950294775</v>
      </c>
      <c r="AK14" s="13">
        <f t="shared" si="35"/>
        <v>1.9922038933097028</v>
      </c>
      <c r="AL14" s="20">
        <f t="shared" si="4"/>
        <v>12.600384433857405</v>
      </c>
      <c r="AM14" s="59">
        <f t="shared" si="5"/>
        <v>12.600384433857405</v>
      </c>
      <c r="AN14" s="59">
        <f ca="1">AVERAGE(OFFSET($AM$3,0,0,'Données projet'!$E$10+1,1))-AVERAGE(OFFSET($H$3,0,0,'Données projet'!$E$10+1,1))</f>
        <v>302.26866345315602</v>
      </c>
      <c r="AO14" s="59">
        <f t="shared" si="36"/>
        <v>229.97213730997649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ht="14.95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0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4.8636363636363633</v>
      </c>
      <c r="N15" s="13">
        <f>IF('Données projet'!$A$36&gt;35,N14+M15-V14,IF(A15&lt;'Données projet'!$A$36,$K$205^A15,IF(A15='Données projet'!$A$36,'Données projet'!$B$36,N14+M15-V14)))</f>
        <v>12.791945664261782</v>
      </c>
      <c r="O15" s="13">
        <f>N15*VLOOKUP('Données projet'!$B$9,Paramètres!$A$1:$I$89,3,0)*VLOOKUP('Données projet'!$B$9,Paramètres!$A$1:$I$89,5,0)</f>
        <v>7.6495835072285452</v>
      </c>
      <c r="P15" s="13">
        <f t="shared" si="33"/>
        <v>2.7818545311956537</v>
      </c>
      <c r="Q15" s="20">
        <f t="shared" si="2"/>
        <v>18.168087916922143</v>
      </c>
      <c r="R15" s="59">
        <f t="shared" si="0"/>
        <v>18.168087916922143</v>
      </c>
      <c r="S15" s="59">
        <f ca="1">AVERAGE(OFFSET($R$3,0,0,'Données projet'!$E$9+1,1))-AVERAGE(OFFSET($H$3,0,0,'Données projet'!$E$9+1,1))</f>
        <v>318.84317557630413</v>
      </c>
      <c r="T15" s="59">
        <f t="shared" si="34"/>
        <v>211.80440891545263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3.8181818181818183</v>
      </c>
      <c r="AI15" s="13">
        <f>IF('Données projet'!$A$62&gt;35,AI14+AH15-AQ14,IF(A15&lt;'Données projet'!$A$62,$AF$205^A15,IF(A15='Données projet'!$A$62,'Données projet'!$B$62,AI14+AH15-AQ14)))</f>
        <v>11.210032799626594</v>
      </c>
      <c r="AJ15" s="13">
        <f>AI15*VLOOKUP('Données projet'!$B$10,Paramètres!$A$1:$I$89,3,0)*VLOOKUP('Données projet'!$B$10,Paramètres!$A$1:$I$89,5,0)</f>
        <v>6.4121387613864131</v>
      </c>
      <c r="AK15" s="13">
        <f t="shared" si="35"/>
        <v>2.3802350057159547</v>
      </c>
      <c r="AL15" s="20">
        <f t="shared" si="4"/>
        <v>15.313384311036627</v>
      </c>
      <c r="AM15" s="59">
        <f t="shared" si="5"/>
        <v>15.313384311036627</v>
      </c>
      <c r="AN15" s="59">
        <f ca="1">AVERAGE(OFFSET($AM$3,0,0,'Données projet'!$E$10+1,1))-AVERAGE(OFFSET($H$3,0,0,'Données projet'!$E$10+1,1))</f>
        <v>302.26866345315602</v>
      </c>
      <c r="AO15" s="59">
        <f t="shared" si="36"/>
        <v>229.97213730997649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ht="14.95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0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4.8636363636363633</v>
      </c>
      <c r="N16" s="13">
        <f>IF('Données projet'!$A$36&gt;35,N15+M16-V15,IF(A16&lt;'Données projet'!$A$36,$K$205^A16,IF(A16='Données projet'!$A$36,'Données projet'!$B$36,N15+M16-V15)))</f>
        <v>15.819083672120358</v>
      </c>
      <c r="O16" s="13">
        <f>N16*VLOOKUP('Données projet'!$B$9,Paramètres!$A$1:$I$89,3,0)*VLOOKUP('Données projet'!$B$9,Paramètres!$A$1:$I$89,5,0)</f>
        <v>9.4598120359279747</v>
      </c>
      <c r="P16" s="13">
        <f t="shared" si="33"/>
        <v>3.356153749721936</v>
      </c>
      <c r="Q16" s="20">
        <f t="shared" si="2"/>
        <v>22.321140410006929</v>
      </c>
      <c r="R16" s="59">
        <f t="shared" si="0"/>
        <v>22.321140410006929</v>
      </c>
      <c r="S16" s="59">
        <f ca="1">AVERAGE(OFFSET($R$3,0,0,'Données projet'!$E$9+1,1))-AVERAGE(OFFSET($H$3,0,0,'Données projet'!$E$9+1,1))</f>
        <v>318.84317557630413</v>
      </c>
      <c r="T16" s="59">
        <f t="shared" si="34"/>
        <v>211.80440891545263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3.8181818181818183</v>
      </c>
      <c r="AI16" s="13">
        <f>IF('Données projet'!$A$62&gt;35,AI15+AH16-AQ15,IF(A16&lt;'Données projet'!$A$62,$AF$205^A16,IF(A16='Données projet'!$A$62,'Données projet'!$B$62,AI15+AH16-AQ15)))</f>
        <v>13.711157625505965</v>
      </c>
      <c r="AJ16" s="13">
        <f>AI16*VLOOKUP('Données projet'!$B$10,Paramètres!$A$1:$I$89,3,0)*VLOOKUP('Données projet'!$B$10,Paramètres!$A$1:$I$89,5,0)</f>
        <v>7.8427821617894127</v>
      </c>
      <c r="AK16" s="13">
        <f t="shared" si="35"/>
        <v>2.8438447999533554</v>
      </c>
      <c r="AL16" s="20">
        <f t="shared" si="4"/>
        <v>18.612541958368652</v>
      </c>
      <c r="AM16" s="59">
        <f t="shared" si="5"/>
        <v>18.612541958368652</v>
      </c>
      <c r="AN16" s="59">
        <f ca="1">AVERAGE(OFFSET($AM$3,0,0,'Données projet'!$E$10+1,1))-AVERAGE(OFFSET($H$3,0,0,'Données projet'!$E$10+1,1))</f>
        <v>302.26866345315602</v>
      </c>
      <c r="AO16" s="59">
        <f t="shared" si="36"/>
        <v>229.97213730997649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ht="14.95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0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4.8636363636363633</v>
      </c>
      <c r="N17" s="13">
        <f>IF('Données projet'!$A$36&gt;35,N16+M17-V16,IF(A17&lt;'Données projet'!$A$36,$K$205^A17,IF(A17='Données projet'!$A$36,'Données projet'!$B$36,N16+M17-V16)))</f>
        <v>19.562575920305584</v>
      </c>
      <c r="O17" s="13">
        <f>N17*VLOOKUP('Données projet'!$B$9,Paramètres!$A$1:$I$89,3,0)*VLOOKUP('Données projet'!$B$9,Paramètres!$A$1:$I$89,5,0)</f>
        <v>11.698420400342741</v>
      </c>
      <c r="P17" s="13">
        <f t="shared" si="33"/>
        <v>4.0490140176134179</v>
      </c>
      <c r="Q17" s="20">
        <f t="shared" si="2"/>
        <v>27.42678161127364</v>
      </c>
      <c r="R17" s="59">
        <f t="shared" si="0"/>
        <v>27.42678161127364</v>
      </c>
      <c r="S17" s="59">
        <f ca="1">AVERAGE(OFFSET($R$3,0,0,'Données projet'!$E$9+1,1))-AVERAGE(OFFSET($H$3,0,0,'Données projet'!$E$9+1,1))</f>
        <v>318.84317557630413</v>
      </c>
      <c r="T17" s="59">
        <f t="shared" si="34"/>
        <v>211.80440891545263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3.8181818181818183</v>
      </c>
      <c r="AI17" s="13">
        <f>IF('Données projet'!$A$62&gt;35,AI16+AH17-AQ16,IF(A17&lt;'Données projet'!$A$62,$AF$205^A17,IF(A17='Données projet'!$A$62,'Données projet'!$B$62,AI16+AH17-AQ16)))</f>
        <v>16.770320550510121</v>
      </c>
      <c r="AJ17" s="13">
        <f>AI17*VLOOKUP('Données projet'!$B$10,Paramètres!$A$1:$I$89,3,0)*VLOOKUP('Données projet'!$B$10,Paramètres!$A$1:$I$89,5,0)</f>
        <v>9.5926233548917903</v>
      </c>
      <c r="AK17" s="13">
        <f t="shared" si="35"/>
        <v>3.3977540985660379</v>
      </c>
      <c r="AL17" s="20">
        <f t="shared" si="4"/>
        <v>22.624907398105716</v>
      </c>
      <c r="AM17" s="59">
        <f t="shared" si="5"/>
        <v>22.624907398105716</v>
      </c>
      <c r="AN17" s="59">
        <f ca="1">AVERAGE(OFFSET($AM$3,0,0,'Données projet'!$E$10+1,1))-AVERAGE(OFFSET($H$3,0,0,'Données projet'!$E$10+1,1))</f>
        <v>302.26866345315602</v>
      </c>
      <c r="AO17" s="59">
        <f t="shared" si="36"/>
        <v>229.97213730997649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ht="14.95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0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4.8636363636363633</v>
      </c>
      <c r="N18" s="13">
        <f>IF('Données projet'!$A$36&gt;35,N17+M18-V17,IF(A18&lt;'Données projet'!$A$36,$K$205^A18,IF(A18='Données projet'!$A$36,'Données projet'!$B$36,N17+M18-V17)))</f>
        <v>24.19194338747841</v>
      </c>
      <c r="O18" s="13">
        <f>N18*VLOOKUP('Données projet'!$B$9,Paramètres!$A$1:$I$89,3,0)*VLOOKUP('Données projet'!$B$9,Paramètres!$A$1:$I$89,5,0)</f>
        <v>14.466782145712092</v>
      </c>
      <c r="P18" s="13">
        <f t="shared" si="33"/>
        <v>4.8849116391608316</v>
      </c>
      <c r="Q18" s="20">
        <f t="shared" si="2"/>
        <v>33.704200008653665</v>
      </c>
      <c r="R18" s="59">
        <f t="shared" si="0"/>
        <v>33.704200008653665</v>
      </c>
      <c r="S18" s="59">
        <f ca="1">AVERAGE(OFFSET($R$3,0,0,'Données projet'!$E$9+1,1))-AVERAGE(OFFSET($H$3,0,0,'Données projet'!$E$9+1,1))</f>
        <v>318.84317557630413</v>
      </c>
      <c r="T18" s="59">
        <f t="shared" si="34"/>
        <v>211.80440891545263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3.8181818181818183</v>
      </c>
      <c r="AI18" s="13">
        <f>IF('Données projet'!$A$62&gt;35,AI17+AH18-AQ17,IF(A18&lt;'Données projet'!$A$62,$AF$205^A18,IF(A18='Données projet'!$A$62,'Données projet'!$B$62,AI17+AH18-AQ17)))</f>
        <v>20.512028163375717</v>
      </c>
      <c r="AJ18" s="13">
        <f>AI18*VLOOKUP('Données projet'!$B$10,Paramètres!$A$1:$I$89,3,0)*VLOOKUP('Données projet'!$B$10,Paramètres!$A$1:$I$89,5,0)</f>
        <v>11.73288010945091</v>
      </c>
      <c r="AK18" s="13">
        <f t="shared" si="35"/>
        <v>4.0595509693467333</v>
      </c>
      <c r="AL18" s="20">
        <f t="shared" si="4"/>
        <v>27.505150795572561</v>
      </c>
      <c r="AM18" s="59">
        <f t="shared" si="5"/>
        <v>27.505150795572561</v>
      </c>
      <c r="AN18" s="59">
        <f ca="1">AVERAGE(OFFSET($AM$3,0,0,'Données projet'!$E$10+1,1))-AVERAGE(OFFSET($H$3,0,0,'Données projet'!$E$10+1,1))</f>
        <v>302.26866345315602</v>
      </c>
      <c r="AO18" s="59">
        <f t="shared" si="36"/>
        <v>229.97213730997649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ht="14.95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0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4.8636363636363633</v>
      </c>
      <c r="N19" s="13">
        <f>IF('Données projet'!$A$36&gt;35,N18+M19-V18,IF(A19&lt;'Données projet'!$A$36,$K$205^A19,IF(A19='Données projet'!$A$36,'Données projet'!$B$36,N18+M19-V18)))</f>
        <v>29.916823185615442</v>
      </c>
      <c r="O19" s="13">
        <f>N19*VLOOKUP('Données projet'!$B$9,Paramètres!$A$1:$I$89,3,0)*VLOOKUP('Données projet'!$B$9,Paramètres!$A$1:$I$89,5,0)</f>
        <v>17.890260264998037</v>
      </c>
      <c r="P19" s="13">
        <f t="shared" si="33"/>
        <v>5.8933759227818108</v>
      </c>
      <c r="Q19" s="20">
        <f t="shared" si="2"/>
        <v>41.423166360383227</v>
      </c>
      <c r="R19" s="59">
        <f t="shared" si="0"/>
        <v>41.423166360383227</v>
      </c>
      <c r="S19" s="59">
        <f ca="1">AVERAGE(OFFSET($R$3,0,0,'Données projet'!$E$9+1,1))-AVERAGE(OFFSET($H$3,0,0,'Données projet'!$E$9+1,1))</f>
        <v>318.84317557630413</v>
      </c>
      <c r="T19" s="59">
        <f t="shared" si="34"/>
        <v>211.80440891545263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3.8181818181818183</v>
      </c>
      <c r="AI19" s="13">
        <f>IF('Données projet'!$A$62&gt;35,AI18+AH19-AQ18,IF(A19&lt;'Données projet'!$A$62,$AF$205^A19,IF(A19='Données projet'!$A$62,'Données projet'!$B$62,AI18+AH19-AQ18)))</f>
        <v>25.088566322145844</v>
      </c>
      <c r="AJ19" s="13">
        <f>AI19*VLOOKUP('Données projet'!$B$10,Paramètres!$A$1:$I$89,3,0)*VLOOKUP('Données projet'!$B$10,Paramètres!$A$1:$I$89,5,0)</f>
        <v>14.350659936267423</v>
      </c>
      <c r="AK19" s="13">
        <f t="shared" si="35"/>
        <v>4.8502491924530595</v>
      </c>
      <c r="AL19" s="20">
        <f t="shared" si="4"/>
        <v>33.441583399188175</v>
      </c>
      <c r="AM19" s="59">
        <f t="shared" si="5"/>
        <v>33.441583399188175</v>
      </c>
      <c r="AN19" s="59">
        <f ca="1">AVERAGE(OFFSET($AM$3,0,0,'Données projet'!$E$10+1,1))-AVERAGE(OFFSET($H$3,0,0,'Données projet'!$E$10+1,1))</f>
        <v>302.26866345315602</v>
      </c>
      <c r="AO19" s="59">
        <f t="shared" si="36"/>
        <v>229.97213730997649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ht="14.95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0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4.8636363636363633</v>
      </c>
      <c r="N20" s="13">
        <f>IF('Données projet'!$A$36&gt;35,N19+M20-V19,IF(A20&lt;'Données projet'!$A$36,$K$205^A20,IF(A20='Données projet'!$A$36,'Données projet'!$B$36,N19+M20-V19)))</f>
        <v>36.996461804826815</v>
      </c>
      <c r="O20" s="13">
        <f>N20*VLOOKUP('Données projet'!$B$9,Paramètres!$A$1:$I$89,3,0)*VLOOKUP('Données projet'!$B$9,Paramètres!$A$1:$I$89,5,0)</f>
        <v>22.123884159286437</v>
      </c>
      <c r="P20" s="13">
        <f t="shared" si="33"/>
        <v>7.1100323471134184</v>
      </c>
      <c r="Q20" s="20">
        <f t="shared" si="2"/>
        <v>50.91573791531308</v>
      </c>
      <c r="R20" s="59">
        <f t="shared" si="0"/>
        <v>50.91573791531308</v>
      </c>
      <c r="S20" s="59">
        <f ca="1">AVERAGE(OFFSET($R$3,0,0,'Données projet'!$E$9+1,1))-AVERAGE(OFFSET($H$3,0,0,'Données projet'!$E$9+1,1))</f>
        <v>318.84317557630413</v>
      </c>
      <c r="T20" s="59">
        <f t="shared" si="34"/>
        <v>211.80440891545263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3.8181818181818183</v>
      </c>
      <c r="AI20" s="13">
        <f>IF('Données projet'!$A$62&gt;35,AI19+AH20-AQ19,IF(A20&lt;'Données projet'!$A$62,$AF$205^A20,IF(A20='Données projet'!$A$62,'Données projet'!$B$62,AI19+AH20-AQ19)))</f>
        <v>30.686198121771824</v>
      </c>
      <c r="AJ20" s="13">
        <f>AI20*VLOOKUP('Données projet'!$B$10,Paramètres!$A$1:$I$89,3,0)*VLOOKUP('Données projet'!$B$10,Paramètres!$A$1:$I$89,5,0)</f>
        <v>17.552505325653485</v>
      </c>
      <c r="AK20" s="13">
        <f t="shared" si="35"/>
        <v>5.7949555028440027</v>
      </c>
      <c r="AL20" s="20">
        <f t="shared" si="4"/>
        <v>40.663494276299794</v>
      </c>
      <c r="AM20" s="59">
        <f t="shared" si="5"/>
        <v>40.663494276299794</v>
      </c>
      <c r="AN20" s="59">
        <f ca="1">AVERAGE(OFFSET($AM$3,0,0,'Données projet'!$E$10+1,1))-AVERAGE(OFFSET($H$3,0,0,'Données projet'!$E$10+1,1))</f>
        <v>302.26866345315602</v>
      </c>
      <c r="AO20" s="59">
        <f t="shared" si="36"/>
        <v>229.97213730997649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ht="14.95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0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4.8636363636363633</v>
      </c>
      <c r="N21" s="13">
        <f>IF('Données projet'!$A$36&gt;35,N20+M21-V20,IF(A21&lt;'Données projet'!$A$36,$K$205^A21,IF(A21='Données projet'!$A$36,'Données projet'!$B$36,N20+M21-V20)))</f>
        <v>45.751454878207923</v>
      </c>
      <c r="O21" s="13">
        <f>N21*VLOOKUP('Données projet'!$B$9,Paramètres!$A$1:$I$89,3,0)*VLOOKUP('Données projet'!$B$9,Paramètres!$A$1:$I$89,5,0)</f>
        <v>27.359370017168338</v>
      </c>
      <c r="P21" s="13">
        <f t="shared" si="33"/>
        <v>8.5778610832511077</v>
      </c>
      <c r="Q21" s="20">
        <f t="shared" si="2"/>
        <v>62.590677499897197</v>
      </c>
      <c r="R21" s="59">
        <f t="shared" si="0"/>
        <v>62.590677499897197</v>
      </c>
      <c r="S21" s="59">
        <f ca="1">AVERAGE(OFFSET($R$3,0,0,'Données projet'!$E$9+1,1))-AVERAGE(OFFSET($H$3,0,0,'Données projet'!$E$9+1,1))</f>
        <v>318.84317557630413</v>
      </c>
      <c r="T21" s="59">
        <f t="shared" si="34"/>
        <v>211.80440891545263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3.8181818181818183</v>
      </c>
      <c r="AI21" s="13">
        <f>IF('Données projet'!$A$62&gt;35,AI20+AH21-AQ20,IF(A21&lt;'Données projet'!$A$62,$AF$205^A21,IF(A21='Données projet'!$A$62,'Données projet'!$B$62,AI20+AH21-AQ20)))</f>
        <v>37.532744720348504</v>
      </c>
      <c r="AJ21" s="13">
        <f>AI21*VLOOKUP('Données projet'!$B$10,Paramètres!$A$1:$I$89,3,0)*VLOOKUP('Données projet'!$B$10,Paramètres!$A$1:$I$89,5,0)</f>
        <v>21.468729980039349</v>
      </c>
      <c r="AK21" s="13">
        <f t="shared" si="35"/>
        <v>6.9236667947276818</v>
      </c>
      <c r="AL21" s="20">
        <f t="shared" si="4"/>
        <v>49.450091049385911</v>
      </c>
      <c r="AM21" s="59">
        <f t="shared" si="5"/>
        <v>49.450091049385911</v>
      </c>
      <c r="AN21" s="59">
        <f ca="1">AVERAGE(OFFSET($AM$3,0,0,'Données projet'!$E$10+1,1))-AVERAGE(OFFSET($H$3,0,0,'Données projet'!$E$10+1,1))</f>
        <v>302.26866345315602</v>
      </c>
      <c r="AO21" s="59">
        <f t="shared" si="36"/>
        <v>229.97213730997649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ht="14.95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0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4.8636363636363633</v>
      </c>
      <c r="N22" s="13">
        <f>IF('Données projet'!$A$36&gt;35,N21+M22-V21,IF(A22&lt;'Données projet'!$A$36,$K$205^A22,IF(A22='Données projet'!$A$36,'Données projet'!$B$36,N21+M22-V21)))</f>
        <v>56.578265092355473</v>
      </c>
      <c r="O22" s="13">
        <f>N22*VLOOKUP('Données projet'!$B$9,Paramètres!$A$1:$I$89,3,0)*VLOOKUP('Données projet'!$B$9,Paramètres!$A$1:$I$89,5,0)</f>
        <v>33.833802525228577</v>
      </c>
      <c r="P22" s="13">
        <f t="shared" si="33"/>
        <v>10.348715332276408</v>
      </c>
      <c r="Q22" s="20">
        <f t="shared" si="2"/>
        <v>76.951218601821182</v>
      </c>
      <c r="R22" s="59">
        <f t="shared" si="0"/>
        <v>76.951218601821182</v>
      </c>
      <c r="S22" s="59">
        <f ca="1">AVERAGE(OFFSET($R$3,0,0,'Données projet'!$E$9+1,1))-AVERAGE(OFFSET($H$3,0,0,'Données projet'!$E$9+1,1))</f>
        <v>318.84317557630413</v>
      </c>
      <c r="T22" s="59">
        <f t="shared" si="34"/>
        <v>211.80440891545263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3.8181818181818183</v>
      </c>
      <c r="AI22" s="13">
        <f>IF('Données projet'!$A$62&gt;35,AI21+AH22-AQ21,IF(A22&lt;'Données projet'!$A$62,$AF$205^A22,IF(A22='Données projet'!$A$62,'Données projet'!$B$62,AI21+AH22-AQ21)))</f>
        <v>45.906857560284479</v>
      </c>
      <c r="AJ22" s="13">
        <f>AI22*VLOOKUP('Données projet'!$B$10,Paramètres!$A$1:$I$89,3,0)*VLOOKUP('Données projet'!$B$10,Paramètres!$A$1:$I$89,5,0)</f>
        <v>26.258722524482721</v>
      </c>
      <c r="AK22" s="13">
        <f t="shared" si="35"/>
        <v>8.2722226013449838</v>
      </c>
      <c r="AL22" s="20">
        <f t="shared" si="4"/>
        <v>60.141396094149911</v>
      </c>
      <c r="AM22" s="59">
        <f t="shared" si="5"/>
        <v>60.141396094149911</v>
      </c>
      <c r="AN22" s="59">
        <f ca="1">AVERAGE(OFFSET($AM$3,0,0,'Données projet'!$E$10+1,1))-AVERAGE(OFFSET($H$3,0,0,'Données projet'!$E$10+1,1))</f>
        <v>302.26866345315602</v>
      </c>
      <c r="AO22" s="59">
        <f t="shared" si="36"/>
        <v>229.97213730997649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ht="14.95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0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4.8636363636363633</v>
      </c>
      <c r="N23" s="13">
        <f>IF('Données projet'!$A$36&gt;35,N22+M23-V22,IF(A23&lt;'Données projet'!$A$36,$K$205^A23,IF(A23='Données projet'!$A$36,'Données projet'!$B$36,N22+M23-V22)))</f>
        <v>69.967175675228205</v>
      </c>
      <c r="O23" s="13">
        <f>N23*VLOOKUP('Données projet'!$B$9,Paramètres!$A$1:$I$89,3,0)*VLOOKUP('Données projet'!$B$9,Paramètres!$A$1:$I$89,5,0)</f>
        <v>41.840371053786463</v>
      </c>
      <c r="P23" s="13">
        <f t="shared" si="33"/>
        <v>12.485153115571583</v>
      </c>
      <c r="Q23" s="20">
        <f t="shared" si="2"/>
        <v>94.616954594965264</v>
      </c>
      <c r="R23" s="59">
        <f t="shared" si="0"/>
        <v>94.616954594965264</v>
      </c>
      <c r="S23" s="59">
        <f ca="1">AVERAGE(OFFSET($R$3,0,0,'Données projet'!$E$9+1,1))-AVERAGE(OFFSET($H$3,0,0,'Données projet'!$E$9+1,1))</f>
        <v>318.84317557630413</v>
      </c>
      <c r="T23" s="59">
        <f t="shared" si="34"/>
        <v>211.80440891545263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3.8181818181818183</v>
      </c>
      <c r="AI23" s="13">
        <f>IF('Données projet'!$A$62&gt;35,AI22+AH23-AQ22,IF(A23&lt;'Données projet'!$A$62,$AF$205^A23,IF(A23='Données projet'!$A$62,'Données projet'!$B$62,AI22+AH23-AQ22)))</f>
        <v>56.14935935974043</v>
      </c>
      <c r="AJ23" s="13">
        <f>AI23*VLOOKUP('Données projet'!$B$10,Paramètres!$A$1:$I$89,3,0)*VLOOKUP('Données projet'!$B$10,Paramètres!$A$1:$I$89,5,0)</f>
        <v>32.117433553771527</v>
      </c>
      <c r="AK23" s="13">
        <f t="shared" si="35"/>
        <v>9.8834430938114259</v>
      </c>
      <c r="AL23" s="20">
        <f t="shared" si="4"/>
        <v>73.151526827873639</v>
      </c>
      <c r="AM23" s="59">
        <f t="shared" si="5"/>
        <v>73.151526827873639</v>
      </c>
      <c r="AN23" s="59">
        <f ca="1">AVERAGE(OFFSET($AM$3,0,0,'Données projet'!$E$10+1,1))-AVERAGE(OFFSET($H$3,0,0,'Données projet'!$E$10+1,1))</f>
        <v>302.26866345315602</v>
      </c>
      <c r="AO23" s="59">
        <f t="shared" si="36"/>
        <v>229.97213730997649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ht="14.95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0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4.8636363636363633</v>
      </c>
      <c r="N24" s="13">
        <f>IF('Données projet'!$A$36&gt;35,N23+M24-V23,IF(A24&lt;'Données projet'!$A$36,$K$205^A24,IF(A24='Données projet'!$A$36,'Données projet'!$B$36,N23+M24-V23)))</f>
        <v>86.524492470337051</v>
      </c>
      <c r="O24" s="13">
        <f>N24*VLOOKUP('Données projet'!$B$9,Paramètres!$A$1:$I$89,3,0)*VLOOKUP('Données projet'!$B$9,Paramètres!$A$1:$I$89,5,0)</f>
        <v>51.741646497261556</v>
      </c>
      <c r="P24" s="13">
        <f t="shared" si="33"/>
        <v>15.062647228598374</v>
      </c>
      <c r="Q24" s="20">
        <f t="shared" si="2"/>
        <v>116.35081157253938</v>
      </c>
      <c r="R24" s="59">
        <f t="shared" si="0"/>
        <v>116.35081157253938</v>
      </c>
      <c r="S24" s="59">
        <f ca="1">AVERAGE(OFFSET($R$3,0,0,'Données projet'!$E$9+1,1))-AVERAGE(OFFSET($H$3,0,0,'Données projet'!$E$9+1,1))</f>
        <v>318.84317557630413</v>
      </c>
      <c r="T24" s="59">
        <f t="shared" si="34"/>
        <v>211.80440891545263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3.8181818181818183</v>
      </c>
      <c r="AI24" s="13">
        <f>IF('Données projet'!$A$62&gt;35,AI23+AH24-AQ23,IF(A24&lt;'Données projet'!$A$62,$AF$205^A24,IF(A24='Données projet'!$A$62,'Données projet'!$B$62,AI23+AH24-AQ23)))</f>
        <v>68.677115447710747</v>
      </c>
      <c r="AJ24" s="13">
        <f>AI24*VLOOKUP('Données projet'!$B$10,Paramètres!$A$1:$I$89,3,0)*VLOOKUP('Données projet'!$B$10,Paramètres!$A$1:$I$89,5,0)</f>
        <v>39.283310036090548</v>
      </c>
      <c r="AK24" s="13">
        <f t="shared" si="35"/>
        <v>11.808488733454363</v>
      </c>
      <c r="AL24" s="20">
        <f t="shared" si="4"/>
        <v>88.98488285695737</v>
      </c>
      <c r="AM24" s="59">
        <f t="shared" si="5"/>
        <v>88.98488285695737</v>
      </c>
      <c r="AN24" s="59">
        <f ca="1">AVERAGE(OFFSET($AM$3,0,0,'Données projet'!$E$10+1,1))-AVERAGE(OFFSET($H$3,0,0,'Données projet'!$E$10+1,1))</f>
        <v>302.26866345315602</v>
      </c>
      <c r="AO24" s="59">
        <f t="shared" si="36"/>
        <v>229.97213730997649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ht="14.95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0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K25" s="12">
        <f>VLOOKUP(A25,'Données projet'!$A$35:$I$55,2,0)</f>
        <v>107</v>
      </c>
      <c r="L25" s="12">
        <f>VLOOKUP(A25,'Données projet'!$A$35:$I$55,9,0)</f>
        <v>4.8636363636363633</v>
      </c>
      <c r="M25" s="12">
        <f t="array" ref="M25">INDEX(L:L,MIN(IF(ISNUMBER(L25:L221),ROW(L25:L221),"")))</f>
        <v>4.8636363636363633</v>
      </c>
      <c r="N25" s="13">
        <f>IF('Données projet'!$A$36&gt;35,N24+M25-V24,IF(A25&lt;'Données projet'!$A$36,$K$205^A25,IF(A25='Données projet'!$A$36,'Données projet'!$B$36,N24+M25-V24)))</f>
        <v>107</v>
      </c>
      <c r="O25" s="13">
        <f>N25*VLOOKUP('Données projet'!$B$9,Paramètres!$A$1:$I$89,3,0)*VLOOKUP('Données projet'!$B$9,Paramètres!$A$1:$I$89,5,0)</f>
        <v>63.986000000000004</v>
      </c>
      <c r="P25" s="13">
        <f t="shared" si="33"/>
        <v>18.172251427996663</v>
      </c>
      <c r="Q25" s="20">
        <f t="shared" si="2"/>
        <v>143.09228790376088</v>
      </c>
      <c r="R25" s="59">
        <f t="shared" si="0"/>
        <v>143.09228790376088</v>
      </c>
      <c r="S25" s="59">
        <f ca="1">AVERAGE(OFFSET($R$3,0,0,'Données projet'!$E$9+1,1))-AVERAGE(OFFSET($H$3,0,0,'Données projet'!$E$9+1,1))</f>
        <v>318.84317557630413</v>
      </c>
      <c r="T25" s="59">
        <f t="shared" si="34"/>
        <v>211.80440891545263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16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1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10.833198622733226</v>
      </c>
      <c r="AC25" s="22">
        <f t="shared" si="3"/>
        <v>10.833198622733226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AF25" s="12">
        <f>VLOOKUP(A25,'Données projet'!$A$61:$I$81,2,0)</f>
        <v>84</v>
      </c>
      <c r="AG25" s="12">
        <f>VLOOKUP(A25,'Données projet'!$A$61:$I$81,9,0)</f>
        <v>3.8181818181818183</v>
      </c>
      <c r="AH25" s="12">
        <f t="array" ref="AH25">INDEX(AG:AG,MIN(IF(ISNUMBER(AG25:AG221),ROW(AG25:AG221),"")))</f>
        <v>3.8181818181818183</v>
      </c>
      <c r="AI25" s="13">
        <f>IF('Données projet'!$A$62&gt;35,AI24+AH25-AQ24,IF(A25&lt;'Données projet'!$A$62,$AF$205^A25,IF(A25='Données projet'!$A$62,'Données projet'!$B$62,AI24+AH25-AQ24)))</f>
        <v>84</v>
      </c>
      <c r="AJ25" s="13">
        <f>AI25*VLOOKUP('Données projet'!$B$10,Paramètres!$A$1:$I$89,3,0)*VLOOKUP('Données projet'!$B$10,Paramètres!$A$1:$I$89,5,0)</f>
        <v>48.048000000000002</v>
      </c>
      <c r="AK25" s="13">
        <f t="shared" si="35"/>
        <v>14.108484750160615</v>
      </c>
      <c r="AL25" s="20">
        <f t="shared" si="4"/>
        <v>108.25587760652974</v>
      </c>
      <c r="AM25" s="59">
        <f t="shared" si="5"/>
        <v>108.25587760652974</v>
      </c>
      <c r="AN25" s="59">
        <f ca="1">AVERAGE(OFFSET($AM$3,0,0,'Données projet'!$E$10+1,1))-AVERAGE(OFFSET($H$3,0,0,'Données projet'!$E$10+1,1))</f>
        <v>302.26866345315602</v>
      </c>
      <c r="AO25" s="59">
        <f t="shared" si="36"/>
        <v>229.97213730997649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ht="14.95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0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</v>
      </c>
      <c r="N26" s="13">
        <f>IF('Données projet'!$A$36&gt;35,N25+M26-V25,IF(A26&lt;'Données projet'!$A$36,$K$205^A26,IF(A26='Données projet'!$A$36,'Données projet'!$B$36,N25+M26-V25)))</f>
        <v>103</v>
      </c>
      <c r="O26" s="13">
        <f>N26*VLOOKUP('Données projet'!$B$9,Paramètres!$A$1:$I$89,3,0)*VLOOKUP('Données projet'!$B$9,Paramètres!$A$1:$I$89,5,0)</f>
        <v>61.594000000000008</v>
      </c>
      <c r="P26" s="13">
        <f t="shared" si="33"/>
        <v>17.570665168564613</v>
      </c>
      <c r="Q26" s="20">
        <f t="shared" si="2"/>
        <v>137.8784585019167</v>
      </c>
      <c r="R26" s="59">
        <f t="shared" si="0"/>
        <v>137.8784585019167</v>
      </c>
      <c r="S26" s="59">
        <f ca="1">AVERAGE(OFFSET($R$3,0,0,'Données projet'!$E$9+1,1))-AVERAGE(OFFSET($H$3,0,0,'Données projet'!$E$9+1,1))</f>
        <v>318.84317557630413</v>
      </c>
      <c r="T26" s="59">
        <f t="shared" si="34"/>
        <v>211.80440891545263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7.6602282080754316</v>
      </c>
      <c r="AC26" s="22">
        <f t="shared" si="3"/>
        <v>7.6602282080754316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15.666666666666666</v>
      </c>
      <c r="AI26" s="13">
        <f>IF('Données projet'!$A$62&gt;35,AI25+AH26-AQ25,IF(A26&lt;'Données projet'!$A$62,$AF$205^A26,IF(A26='Données projet'!$A$62,'Données projet'!$B$62,AI25+AH26-AQ25)))</f>
        <v>99.666666666666671</v>
      </c>
      <c r="AJ26" s="13">
        <f>AI26*VLOOKUP('Données projet'!$B$10,Paramètres!$A$1:$I$89,3,0)*VLOOKUP('Données projet'!$B$10,Paramètres!$A$1:$I$89,5,0)</f>
        <v>57.009333333333345</v>
      </c>
      <c r="AK26" s="13">
        <f t="shared" si="35"/>
        <v>16.409899347168675</v>
      </c>
      <c r="AL26" s="20">
        <f t="shared" si="4"/>
        <v>127.87183025187436</v>
      </c>
      <c r="AM26" s="59">
        <f t="shared" si="5"/>
        <v>127.87183025187436</v>
      </c>
      <c r="AN26" s="59">
        <f ca="1">AVERAGE(OFFSET($AM$3,0,0,'Données projet'!$E$10+1,1))-AVERAGE(OFFSET($H$3,0,0,'Données projet'!$E$10+1,1))</f>
        <v>302.26866345315602</v>
      </c>
      <c r="AO26" s="59">
        <f t="shared" si="36"/>
        <v>229.97213730997649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ht="14.95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0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</v>
      </c>
      <c r="N27" s="13">
        <f>IF('Données projet'!$A$36&gt;35,N26+M27-V26,IF(A27&lt;'Données projet'!$A$36,$K$205^A27,IF(A27='Données projet'!$A$36,'Données projet'!$B$36,N26+M27-V26)))</f>
        <v>115</v>
      </c>
      <c r="O27" s="13">
        <f>N27*VLOOKUP('Données projet'!$B$9,Paramètres!$A$1:$I$89,3,0)*VLOOKUP('Données projet'!$B$9,Paramètres!$A$1:$I$89,5,0)</f>
        <v>68.77000000000001</v>
      </c>
      <c r="P27" s="13">
        <f t="shared" si="33"/>
        <v>19.367690785921525</v>
      </c>
      <c r="Q27" s="20">
        <f t="shared" si="2"/>
        <v>153.50647811881331</v>
      </c>
      <c r="R27" s="59">
        <f t="shared" si="0"/>
        <v>153.50647811881331</v>
      </c>
      <c r="S27" s="59">
        <f ca="1">AVERAGE(OFFSET($R$3,0,0,'Données projet'!$E$9+1,1))-AVERAGE(OFFSET($H$3,0,0,'Données projet'!$E$9+1,1))</f>
        <v>318.84317557630413</v>
      </c>
      <c r="T27" s="59">
        <f t="shared" si="34"/>
        <v>211.80440891545263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5.416599311366614</v>
      </c>
      <c r="AC27" s="22">
        <f t="shared" si="3"/>
        <v>5.416599311366614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15.666666666666666</v>
      </c>
      <c r="AI27" s="13">
        <f>IF('Données projet'!$A$62&gt;35,AI26+AH27-AQ26,IF(A27&lt;'Données projet'!$A$62,$AF$205^A27,IF(A27='Données projet'!$A$62,'Données projet'!$B$62,AI26+AH27-AQ26)))</f>
        <v>115.33333333333334</v>
      </c>
      <c r="AJ27" s="13">
        <f>AI27*VLOOKUP('Données projet'!$B$10,Paramètres!$A$1:$I$89,3,0)*VLOOKUP('Données projet'!$B$10,Paramètres!$A$1:$I$89,5,0)</f>
        <v>65.970666666666673</v>
      </c>
      <c r="AK27" s="13">
        <f t="shared" si="35"/>
        <v>18.669405819805228</v>
      </c>
      <c r="AL27" s="20">
        <f t="shared" si="4"/>
        <v>147.41479291393856</v>
      </c>
      <c r="AM27" s="59">
        <f t="shared" si="5"/>
        <v>147.41479291393856</v>
      </c>
      <c r="AN27" s="59">
        <f ca="1">AVERAGE(OFFSET($AM$3,0,0,'Données projet'!$E$10+1,1))-AVERAGE(OFFSET($H$3,0,0,'Données projet'!$E$10+1,1))</f>
        <v>302.26866345315602</v>
      </c>
      <c r="AO27" s="59">
        <f t="shared" si="36"/>
        <v>229.97213730997649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ht="14.95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0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K28" s="12">
        <f>VLOOKUP(A28,'Données projet'!$A$35:$I$55,2,0)</f>
        <v>127</v>
      </c>
      <c r="L28" s="12">
        <f>VLOOKUP(A28,'Données projet'!$A$35:$I$55,9,0)</f>
        <v>12</v>
      </c>
      <c r="M28" s="12">
        <f t="array" ref="M28">INDEX(L:L,MIN(IF(ISNUMBER(L28:L224),ROW(L28:L224),"")))</f>
        <v>12</v>
      </c>
      <c r="N28" s="13">
        <f>IF('Données projet'!$A$36&gt;35,N27+M28-V27,IF(A28&lt;'Données projet'!$A$36,$K$205^A28,IF(A28='Données projet'!$A$36,'Données projet'!$B$36,N27+M28-V27)))</f>
        <v>127</v>
      </c>
      <c r="O28" s="13">
        <f>N28*VLOOKUP('Données projet'!$B$9,Paramètres!$A$1:$I$89,3,0)*VLOOKUP('Données projet'!$B$9,Paramètres!$A$1:$I$89,5,0)</f>
        <v>75.945999999999998</v>
      </c>
      <c r="P28" s="13">
        <f t="shared" si="33"/>
        <v>21.142979995226831</v>
      </c>
      <c r="Q28" s="20">
        <f t="shared" si="2"/>
        <v>169.09664015835338</v>
      </c>
      <c r="R28" s="59">
        <f t="shared" si="0"/>
        <v>169.09664015835338</v>
      </c>
      <c r="S28" s="59">
        <f ca="1">AVERAGE(OFFSET($R$3,0,0,'Données projet'!$E$9+1,1))-AVERAGE(OFFSET($H$3,0,0,'Données projet'!$E$9+1,1))</f>
        <v>318.84317557630413</v>
      </c>
      <c r="T28" s="59">
        <f t="shared" si="34"/>
        <v>211.80440891545263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17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9.0000000000000011E-2</v>
      </c>
      <c r="Y28" s="16">
        <f>IF(ISNA(VLOOKUP(A28,'Données projet'!$A$35:$I$55,7,0)),0%,VLOOKUP(A28,'Données projet'!$A$35:$I$55,7,0))</f>
        <v>0.8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1.2089479776558347</v>
      </c>
      <c r="AB28" s="21">
        <f>EXP(-LN(2)/2)*AB27+(1-EXP(-LN(2)/2))/(LN(2)/2)*V28*Y28*VLOOKUP('Données projet'!$B$9,Paramètres!$A$1:$I$89,3,0)*0.475*44/12</f>
        <v>13.038332933360959</v>
      </c>
      <c r="AC28" s="22">
        <f t="shared" si="3"/>
        <v>14.247280911016794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AF28" s="12">
        <f>VLOOKUP(A28,'Données projet'!$A$61:$I$81,2,0)</f>
        <v>131</v>
      </c>
      <c r="AG28" s="12">
        <f>VLOOKUP(A28,'Données projet'!$A$61:$I$81,9,0)</f>
        <v>15.666666666666666</v>
      </c>
      <c r="AH28" s="12">
        <f t="array" ref="AH28">INDEX(AG:AG,MIN(IF(ISNUMBER(AG28:AG224),ROW(AG28:AG224),"")))</f>
        <v>15.666666666666666</v>
      </c>
      <c r="AI28" s="13">
        <f>IF('Données projet'!$A$62&gt;35,AI27+AH28-AQ27,IF(A28&lt;'Données projet'!$A$62,$AF$205^A28,IF(A28='Données projet'!$A$62,'Données projet'!$B$62,AI27+AH28-AQ27)))</f>
        <v>131</v>
      </c>
      <c r="AJ28" s="13">
        <f>AI28*VLOOKUP('Données projet'!$B$10,Paramètres!$A$1:$I$89,3,0)*VLOOKUP('Données projet'!$B$10,Paramètres!$A$1:$I$89,5,0)</f>
        <v>74.932000000000002</v>
      </c>
      <c r="AK28" s="13">
        <f t="shared" si="35"/>
        <v>20.89335159903294</v>
      </c>
      <c r="AL28" s="20">
        <f t="shared" si="4"/>
        <v>166.89582070164903</v>
      </c>
      <c r="AM28" s="59">
        <f t="shared" si="5"/>
        <v>166.89582070164903</v>
      </c>
      <c r="AN28" s="59">
        <f ca="1">AVERAGE(OFFSET($AM$3,0,0,'Données projet'!$E$10+1,1))-AVERAGE(OFFSET($H$3,0,0,'Données projet'!$E$10+1,1))</f>
        <v>302.26866345315602</v>
      </c>
      <c r="AO28" s="59">
        <f t="shared" si="36"/>
        <v>229.97213730997649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21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1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13.600374357887908</v>
      </c>
      <c r="AX28" s="21">
        <f t="shared" si="6"/>
        <v>13.600374357887908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0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</v>
      </c>
      <c r="N29" s="13">
        <f>IF('Données projet'!$A$36&gt;35,N28+M29-V28,IF(A29&lt;'Données projet'!$A$36,$K$205^A29,IF(A29='Données projet'!$A$36,'Données projet'!$B$36,N28+M29-V28)))</f>
        <v>120</v>
      </c>
      <c r="O29" s="13">
        <f>N29*VLOOKUP('Données projet'!$B$9,Paramètres!$A$1:$I$89,3,0)*VLOOKUP('Données projet'!$B$9,Paramètres!$A$1:$I$89,5,0)</f>
        <v>71.760000000000005</v>
      </c>
      <c r="P29" s="13">
        <f t="shared" si="33"/>
        <v>20.109893936516215</v>
      </c>
      <c r="Q29" s="20">
        <f t="shared" si="2"/>
        <v>160.0067319394324</v>
      </c>
      <c r="R29" s="59">
        <f t="shared" si="0"/>
        <v>160.0067319394324</v>
      </c>
      <c r="S29" s="59">
        <f ca="1">AVERAGE(OFFSET($R$3,0,0,'Données projet'!$E$9+1,1))-AVERAGE(OFFSET($H$3,0,0,'Données projet'!$E$9+1,1))</f>
        <v>318.84317557630413</v>
      </c>
      <c r="T29" s="59">
        <f t="shared" si="34"/>
        <v>211.80440891545263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1.1758892316310248</v>
      </c>
      <c r="AB29" s="21">
        <f>EXP(-LN(2)/2)*AB28+(1-EXP(-LN(2)/2))/(LN(2)/2)*V29*Y29*VLOOKUP('Données projet'!$B$9,Paramètres!$A$1:$I$89,3,0)*0.475*44/12</f>
        <v>9.2194936325474242</v>
      </c>
      <c r="AC29" s="22">
        <f t="shared" si="3"/>
        <v>10.395382864178449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14.4</v>
      </c>
      <c r="AI29" s="13">
        <f>IF('Données projet'!$A$62&gt;35,AI28+AH29-AQ28,IF(A29&lt;'Données projet'!$A$62,$AF$205^A29,IF(A29='Données projet'!$A$62,'Données projet'!$B$62,AI28+AH29-AQ28)))</f>
        <v>124.4</v>
      </c>
      <c r="AJ29" s="13">
        <f>AI29*VLOOKUP('Données projet'!$B$10,Paramètres!$A$1:$I$89,3,0)*VLOOKUP('Données projet'!$B$10,Paramètres!$A$1:$I$89,5,0)</f>
        <v>71.156800000000004</v>
      </c>
      <c r="AK29" s="13">
        <f t="shared" si="35"/>
        <v>19.960457167255548</v>
      </c>
      <c r="AL29" s="20">
        <f t="shared" si="4"/>
        <v>158.69588956630341</v>
      </c>
      <c r="AM29" s="59">
        <f t="shared" si="5"/>
        <v>158.69588956630341</v>
      </c>
      <c r="AN29" s="59">
        <f ca="1">AVERAGE(OFFSET($AM$3,0,0,'Données projet'!$E$10+1,1))-AVERAGE(OFFSET($H$3,0,0,'Données projet'!$E$10+1,1))</f>
        <v>302.26866345315602</v>
      </c>
      <c r="AO29" s="59">
        <f t="shared" si="36"/>
        <v>229.97213730997649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9.6169169351381782</v>
      </c>
      <c r="AX29" s="21">
        <f t="shared" si="6"/>
        <v>9.6169169351381782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0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</v>
      </c>
      <c r="N30" s="13">
        <f>IF('Données projet'!$A$36&gt;35,N29+M30-V29,IF(A30&lt;'Données projet'!$A$36,$K$205^A30,IF(A30='Données projet'!$A$36,'Données projet'!$B$36,N29+M30-V29)))</f>
        <v>130</v>
      </c>
      <c r="O30" s="13">
        <f>N30*VLOOKUP('Données projet'!$B$9,Paramètres!$A$1:$I$89,3,0)*VLOOKUP('Données projet'!$B$9,Paramètres!$A$1:$I$89,5,0)</f>
        <v>77.740000000000009</v>
      </c>
      <c r="P30" s="13">
        <f t="shared" si="33"/>
        <v>21.583684155853913</v>
      </c>
      <c r="Q30" s="20">
        <f t="shared" si="2"/>
        <v>172.98874990477893</v>
      </c>
      <c r="R30" s="59">
        <f t="shared" si="0"/>
        <v>172.98874990477893</v>
      </c>
      <c r="S30" s="59">
        <f ca="1">AVERAGE(OFFSET($R$3,0,0,'Données projet'!$E$9+1,1))-AVERAGE(OFFSET($H$3,0,0,'Données projet'!$E$9+1,1))</f>
        <v>318.84317557630413</v>
      </c>
      <c r="T30" s="59">
        <f t="shared" si="34"/>
        <v>211.80440891545263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1.1437344787547472</v>
      </c>
      <c r="AB30" s="21">
        <f>EXP(-LN(2)/2)*AB29+(1-EXP(-LN(2)/2))/(LN(2)/2)*V30*Y30*VLOOKUP('Données projet'!$B$9,Paramètres!$A$1:$I$89,3,0)*0.475*44/12</f>
        <v>6.5191664666804803</v>
      </c>
      <c r="AC30" s="22">
        <f t="shared" si="3"/>
        <v>7.6629009454352275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14.4</v>
      </c>
      <c r="AI30" s="13">
        <f>IF('Données projet'!$A$62&gt;35,AI29+AH30-AQ29,IF(A30&lt;'Données projet'!$A$62,$AF$205^A30,IF(A30='Données projet'!$A$62,'Données projet'!$B$62,AI29+AH30-AQ29)))</f>
        <v>138.80000000000001</v>
      </c>
      <c r="AJ30" s="13">
        <f>AI30*VLOOKUP('Données projet'!$B$10,Paramètres!$A$1:$I$89,3,0)*VLOOKUP('Données projet'!$B$10,Paramètres!$A$1:$I$89,5,0)</f>
        <v>79.393600000000006</v>
      </c>
      <c r="AK30" s="13">
        <f t="shared" si="35"/>
        <v>21.988850581624067</v>
      </c>
      <c r="AL30" s="20">
        <f t="shared" si="4"/>
        <v>176.57443476299522</v>
      </c>
      <c r="AM30" s="59">
        <f t="shared" si="5"/>
        <v>176.57443476299522</v>
      </c>
      <c r="AN30" s="59">
        <f ca="1">AVERAGE(OFFSET($AM$3,0,0,'Données projet'!$E$10+1,1))-AVERAGE(OFFSET($H$3,0,0,'Données projet'!$E$10+1,1))</f>
        <v>302.26866345315602</v>
      </c>
      <c r="AO30" s="59">
        <f t="shared" si="36"/>
        <v>229.97213730997649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6.8001871789439559</v>
      </c>
      <c r="AX30" s="21">
        <f t="shared" si="6"/>
        <v>6.8001871789439559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0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</v>
      </c>
      <c r="N31" s="13">
        <f>IF('Données projet'!$A$36&gt;35,N30+M31-V30,IF(A31&lt;'Données projet'!$A$36,$K$205^A31,IF(A31='Données projet'!$A$36,'Données projet'!$B$36,N30+M31-V30)))</f>
        <v>140</v>
      </c>
      <c r="O31" s="13">
        <f>N31*VLOOKUP('Données projet'!$B$9,Paramètres!$A$1:$I$89,3,0)*VLOOKUP('Données projet'!$B$9,Paramètres!$A$1:$I$89,5,0)</f>
        <v>83.720000000000013</v>
      </c>
      <c r="P31" s="13">
        <f t="shared" si="33"/>
        <v>23.044323503842598</v>
      </c>
      <c r="Q31" s="20">
        <f t="shared" si="2"/>
        <v>185.9478634358592</v>
      </c>
      <c r="R31" s="59">
        <f t="shared" si="0"/>
        <v>185.9478634358592</v>
      </c>
      <c r="S31" s="59">
        <f ca="1">AVERAGE(OFFSET($R$3,0,0,'Données projet'!$E$9+1,1))-AVERAGE(OFFSET($H$3,0,0,'Données projet'!$E$9+1,1))</f>
        <v>318.84317557630413</v>
      </c>
      <c r="T31" s="59">
        <f t="shared" si="34"/>
        <v>211.80440891545263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1.1124589992868164</v>
      </c>
      <c r="AB31" s="21">
        <f>EXP(-LN(2)/2)*AB30+(1-EXP(-LN(2)/2))/(LN(2)/2)*V31*Y31*VLOOKUP('Données projet'!$B$9,Paramètres!$A$1:$I$89,3,0)*0.475*44/12</f>
        <v>4.609746816273713</v>
      </c>
      <c r="AC31" s="22">
        <f t="shared" si="3"/>
        <v>5.7222058155605291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14.4</v>
      </c>
      <c r="AI31" s="13">
        <f>IF('Données projet'!$A$62&gt;35,AI30+AH31-AQ30,IF(A31&lt;'Données projet'!$A$62,$AF$205^A31,IF(A31='Données projet'!$A$62,'Données projet'!$B$62,AI30+AH31-AQ30)))</f>
        <v>153.20000000000002</v>
      </c>
      <c r="AJ31" s="13">
        <f>AI31*VLOOKUP('Données projet'!$B$10,Paramètres!$A$1:$I$89,3,0)*VLOOKUP('Données projet'!$B$10,Paramètres!$A$1:$I$89,5,0)</f>
        <v>87.630400000000009</v>
      </c>
      <c r="AK31" s="13">
        <f t="shared" si="35"/>
        <v>23.992850113613226</v>
      </c>
      <c r="AL31" s="20">
        <f t="shared" si="4"/>
        <v>194.41049394787638</v>
      </c>
      <c r="AM31" s="59">
        <f t="shared" si="5"/>
        <v>194.41049394787638</v>
      </c>
      <c r="AN31" s="59">
        <f ca="1">AVERAGE(OFFSET($AM$3,0,0,'Données projet'!$E$10+1,1))-AVERAGE(OFFSET($H$3,0,0,'Données projet'!$E$10+1,1))</f>
        <v>302.26866345315602</v>
      </c>
      <c r="AO31" s="59">
        <f t="shared" si="36"/>
        <v>229.97213730997649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4.80845846756909</v>
      </c>
      <c r="AX31" s="21">
        <f t="shared" si="6"/>
        <v>4.80845846756909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0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</v>
      </c>
      <c r="N32" s="13">
        <f>IF('Données projet'!$A$36&gt;35,N31+M32-V31,IF(A32&lt;'Données projet'!$A$36,$K$205^A32,IF(A32='Données projet'!$A$36,'Données projet'!$B$36,N31+M32-V31)))</f>
        <v>150</v>
      </c>
      <c r="O32" s="13">
        <f>N32*VLOOKUP('Données projet'!$B$9,Paramètres!$A$1:$I$89,3,0)*VLOOKUP('Données projet'!$B$9,Paramètres!$A$1:$I$89,5,0)</f>
        <v>89.7</v>
      </c>
      <c r="P32" s="13">
        <f t="shared" si="33"/>
        <v>24.492858164013299</v>
      </c>
      <c r="Q32" s="20">
        <f t="shared" si="2"/>
        <v>198.88589463565651</v>
      </c>
      <c r="R32" s="59">
        <f t="shared" si="0"/>
        <v>198.88589463565651</v>
      </c>
      <c r="S32" s="59">
        <f ca="1">AVERAGE(OFFSET($R$3,0,0,'Données projet'!$E$9+1,1))-AVERAGE(OFFSET($H$3,0,0,'Données projet'!$E$9+1,1))</f>
        <v>318.84317557630413</v>
      </c>
      <c r="T32" s="59">
        <f t="shared" si="34"/>
        <v>211.80440891545263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1.0820387494496422</v>
      </c>
      <c r="AB32" s="21">
        <f>EXP(-LN(2)/2)*AB31+(1-EXP(-LN(2)/2))/(LN(2)/2)*V32*Y32*VLOOKUP('Données projet'!$B$9,Paramètres!$A$1:$I$89,3,0)*0.475*44/12</f>
        <v>3.2595832333402406</v>
      </c>
      <c r="AC32" s="22">
        <f t="shared" si="3"/>
        <v>4.3416219827898832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14.4</v>
      </c>
      <c r="AI32" s="13">
        <f>IF('Données projet'!$A$62&gt;35,AI31+AH32-AQ31,IF(A32&lt;'Données projet'!$A$62,$AF$205^A32,IF(A32='Données projet'!$A$62,'Données projet'!$B$62,AI31+AH32-AQ31)))</f>
        <v>167.60000000000002</v>
      </c>
      <c r="AJ32" s="13">
        <f>AI32*VLOOKUP('Données projet'!$B$10,Paramètres!$A$1:$I$89,3,0)*VLOOKUP('Données projet'!$B$10,Paramètres!$A$1:$I$89,5,0)</f>
        <v>95.867200000000025</v>
      </c>
      <c r="AK32" s="13">
        <f t="shared" si="35"/>
        <v>25.975009492526002</v>
      </c>
      <c r="AL32" s="20">
        <f t="shared" si="4"/>
        <v>212.20851486614947</v>
      </c>
      <c r="AM32" s="59">
        <f t="shared" si="5"/>
        <v>212.20851486614947</v>
      </c>
      <c r="AN32" s="59">
        <f ca="1">AVERAGE(OFFSET($AM$3,0,0,'Données projet'!$E$10+1,1))-AVERAGE(OFFSET($H$3,0,0,'Données projet'!$E$10+1,1))</f>
        <v>302.26866345315602</v>
      </c>
      <c r="AO32" s="59">
        <f t="shared" si="36"/>
        <v>229.97213730997649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3.4000935894719784</v>
      </c>
      <c r="AX32" s="21">
        <f t="shared" si="6"/>
        <v>3.4000935894719784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0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K33" s="12">
        <f>VLOOKUP(A33,'Données projet'!$A$35:$I$55,2,0)</f>
        <v>160</v>
      </c>
      <c r="L33" s="12">
        <f>VLOOKUP(A33,'Données projet'!$A$35:$I$55,9,0)</f>
        <v>10</v>
      </c>
      <c r="M33" s="12">
        <f t="array" ref="M33">INDEX(L:L,MIN(IF(ISNUMBER(L33:L229),ROW(L33:L229),"")))</f>
        <v>10</v>
      </c>
      <c r="N33" s="13">
        <f>IF('Données projet'!$A$36&gt;35,N32+M33-V32,IF(A33&lt;'Données projet'!$A$36,$K$205^A33,IF(A33='Données projet'!$A$36,'Données projet'!$B$36,N32+M33-V32)))</f>
        <v>160</v>
      </c>
      <c r="O33" s="13">
        <f>N33*VLOOKUP('Données projet'!$B$9,Paramètres!$A$1:$I$89,3,0)*VLOOKUP('Données projet'!$B$9,Paramètres!$A$1:$I$89,5,0)</f>
        <v>95.680000000000021</v>
      </c>
      <c r="P33" s="13">
        <f t="shared" si="33"/>
        <v>25.930186937101965</v>
      </c>
      <c r="Q33" s="20">
        <f t="shared" si="2"/>
        <v>211.80440891545263</v>
      </c>
      <c r="R33" s="59">
        <f t="shared" si="0"/>
        <v>211.80440891545263</v>
      </c>
      <c r="S33" s="59">
        <f ca="1">AVERAGE(OFFSET($R$3,0,0,'Données projet'!$E$9+1,1))-AVERAGE(OFFSET($H$3,0,0,'Données projet'!$E$9+1,1))</f>
        <v>318.84317557630413</v>
      </c>
      <c r="T33" s="59">
        <f t="shared" si="34"/>
        <v>211.80440891545263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34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0.27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8.3061382088790054</v>
      </c>
      <c r="AB33" s="21">
        <f>EXP(-LN(2)/2)*AB32+(1-EXP(-LN(2)/2))/(LN(2)/2)*V33*Y33*VLOOKUP('Données projet'!$B$9,Paramètres!$A$1:$I$89,3,0)*0.475*44/12</f>
        <v>11.513092237460098</v>
      </c>
      <c r="AC33" s="22">
        <f t="shared" si="3"/>
        <v>19.819230446339105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AF33" s="12">
        <f>VLOOKUP(A33,'Données projet'!$A$61:$I$81,2,0)</f>
        <v>182</v>
      </c>
      <c r="AG33" s="12">
        <f>VLOOKUP(A33,'Données projet'!$A$61:$I$81,9,0)</f>
        <v>14.4</v>
      </c>
      <c r="AH33" s="12">
        <f t="array" ref="AH33">INDEX(AG:AG,MIN(IF(ISNUMBER(AG33:AG229),ROW(AG33:AG229),"")))</f>
        <v>14.4</v>
      </c>
      <c r="AI33" s="13">
        <f>IF('Données projet'!$A$62&gt;35,AI32+AH33-AQ32,IF(A33&lt;'Données projet'!$A$62,$AF$205^A33,IF(A33='Données projet'!$A$62,'Données projet'!$B$62,AI32+AH33-AQ32)))</f>
        <v>182.00000000000003</v>
      </c>
      <c r="AJ33" s="13">
        <f>AI33*VLOOKUP('Données projet'!$B$10,Paramètres!$A$1:$I$89,3,0)*VLOOKUP('Données projet'!$B$10,Paramètres!$A$1:$I$89,5,0)</f>
        <v>104.10400000000001</v>
      </c>
      <c r="AK33" s="13">
        <f t="shared" si="35"/>
        <v>27.937418551182677</v>
      </c>
      <c r="AL33" s="20">
        <f t="shared" si="4"/>
        <v>229.97213730997649</v>
      </c>
      <c r="AM33" s="59">
        <f t="shared" si="5"/>
        <v>229.97213730997649</v>
      </c>
      <c r="AN33" s="59">
        <f ca="1">AVERAGE(OFFSET($AM$3,0,0,'Données projet'!$E$10+1,1))-AVERAGE(OFFSET($H$3,0,0,'Données projet'!$E$10+1,1))</f>
        <v>302.26866345315602</v>
      </c>
      <c r="AO33" s="59">
        <f t="shared" si="36"/>
        <v>229.97213730997649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0.27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7.3464460227883981</v>
      </c>
      <c r="AW33" s="21">
        <f>EXP(-LN(2)/2)*AW32+(1-EXP(-LN(2)/2))/(LN(2)/2)*AQ33*AT33*VLOOKUP('Données projet'!$B$10,Paramètres!$A$1:$I$89,3,0)*0.475*44/12</f>
        <v>11.730200222050538</v>
      </c>
      <c r="AX33" s="21">
        <f t="shared" si="6"/>
        <v>19.076646244838937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0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13.2</v>
      </c>
      <c r="N34" s="13">
        <f>IF('Données projet'!$A$36&gt;35,N33+M34-V33,IF(A34&lt;'Données projet'!$A$36,$K$205^A34,IF(A34='Données projet'!$A$36,'Données projet'!$B$36,N33+M34-V33)))</f>
        <v>139.19999999999999</v>
      </c>
      <c r="O34" s="13">
        <f>N34*VLOOKUP('Données projet'!$B$9,Paramètres!$A$1:$I$89,3,0)*VLOOKUP('Données projet'!$B$9,Paramètres!$A$1:$I$89,5,0)</f>
        <v>83.241600000000005</v>
      </c>
      <c r="P34" s="13">
        <f t="shared" si="33"/>
        <v>22.927930643846508</v>
      </c>
      <c r="Q34" s="20">
        <f t="shared" si="2"/>
        <v>184.91193253803269</v>
      </c>
      <c r="R34" s="59">
        <f t="shared" si="0"/>
        <v>221.57859920469934</v>
      </c>
      <c r="S34" s="59">
        <f ca="1">AVERAGE(OFFSET($R$3,0,0,'Données projet'!$E$9+1,1))-AVERAGE(OFFSET($H$3,0,0,'Données projet'!$E$9+1,1))</f>
        <v>318.84317557630413</v>
      </c>
      <c r="T34" s="59">
        <f t="shared" si="34"/>
        <v>211.80440891545263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8.0790064227563843</v>
      </c>
      <c r="AB34" s="21">
        <f>EXP(-LN(2)/2)*AB33+(1-EXP(-LN(2)/2))/(LN(2)/2)*V34*Y34*VLOOKUP('Données projet'!$B$9,Paramètres!$A$1:$I$89,3,0)*0.475*44/12</f>
        <v>8.1409855935342375</v>
      </c>
      <c r="AC34" s="22">
        <f t="shared" si="3"/>
        <v>16.219992016290622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16.600000000000001</v>
      </c>
      <c r="AI34" s="13">
        <f>IF('Données projet'!$A$62&gt;35,AI33+AH34-AQ33,IF(A34&lt;'Données projet'!$A$62,$AF$205^A34,IF(A34='Données projet'!$A$62,'Données projet'!$B$62,AI33+AH34-AQ33)))</f>
        <v>162.60000000000002</v>
      </c>
      <c r="AJ34" s="13">
        <f>AI34*VLOOKUP('Données projet'!$B$10,Paramètres!$A$1:$I$89,3,0)*VLOOKUP('Données projet'!$B$10,Paramètres!$A$1:$I$89,5,0)</f>
        <v>93.007200000000012</v>
      </c>
      <c r="AK34" s="13">
        <f t="shared" si="35"/>
        <v>25.289096064617418</v>
      </c>
      <c r="AL34" s="20">
        <f t="shared" si="4"/>
        <v>206.03271564587533</v>
      </c>
      <c r="AM34" s="59">
        <f t="shared" si="5"/>
        <v>242.69938231254199</v>
      </c>
      <c r="AN34" s="59">
        <f ca="1">AVERAGE(OFFSET($AM$3,0,0,'Données projet'!$E$10+1,1))-AVERAGE(OFFSET($H$3,0,0,'Données projet'!$E$10+1,1))</f>
        <v>302.26866345315602</v>
      </c>
      <c r="AO34" s="59">
        <f t="shared" si="36"/>
        <v>229.97213730997649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7.1455570699624431</v>
      </c>
      <c r="AW34" s="21">
        <f>EXP(-LN(2)/2)*AW33+(1-EXP(-LN(2)/2))/(LN(2)/2)*AQ34*AT34*VLOOKUP('Données projet'!$B$10,Paramètres!$A$1:$I$89,3,0)*0.475*44/12</f>
        <v>8.294504121687881</v>
      </c>
      <c r="AX34" s="21">
        <f t="shared" si="6"/>
        <v>15.440061191650324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0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13.2</v>
      </c>
      <c r="N35" s="13">
        <f>IF('Données projet'!$A$36&gt;35,N34+M35-V34,IF(A35&lt;'Données projet'!$A$36,$K$205^A35,IF(A35='Données projet'!$A$36,'Données projet'!$B$36,N34+M35-V34)))</f>
        <v>152.39999999999998</v>
      </c>
      <c r="O35" s="13">
        <f>N35*VLOOKUP('Données projet'!$B$9,Paramètres!$A$1:$I$89,3,0)*VLOOKUP('Données projet'!$B$9,Paramètres!$A$1:$I$89,5,0)</f>
        <v>91.135199999999998</v>
      </c>
      <c r="P35" s="13">
        <f t="shared" si="33"/>
        <v>24.83880785255198</v>
      </c>
      <c r="Q35" s="20">
        <f t="shared" ref="Q35:Q66" si="53">(O35+P35)*0.475*44/12</f>
        <v>201.98806367652801</v>
      </c>
      <c r="R35" s="59">
        <f t="shared" si="0"/>
        <v>238.65473034319467</v>
      </c>
      <c r="S35" s="59">
        <f ca="1">AVERAGE(OFFSET($R$3,0,0,'Données projet'!$E$9+1,1))-AVERAGE(OFFSET($H$3,0,0,'Données projet'!$E$9+1,1))</f>
        <v>318.84317557630413</v>
      </c>
      <c r="T35" s="59">
        <f t="shared" si="34"/>
        <v>211.80440891545263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7.8580855672696277</v>
      </c>
      <c r="AB35" s="21">
        <f>EXP(-LN(2)/2)*AB34+(1-EXP(-LN(2)/2))/(LN(2)/2)*V35*Y35*VLOOKUP('Données projet'!$B$9,Paramètres!$A$1:$I$89,3,0)*0.475*44/12</f>
        <v>5.75654611873005</v>
      </c>
      <c r="AC35" s="22">
        <f t="shared" si="3"/>
        <v>13.614631685999678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16.600000000000001</v>
      </c>
      <c r="AI35" s="13">
        <f>IF('Données projet'!$A$62&gt;35,AI34+AH35-AQ34,IF(A35&lt;'Données projet'!$A$62,$AF$205^A35,IF(A35='Données projet'!$A$62,'Données projet'!$B$62,AI34+AH35-AQ34)))</f>
        <v>179.20000000000002</v>
      </c>
      <c r="AJ35" s="13">
        <f>AI35*VLOOKUP('Données projet'!$B$10,Paramètres!$A$1:$I$89,3,0)*VLOOKUP('Données projet'!$B$10,Paramètres!$A$1:$I$89,5,0)</f>
        <v>102.50240000000002</v>
      </c>
      <c r="AK35" s="13">
        <f t="shared" si="35"/>
        <v>27.557299572196182</v>
      </c>
      <c r="AL35" s="20">
        <f t="shared" si="4"/>
        <v>226.52064342157504</v>
      </c>
      <c r="AM35" s="59">
        <f t="shared" si="5"/>
        <v>263.1873100882417</v>
      </c>
      <c r="AN35" s="59">
        <f ca="1">AVERAGE(OFFSET($AM$3,0,0,'Données projet'!$E$10+1,1))-AVERAGE(OFFSET($H$3,0,0,'Données projet'!$E$10+1,1))</f>
        <v>302.26866345315602</v>
      </c>
      <c r="AO35" s="59">
        <f t="shared" si="36"/>
        <v>229.97213730997649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6.9501614361158053</v>
      </c>
      <c r="AW35" s="21">
        <f>EXP(-LN(2)/2)*AW34+(1-EXP(-LN(2)/2))/(LN(2)/2)*AQ35*AT35*VLOOKUP('Données projet'!$B$10,Paramètres!$A$1:$I$89,3,0)*0.475*44/12</f>
        <v>5.8651001110252698</v>
      </c>
      <c r="AX35" s="21">
        <f t="shared" si="6"/>
        <v>12.815261547141075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0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13.2</v>
      </c>
      <c r="N36" s="13">
        <f>IF('Données projet'!$A$36&gt;35,N35+M36-V35,IF(A36&lt;'Données projet'!$A$36,$K$205^A36,IF(A36='Données projet'!$A$36,'Données projet'!$B$36,N35+M36-V35)))</f>
        <v>165.59999999999997</v>
      </c>
      <c r="O36" s="13">
        <f>N36*VLOOKUP('Données projet'!$B$9,Paramètres!$A$1:$I$89,3,0)*VLOOKUP('Données projet'!$B$9,Paramètres!$A$1:$I$89,5,0)</f>
        <v>99.02879999999999</v>
      </c>
      <c r="P36" s="13">
        <f t="shared" si="33"/>
        <v>26.730491283721712</v>
      </c>
      <c r="Q36" s="20">
        <f t="shared" si="53"/>
        <v>219.03076565248196</v>
      </c>
      <c r="R36" s="59">
        <f t="shared" si="0"/>
        <v>255.69743231914862</v>
      </c>
      <c r="S36" s="59">
        <f ca="1">AVERAGE(OFFSET($R$3,0,0,'Données projet'!$E$9+1,1))-AVERAGE(OFFSET($H$3,0,0,'Données projet'!$E$9+1,1))</f>
        <v>318.84317557630413</v>
      </c>
      <c r="T36" s="59">
        <f t="shared" si="34"/>
        <v>211.80440891545263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7.6432058041938795</v>
      </c>
      <c r="AB36" s="21">
        <f>EXP(-LN(2)/2)*AB35+(1-EXP(-LN(2)/2))/(LN(2)/2)*V36*Y36*VLOOKUP('Données projet'!$B$9,Paramètres!$A$1:$I$89,3,0)*0.475*44/12</f>
        <v>4.0704927967671187</v>
      </c>
      <c r="AC36" s="22">
        <f t="shared" si="3"/>
        <v>11.713698600960999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16.600000000000001</v>
      </c>
      <c r="AI36" s="13">
        <f>IF('Données projet'!$A$62&gt;35,AI35+AH36-AQ35,IF(A36&lt;'Données projet'!$A$62,$AF$205^A36,IF(A36='Données projet'!$A$62,'Données projet'!$B$62,AI35+AH36-AQ35)))</f>
        <v>195.8</v>
      </c>
      <c r="AJ36" s="13">
        <f>AI36*VLOOKUP('Données projet'!$B$10,Paramètres!$A$1:$I$89,3,0)*VLOOKUP('Données projet'!$B$10,Paramètres!$A$1:$I$89,5,0)</f>
        <v>111.99760000000001</v>
      </c>
      <c r="AK36" s="13">
        <f t="shared" si="35"/>
        <v>29.801140607184838</v>
      </c>
      <c r="AL36" s="20">
        <f t="shared" si="4"/>
        <v>246.96613989084696</v>
      </c>
      <c r="AM36" s="59">
        <f t="shared" si="5"/>
        <v>283.63280655751362</v>
      </c>
      <c r="AN36" s="59">
        <f ca="1">AVERAGE(OFFSET($AM$3,0,0,'Données projet'!$E$10+1,1))-AVERAGE(OFFSET($H$3,0,0,'Données projet'!$E$10+1,1))</f>
        <v>302.26866345315602</v>
      </c>
      <c r="AO36" s="59">
        <f t="shared" si="36"/>
        <v>229.97213730997649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6.7601089061521131</v>
      </c>
      <c r="AW36" s="21">
        <f>EXP(-LN(2)/2)*AW35+(1-EXP(-LN(2)/2))/(LN(2)/2)*AQ36*AT36*VLOOKUP('Données projet'!$B$10,Paramètres!$A$1:$I$89,3,0)*0.475*44/12</f>
        <v>4.1472520608439414</v>
      </c>
      <c r="AX36" s="21">
        <f t="shared" si="6"/>
        <v>10.907360966996055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0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13.2</v>
      </c>
      <c r="N37" s="13">
        <f>IF('Données projet'!$A$36&gt;35,N36+M37-V36,IF(A37&lt;'Données projet'!$A$36,$K$205^A37,IF(A37='Données projet'!$A$36,'Données projet'!$B$36,N36+M37-V36)))</f>
        <v>178.79999999999995</v>
      </c>
      <c r="O37" s="13">
        <f>N37*VLOOKUP('Données projet'!$B$9,Paramètres!$A$1:$I$89,3,0)*VLOOKUP('Données projet'!$B$9,Paramètres!$A$1:$I$89,5,0)</f>
        <v>106.92239999999997</v>
      </c>
      <c r="P37" s="13">
        <f t="shared" si="33"/>
        <v>28.604684816920784</v>
      </c>
      <c r="Q37" s="20">
        <f t="shared" si="53"/>
        <v>236.04300605613699</v>
      </c>
      <c r="R37" s="59">
        <f t="shared" si="0"/>
        <v>272.70967272280365</v>
      </c>
      <c r="S37" s="59">
        <f ca="1">AVERAGE(OFFSET($R$3,0,0,'Données projet'!$E$9+1,1))-AVERAGE(OFFSET($H$3,0,0,'Données projet'!$E$9+1,1))</f>
        <v>318.84317557630413</v>
      </c>
      <c r="T37" s="59">
        <f t="shared" si="34"/>
        <v>211.80440891545263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7.4342019395394736</v>
      </c>
      <c r="AB37" s="21">
        <f>EXP(-LN(2)/2)*AB36+(1-EXP(-LN(2)/2))/(LN(2)/2)*V37*Y37*VLOOKUP('Données projet'!$B$9,Paramètres!$A$1:$I$89,3,0)*0.475*44/12</f>
        <v>2.878273059365025</v>
      </c>
      <c r="AC37" s="22">
        <f t="shared" si="3"/>
        <v>10.312474998904499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16.600000000000001</v>
      </c>
      <c r="AI37" s="13">
        <f>IF('Données projet'!$A$62&gt;35,AI36+AH37-AQ36,IF(A37&lt;'Données projet'!$A$62,$AF$205^A37,IF(A37='Données projet'!$A$62,'Données projet'!$B$62,AI36+AH37-AQ36)))</f>
        <v>212.4</v>
      </c>
      <c r="AJ37" s="13">
        <f>AI37*VLOOKUP('Données projet'!$B$10,Paramètres!$A$1:$I$89,3,0)*VLOOKUP('Données projet'!$B$10,Paramètres!$A$1:$I$89,5,0)</f>
        <v>121.4928</v>
      </c>
      <c r="AK37" s="13">
        <f t="shared" si="35"/>
        <v>32.02291946024841</v>
      </c>
      <c r="AL37" s="20">
        <f t="shared" si="4"/>
        <v>267.37321139326599</v>
      </c>
      <c r="AM37" s="59">
        <f t="shared" si="5"/>
        <v>304.03987805993268</v>
      </c>
      <c r="AN37" s="59">
        <f ca="1">AVERAGE(OFFSET($AM$3,0,0,'Données projet'!$E$10+1,1))-AVERAGE(OFFSET($H$3,0,0,'Données projet'!$E$10+1,1))</f>
        <v>302.26866345315602</v>
      </c>
      <c r="AO37" s="59">
        <f t="shared" si="36"/>
        <v>229.97213730997649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6.5752533726147062</v>
      </c>
      <c r="AW37" s="21">
        <f>EXP(-LN(2)/2)*AW36+(1-EXP(-LN(2)/2))/(LN(2)/2)*AQ37*AT37*VLOOKUP('Données projet'!$B$10,Paramètres!$A$1:$I$89,3,0)*0.475*44/12</f>
        <v>2.9325500555126354</v>
      </c>
      <c r="AX37" s="21">
        <f t="shared" si="6"/>
        <v>9.5078034281273425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0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192</v>
      </c>
      <c r="L38" s="12">
        <f>VLOOKUP(A38,'Données projet'!$A$35:$I$55,9,0)</f>
        <v>13.2</v>
      </c>
      <c r="M38" s="12">
        <f t="array" ref="M38">INDEX(L:L,MIN(IF(ISNUMBER(L38:L234),ROW(L38:L234),"")))</f>
        <v>13.2</v>
      </c>
      <c r="N38" s="13">
        <f>IF('Données projet'!$A$36&gt;35,N37+M38-V37,IF(A38&lt;'Données projet'!$A$36,$K$205^A38,IF(A38='Données projet'!$A$36,'Données projet'!$B$36,N37+M38-V37)))</f>
        <v>191.99999999999994</v>
      </c>
      <c r="O38" s="13">
        <f>N38*VLOOKUP('Données projet'!$B$9,Paramètres!$A$1:$I$89,3,0)*VLOOKUP('Données projet'!$B$9,Paramètres!$A$1:$I$89,5,0)</f>
        <v>114.81599999999997</v>
      </c>
      <c r="P38" s="13">
        <f t="shared" si="33"/>
        <v>30.462826482209831</v>
      </c>
      <c r="Q38" s="20">
        <f t="shared" si="53"/>
        <v>253.0272894565154</v>
      </c>
      <c r="R38" s="59">
        <f t="shared" si="0"/>
        <v>289.69395612318209</v>
      </c>
      <c r="S38" s="59">
        <f ca="1">AVERAGE(OFFSET($R$3,0,0,'Données projet'!$E$9+1,1))-AVERAGE(OFFSET($H$3,0,0,'Données projet'!$E$9+1,1))</f>
        <v>318.84317557630413</v>
      </c>
      <c r="T38" s="59">
        <f t="shared" si="34"/>
        <v>211.80440891545263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41</v>
      </c>
      <c r="W38" s="16">
        <f>IF(ISNA(VLOOKUP(A38,'Données projet'!$A$35:$I$55,5,0)),0%,VLOOKUP(A38,'Données projet'!$A$35:$I$55,5,0)*VLOOKUP('Données projet'!$B$9,Paramètres!$A$1:$I$89,7,0))</f>
        <v>9.0000000000000011E-2</v>
      </c>
      <c r="X38" s="16">
        <f>IF(ISNA(VLOOKUP(A38,'Données projet'!$A$35:$I$55,6,0)),0%,VLOOKUP(A38,'Données projet'!$A$35:$I$55,6,0)*VLOOKUP('Données projet'!$B$9,Paramètres!$A$1:$I$89,7,0))</f>
        <v>0.27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2.9272236586619989</v>
      </c>
      <c r="AA38" s="21">
        <f>EXP(-LN(2)/25)*AA37+(1-EXP(-LN(2)/25))/(LN(2)/25)*Calculateur!V38*Calculateur!X38*VLOOKUP('Données projet'!$B$9,Paramètres!$A$1:$I$89,3,0)*0.475*44/12</f>
        <v>15.978007487829647</v>
      </c>
      <c r="AB38" s="21">
        <f>EXP(-LN(2)/2)*AB37+(1-EXP(-LN(2)/2))/(LN(2)/2)*V38*Y38*VLOOKUP('Données projet'!$B$9,Paramètres!$A$1:$I$89,3,0)*0.475*44/12</f>
        <v>7.587260692534338</v>
      </c>
      <c r="AC38" s="22">
        <f t="shared" si="3"/>
        <v>26.49249183902598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229</v>
      </c>
      <c r="AG38" s="12">
        <f>VLOOKUP(A38,'Données projet'!$A$61:$I$81,9,0)</f>
        <v>16.600000000000001</v>
      </c>
      <c r="AH38" s="12">
        <f t="array" ref="AH38">INDEX(AG:AG,MIN(IF(ISNUMBER(AG38:AG234),ROW(AG38:AG234),"")))</f>
        <v>16.600000000000001</v>
      </c>
      <c r="AI38" s="13">
        <f>IF('Données projet'!$A$62&gt;35,AI37+AH38-AQ37,IF(A38&lt;'Données projet'!$A$62,$AF$205^A38,IF(A38='Données projet'!$A$62,'Données projet'!$B$62,AI37+AH38-AQ37)))</f>
        <v>229</v>
      </c>
      <c r="AJ38" s="13">
        <f>AI38*VLOOKUP('Données projet'!$B$10,Paramètres!$A$1:$I$89,3,0)*VLOOKUP('Données projet'!$B$10,Paramètres!$A$1:$I$89,5,0)</f>
        <v>130.988</v>
      </c>
      <c r="AK38" s="13">
        <f t="shared" si="35"/>
        <v>34.224556427728572</v>
      </c>
      <c r="AL38" s="20">
        <f t="shared" si="4"/>
        <v>287.74520244496057</v>
      </c>
      <c r="AM38" s="59">
        <f t="shared" si="5"/>
        <v>324.41186911162725</v>
      </c>
      <c r="AN38" s="59">
        <f ca="1">AVERAGE(OFFSET($AM$3,0,0,'Données projet'!$E$10+1,1))-AVERAGE(OFFSET($H$3,0,0,'Données projet'!$E$10+1,1))</f>
        <v>302.26866345315602</v>
      </c>
      <c r="AO38" s="59">
        <f t="shared" si="36"/>
        <v>229.97213730997649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49</v>
      </c>
      <c r="AR38" s="16">
        <f>IF(ISNA(VLOOKUP(A38,'Données projet'!$A$61:$I$81,5,0)),0%,VLOOKUP(A38,'Données projet'!$A$61:$I$81,5,0)*VLOOKUP('Données projet'!$B$10,Paramètres!$A$1:$I$89,7,0))</f>
        <v>9.0000000000000011E-2</v>
      </c>
      <c r="AS38" s="16">
        <f>IF(ISNA(VLOOKUP(A38,'Données projet'!$A$61:$I$81,6,0)),0%,VLOOKUP(A38,'Données projet'!$A$61:$I$81,6,0)*VLOOKUP('Données projet'!$B$10,Paramètres!$A$1:$I$89,7,0))</f>
        <v>0.27</v>
      </c>
      <c r="AT38" s="16">
        <f>IF(ISNA(VLOOKUP(A38,'Données projet'!$A$61:$I$81,7,0)),0%,VLOOKUP(A38,'Données projet'!$A$61:$I$81,7,0))</f>
        <v>0.2</v>
      </c>
      <c r="AU38" s="21">
        <f>EXP(-LN(2)/35)*AU37+(1-EXP(-LN(2)/35))/(LN(2)/35)*AQ38*AR38*VLOOKUP('Données projet'!$B$10,Paramètres!$A$1:$I$89,3,0)*0.475*44/12</f>
        <v>3.3462853701353485</v>
      </c>
      <c r="AV38" s="21">
        <f>EXP(-LN(2)/25)*AV37+(1-EXP(-LN(2)/25))/(LN(2)/25)*Calculateur!AQ38*Calculateur!AS38*VLOOKUP('Données projet'!$B$10,Paramètres!$A$1:$I$89,3,0)*0.475*44/12</f>
        <v>16.394782032158329</v>
      </c>
      <c r="AW38" s="21">
        <f>EXP(-LN(2)/2)*AW37+(1-EXP(-LN(2)/2))/(LN(2)/2)*AQ38*AT38*VLOOKUP('Données projet'!$B$10,Paramètres!$A$1:$I$89,3,0)*0.475*44/12</f>
        <v>8.4204673974363278</v>
      </c>
      <c r="AX38" s="21">
        <f t="shared" si="6"/>
        <v>28.161534799730006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0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14.4</v>
      </c>
      <c r="N39" s="13">
        <f>IF('Données projet'!$A$36&gt;35,N38+M39-V38,IF(A39&lt;'Données projet'!$A$36,$K$205^A39,IF(A39='Données projet'!$A$36,'Données projet'!$B$36,N38+M39-V38)))</f>
        <v>165.39999999999995</v>
      </c>
      <c r="O39" s="13">
        <f>N39*VLOOKUP('Données projet'!$B$9,Paramètres!$A$1:$I$89,3,0)*VLOOKUP('Données projet'!$B$9,Paramètres!$A$1:$I$89,5,0)</f>
        <v>98.90919999999997</v>
      </c>
      <c r="P39" s="13">
        <f t="shared" si="33"/>
        <v>26.701963840454351</v>
      </c>
      <c r="Q39" s="20">
        <f t="shared" si="53"/>
        <v>218.77277702212461</v>
      </c>
      <c r="R39" s="59">
        <f t="shared" si="0"/>
        <v>255.43944368879127</v>
      </c>
      <c r="S39" s="59">
        <f ca="1">AVERAGE(OFFSET($R$3,0,0,'Données projet'!$E$9+1,1))-AVERAGE(OFFSET($H$3,0,0,'Données projet'!$E$9+1,1))</f>
        <v>318.84317557630413</v>
      </c>
      <c r="T39" s="59">
        <f t="shared" si="34"/>
        <v>211.80440891545263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2.8698225881457722</v>
      </c>
      <c r="AA39" s="21">
        <f>EXP(-LN(2)/25)*AA38+(1-EXP(-LN(2)/25))/(LN(2)/25)*Calculateur!V39*Calculateur!X39*VLOOKUP('Données projet'!$B$9,Paramètres!$A$1:$I$89,3,0)*0.475*44/12</f>
        <v>15.54108803282805</v>
      </c>
      <c r="AB39" s="21">
        <f>EXP(-LN(2)/2)*AB38+(1-EXP(-LN(2)/2))/(LN(2)/2)*V39*Y39*VLOOKUP('Données projet'!$B$9,Paramètres!$A$1:$I$89,3,0)*0.475*44/12</f>
        <v>5.3650034863211715</v>
      </c>
      <c r="AC39" s="22">
        <f t="shared" si="3"/>
        <v>23.775914107294994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15.2</v>
      </c>
      <c r="AI39" s="13">
        <f>IF('Données projet'!$A$62&gt;35,AI38+AH39-AQ38,IF(A39&lt;'Données projet'!$A$62,$AF$205^A39,IF(A39='Données projet'!$A$62,'Données projet'!$B$62,AI38+AH39-AQ38)))</f>
        <v>195.2</v>
      </c>
      <c r="AJ39" s="13">
        <f>AI39*VLOOKUP('Données projet'!$B$10,Paramètres!$A$1:$I$89,3,0)*VLOOKUP('Données projet'!$B$10,Paramètres!$A$1:$I$89,5,0)</f>
        <v>111.6544</v>
      </c>
      <c r="AK39" s="13">
        <f t="shared" si="35"/>
        <v>29.720434817267506</v>
      </c>
      <c r="AL39" s="20">
        <f t="shared" si="4"/>
        <v>246.22783730674089</v>
      </c>
      <c r="AM39" s="59">
        <f t="shared" si="5"/>
        <v>282.89450397340755</v>
      </c>
      <c r="AN39" s="59">
        <f ca="1">AVERAGE(OFFSET($AM$3,0,0,'Données projet'!$E$10+1,1))-AVERAGE(OFFSET($H$3,0,0,'Données projet'!$E$10+1,1))</f>
        <v>302.26866345315602</v>
      </c>
      <c r="AO39" s="59">
        <f t="shared" si="36"/>
        <v>229.97213730997649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3.280666755059535</v>
      </c>
      <c r="AV39" s="21">
        <f>EXP(-LN(2)/25)*AV38+(1-EXP(-LN(2)/25))/(LN(2)/25)*Calculateur!AQ39*Calculateur!AS39*VLOOKUP('Données projet'!$B$10,Paramètres!$A$1:$I$89,3,0)*0.475*44/12</f>
        <v>15.946465855324844</v>
      </c>
      <c r="AW39" s="21">
        <f>EXP(-LN(2)/2)*AW38+(1-EXP(-LN(2)/2))/(LN(2)/2)*AQ39*AT39*VLOOKUP('Données projet'!$B$10,Paramètres!$A$1:$I$89,3,0)*0.475*44/12</f>
        <v>5.9541695974874669</v>
      </c>
      <c r="AX39" s="21">
        <f t="shared" si="6"/>
        <v>25.181302207871848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0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14.4</v>
      </c>
      <c r="N40" s="13">
        <f>IF('Données projet'!$A$36&gt;35,N39+M40-V39,IF(A40&lt;'Données projet'!$A$36,$K$205^A40,IF(A40='Données projet'!$A$36,'Données projet'!$B$36,N39+M40-V39)))</f>
        <v>179.79999999999995</v>
      </c>
      <c r="O40" s="13">
        <f>N40*VLOOKUP('Données projet'!$B$9,Paramètres!$A$1:$I$89,3,0)*VLOOKUP('Données projet'!$B$9,Paramètres!$A$1:$I$89,5,0)</f>
        <v>107.52039999999998</v>
      </c>
      <c r="P40" s="13">
        <f t="shared" si="33"/>
        <v>28.745998516288878</v>
      </c>
      <c r="Q40" s="20">
        <f t="shared" si="53"/>
        <v>237.33064408253642</v>
      </c>
      <c r="R40" s="59">
        <f t="shared" si="0"/>
        <v>273.99731074920311</v>
      </c>
      <c r="S40" s="59">
        <f ca="1">AVERAGE(OFFSET($R$3,0,0,'Données projet'!$E$9+1,1))-AVERAGE(OFFSET($H$3,0,0,'Données projet'!$E$9+1,1))</f>
        <v>318.84317557630413</v>
      </c>
      <c r="T40" s="59">
        <f t="shared" si="34"/>
        <v>211.80440891545263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2.813547117611173</v>
      </c>
      <c r="AA40" s="21">
        <f>EXP(-LN(2)/25)*AA39+(1-EXP(-LN(2)/25))/(LN(2)/25)*Calculateur!V40*Calculateur!X40*VLOOKUP('Données projet'!$B$9,Paramètres!$A$1:$I$89,3,0)*0.475*44/12</f>
        <v>15.116116163300067</v>
      </c>
      <c r="AB40" s="21">
        <f>EXP(-LN(2)/2)*AB39+(1-EXP(-LN(2)/2))/(LN(2)/2)*V40*Y40*VLOOKUP('Données projet'!$B$9,Paramètres!$A$1:$I$89,3,0)*0.475*44/12</f>
        <v>3.7936303462671694</v>
      </c>
      <c r="AC40" s="22">
        <f t="shared" si="3"/>
        <v>21.723293627178407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15.2</v>
      </c>
      <c r="AI40" s="13">
        <f>IF('Données projet'!$A$62&gt;35,AI39+AH40-AQ39,IF(A40&lt;'Données projet'!$A$62,$AF$205^A40,IF(A40='Données projet'!$A$62,'Données projet'!$B$62,AI39+AH40-AQ39)))</f>
        <v>210.39999999999998</v>
      </c>
      <c r="AJ40" s="13">
        <f>AI40*VLOOKUP('Données projet'!$B$10,Paramètres!$A$1:$I$89,3,0)*VLOOKUP('Données projet'!$B$10,Paramètres!$A$1:$I$89,5,0)</f>
        <v>120.3488</v>
      </c>
      <c r="AK40" s="13">
        <f t="shared" si="35"/>
        <v>31.756337418906501</v>
      </c>
      <c r="AL40" s="20">
        <f t="shared" si="4"/>
        <v>264.91644767126212</v>
      </c>
      <c r="AM40" s="59">
        <f t="shared" si="5"/>
        <v>301.58311433792881</v>
      </c>
      <c r="AN40" s="59">
        <f ca="1">AVERAGE(OFFSET($AM$3,0,0,'Données projet'!$E$10+1,1))-AVERAGE(OFFSET($H$3,0,0,'Données projet'!$E$10+1,1))</f>
        <v>302.26866345315602</v>
      </c>
      <c r="AO40" s="59">
        <f t="shared" si="36"/>
        <v>229.97213730997649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3.2163348810019547</v>
      </c>
      <c r="AV40" s="21">
        <f>EXP(-LN(2)/25)*AV39+(1-EXP(-LN(2)/25))/(LN(2)/25)*Calculateur!AQ40*Calculateur!AS40*VLOOKUP('Données projet'!$B$10,Paramètres!$A$1:$I$89,3,0)*0.475*44/12</f>
        <v>15.510408907922793</v>
      </c>
      <c r="AW40" s="21">
        <f>EXP(-LN(2)/2)*AW39+(1-EXP(-LN(2)/2))/(LN(2)/2)*AQ40*AT40*VLOOKUP('Données projet'!$B$10,Paramètres!$A$1:$I$89,3,0)*0.475*44/12</f>
        <v>4.2102336987181639</v>
      </c>
      <c r="AX40" s="21">
        <f t="shared" si="6"/>
        <v>22.93697748764291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0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14.4</v>
      </c>
      <c r="N41" s="13">
        <f>IF('Données projet'!$A$36&gt;35,N40+M41-V40,IF(A41&lt;'Données projet'!$A$36,$K$205^A41,IF(A41='Données projet'!$A$36,'Données projet'!$B$36,N40+M41-V40)))</f>
        <v>194.19999999999996</v>
      </c>
      <c r="O41" s="13">
        <f>N41*VLOOKUP('Données projet'!$B$9,Paramètres!$A$1:$I$89,3,0)*VLOOKUP('Données projet'!$B$9,Paramètres!$A$1:$I$89,5,0)</f>
        <v>116.13159999999998</v>
      </c>
      <c r="P41" s="13">
        <f t="shared" si="33"/>
        <v>30.771045099371396</v>
      </c>
      <c r="Q41" s="20">
        <f t="shared" si="53"/>
        <v>255.85544021473845</v>
      </c>
      <c r="R41" s="59">
        <f t="shared" si="0"/>
        <v>292.52210688140514</v>
      </c>
      <c r="S41" s="59">
        <f ca="1">AVERAGE(OFFSET($R$3,0,0,'Données projet'!$E$9+1,1))-AVERAGE(OFFSET($H$3,0,0,'Données projet'!$E$9+1,1))</f>
        <v>318.84317557630413</v>
      </c>
      <c r="T41" s="59">
        <f t="shared" si="34"/>
        <v>211.80440891545263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2.7583751747291094</v>
      </c>
      <c r="AA41" s="21">
        <f>EXP(-LN(2)/25)*AA40+(1-EXP(-LN(2)/25))/(LN(2)/25)*Calculateur!V41*Calculateur!X41*VLOOKUP('Données projet'!$B$9,Paramètres!$A$1:$I$89,3,0)*0.475*44/12</f>
        <v>14.702765171892626</v>
      </c>
      <c r="AB41" s="21">
        <f>EXP(-LN(2)/2)*AB40+(1-EXP(-LN(2)/2))/(LN(2)/2)*V41*Y41*VLOOKUP('Données projet'!$B$9,Paramètres!$A$1:$I$89,3,0)*0.475*44/12</f>
        <v>2.6825017431605862</v>
      </c>
      <c r="AC41" s="22">
        <f t="shared" si="3"/>
        <v>20.143642089782322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15.2</v>
      </c>
      <c r="AI41" s="13">
        <f>IF('Données projet'!$A$62&gt;35,AI40+AH41-AQ40,IF(A41&lt;'Données projet'!$A$62,$AF$205^A41,IF(A41='Données projet'!$A$62,'Données projet'!$B$62,AI40+AH41-AQ40)))</f>
        <v>225.59999999999997</v>
      </c>
      <c r="AJ41" s="13">
        <f>AI41*VLOOKUP('Données projet'!$B$10,Paramètres!$A$1:$I$89,3,0)*VLOOKUP('Données projet'!$B$10,Paramètres!$A$1:$I$89,5,0)</f>
        <v>129.04319999999998</v>
      </c>
      <c r="AK41" s="13">
        <f t="shared" si="35"/>
        <v>33.775175980637393</v>
      </c>
      <c r="AL41" s="20">
        <f t="shared" si="4"/>
        <v>283.57533816627671</v>
      </c>
      <c r="AM41" s="59">
        <f t="shared" si="5"/>
        <v>320.24200483294339</v>
      </c>
      <c r="AN41" s="59">
        <f ca="1">AVERAGE(OFFSET($AM$3,0,0,'Données projet'!$E$10+1,1))-AVERAGE(OFFSET($H$3,0,0,'Données projet'!$E$10+1,1))</f>
        <v>302.26866345315602</v>
      </c>
      <c r="AO41" s="59">
        <f t="shared" si="36"/>
        <v>229.97213730997649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3.1532645157560752</v>
      </c>
      <c r="AV41" s="21">
        <f>EXP(-LN(2)/25)*AV40+(1-EXP(-LN(2)/25))/(LN(2)/25)*Calculateur!AQ41*Calculateur!AS41*VLOOKUP('Données projet'!$B$10,Paramètres!$A$1:$I$89,3,0)*0.475*44/12</f>
        <v>15.086275960678689</v>
      </c>
      <c r="AW41" s="21">
        <f>EXP(-LN(2)/2)*AW40+(1-EXP(-LN(2)/2))/(LN(2)/2)*AQ41*AT41*VLOOKUP('Données projet'!$B$10,Paramètres!$A$1:$I$89,3,0)*0.475*44/12</f>
        <v>2.9770847987437334</v>
      </c>
      <c r="AX41" s="21">
        <f t="shared" si="6"/>
        <v>21.216625275178497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0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14.4</v>
      </c>
      <c r="N42" s="13">
        <f>IF('Données projet'!$A$36&gt;35,N41+M42-V41,IF(A42&lt;'Données projet'!$A$36,$K$205^A42,IF(A42='Données projet'!$A$36,'Données projet'!$B$36,N41+M42-V41)))</f>
        <v>208.59999999999997</v>
      </c>
      <c r="O42" s="13">
        <f>N42*VLOOKUP('Données projet'!$B$9,Paramètres!$A$1:$I$89,3,0)*VLOOKUP('Données projet'!$B$9,Paramètres!$A$1:$I$89,5,0)</f>
        <v>124.74279999999999</v>
      </c>
      <c r="P42" s="13">
        <f t="shared" si="33"/>
        <v>32.778671669154043</v>
      </c>
      <c r="Q42" s="20">
        <f t="shared" si="53"/>
        <v>274.34989649044331</v>
      </c>
      <c r="R42" s="59">
        <f t="shared" si="0"/>
        <v>311.01656315711</v>
      </c>
      <c r="S42" s="59">
        <f ca="1">AVERAGE(OFFSET($R$3,0,0,'Données projet'!$E$9+1,1))-AVERAGE(OFFSET($H$3,0,0,'Données projet'!$E$9+1,1))</f>
        <v>318.84317557630413</v>
      </c>
      <c r="T42" s="59">
        <f t="shared" si="34"/>
        <v>211.80440891545263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2.7042851199954008</v>
      </c>
      <c r="AA42" s="21">
        <f>EXP(-LN(2)/25)*AA41+(1-EXP(-LN(2)/25))/(LN(2)/25)*Calculateur!V42*Calculateur!X42*VLOOKUP('Données projet'!$B$9,Paramètres!$A$1:$I$89,3,0)*0.475*44/12</f>
        <v>14.300717285082404</v>
      </c>
      <c r="AB42" s="21">
        <f>EXP(-LN(2)/2)*AB41+(1-EXP(-LN(2)/2))/(LN(2)/2)*V42*Y42*VLOOKUP('Données projet'!$B$9,Paramètres!$A$1:$I$89,3,0)*0.475*44/12</f>
        <v>1.8968151731335852</v>
      </c>
      <c r="AC42" s="22">
        <f t="shared" si="3"/>
        <v>18.901817578211389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15.2</v>
      </c>
      <c r="AI42" s="13">
        <f>IF('Données projet'!$A$62&gt;35,AI41+AH42-AQ41,IF(A42&lt;'Données projet'!$A$62,$AF$205^A42,IF(A42='Données projet'!$A$62,'Données projet'!$B$62,AI41+AH42-AQ41)))</f>
        <v>240.79999999999995</v>
      </c>
      <c r="AJ42" s="13">
        <f>AI42*VLOOKUP('Données projet'!$B$10,Paramètres!$A$1:$I$89,3,0)*VLOOKUP('Données projet'!$B$10,Paramètres!$A$1:$I$89,5,0)</f>
        <v>137.73759999999999</v>
      </c>
      <c r="AK42" s="13">
        <f t="shared" si="35"/>
        <v>35.778231015585945</v>
      </c>
      <c r="AL42" s="20">
        <f t="shared" si="4"/>
        <v>302.20673901881219</v>
      </c>
      <c r="AM42" s="59">
        <f t="shared" si="5"/>
        <v>338.87340568547887</v>
      </c>
      <c r="AN42" s="59">
        <f ca="1">AVERAGE(OFFSET($AM$3,0,0,'Données projet'!$E$10+1,1))-AVERAGE(OFFSET($H$3,0,0,'Données projet'!$E$10+1,1))</f>
        <v>302.26866345315602</v>
      </c>
      <c r="AO42" s="59">
        <f t="shared" si="36"/>
        <v>229.97213730997649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3.0914309219035432</v>
      </c>
      <c r="AV42" s="21">
        <f>EXP(-LN(2)/25)*AV41+(1-EXP(-LN(2)/25))/(LN(2)/25)*Calculateur!AQ42*Calculateur!AS42*VLOOKUP('Données projet'!$B$10,Paramètres!$A$1:$I$89,3,0)*0.475*44/12</f>
        <v>14.673740951181157</v>
      </c>
      <c r="AW42" s="21">
        <f>EXP(-LN(2)/2)*AW41+(1-EXP(-LN(2)/2))/(LN(2)/2)*AQ42*AT42*VLOOKUP('Données projet'!$B$10,Paramètres!$A$1:$I$89,3,0)*0.475*44/12</f>
        <v>2.1051168493590819</v>
      </c>
      <c r="AX42" s="21">
        <f t="shared" si="6"/>
        <v>19.870288722443782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0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223</v>
      </c>
      <c r="L43" s="12">
        <f>VLOOKUP(A43,'Données projet'!$A$35:$I$55,9,0)</f>
        <v>14.4</v>
      </c>
      <c r="M43" s="12">
        <f t="array" ref="M43">INDEX(L:L,MIN(IF(ISNUMBER(L43:L239),ROW(L43:L239),"")))</f>
        <v>14.4</v>
      </c>
      <c r="N43" s="13">
        <f>IF('Données projet'!$A$36&gt;35,N42+M43-V42,IF(A43&lt;'Données projet'!$A$36,$K$205^A43,IF(A43='Données projet'!$A$36,'Données projet'!$B$36,N42+M43-V42)))</f>
        <v>222.99999999999997</v>
      </c>
      <c r="O43" s="13">
        <f>N43*VLOOKUP('Données projet'!$B$9,Paramètres!$A$1:$I$89,3,0)*VLOOKUP('Données projet'!$B$9,Paramètres!$A$1:$I$89,5,0)</f>
        <v>133.35400000000001</v>
      </c>
      <c r="P43" s="13">
        <f t="shared" si="33"/>
        <v>34.770217553947298</v>
      </c>
      <c r="Q43" s="20">
        <f t="shared" si="53"/>
        <v>292.81634557312492</v>
      </c>
      <c r="R43" s="59">
        <f t="shared" si="0"/>
        <v>329.48301223979161</v>
      </c>
      <c r="S43" s="59">
        <f ca="1">AVERAGE(OFFSET($R$3,0,0,'Données projet'!$E$9+1,1))-AVERAGE(OFFSET($H$3,0,0,'Données projet'!$E$9+1,1))</f>
        <v>318.84317557630413</v>
      </c>
      <c r="T43" s="59">
        <f t="shared" si="34"/>
        <v>211.80440891545263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0.18000000000000002</v>
      </c>
      <c r="X43" s="16">
        <f>IF(ISNA(VLOOKUP(A43,'Données projet'!$A$35:$I$55,6,0)),0%,VLOOKUP(A43,'Données projet'!$A$35:$I$55,6,0)*VLOOKUP('Données projet'!$B$9,Paramètres!$A$1:$I$89,7,0))</f>
        <v>0.22500000000000001</v>
      </c>
      <c r="Y43" s="16">
        <f>IF(ISNA(VLOOKUP(A43,'Données projet'!$A$35:$I$55,7,0)),0%,VLOOKUP(A43,'Données projet'!$A$35:$I$55,7,0))</f>
        <v>0.1</v>
      </c>
      <c r="Z43" s="21">
        <f>EXP(-LN(2)/35)*Z42+(1-EXP(-LN(2)/35))/(LN(2)/35)*V43*W43*VLOOKUP('Données projet'!$B$9,Paramètres!$A$1:$I$89,3,0)*0.475*44/12</f>
        <v>8.5057030555673414</v>
      </c>
      <c r="AA43" s="21">
        <f>EXP(-LN(2)/25)*AA42+(1-EXP(-LN(2)/25))/(LN(2)/25)*Calculateur!V43*Calculateur!X43*VLOOKUP('Données projet'!$B$9,Paramètres!$A$1:$I$89,3,0)*0.475*44/12</f>
        <v>21.198908578275265</v>
      </c>
      <c r="AB43" s="21">
        <f>EXP(-LN(2)/2)*AB42+(1-EXP(-LN(2)/2))/(LN(2)/2)*V43*Y43*VLOOKUP('Données projet'!$B$9,Paramètres!$A$1:$I$89,3,0)*0.475*44/12</f>
        <v>4.1172580186556829</v>
      </c>
      <c r="AC43" s="22">
        <f t="shared" si="3"/>
        <v>33.821869652498293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256</v>
      </c>
      <c r="AG43" s="12">
        <f>VLOOKUP(A43,'Données projet'!$A$61:$I$81,9,0)</f>
        <v>15.2</v>
      </c>
      <c r="AH43" s="12">
        <f t="array" ref="AH43">INDEX(AG:AG,MIN(IF(ISNUMBER(AG43:AG239),ROW(AG43:AG239),"")))</f>
        <v>15.2</v>
      </c>
      <c r="AI43" s="13">
        <f>IF('Données projet'!$A$62&gt;35,AI42+AH43-AQ42,IF(A43&lt;'Données projet'!$A$62,$AF$205^A43,IF(A43='Données projet'!$A$62,'Données projet'!$B$62,AI42+AH43-AQ42)))</f>
        <v>255.99999999999994</v>
      </c>
      <c r="AJ43" s="13">
        <f>AI43*VLOOKUP('Données projet'!$B$10,Paramètres!$A$1:$I$89,3,0)*VLOOKUP('Données projet'!$B$10,Paramètres!$A$1:$I$89,5,0)</f>
        <v>146.43199999999996</v>
      </c>
      <c r="AK43" s="13">
        <f t="shared" si="35"/>
        <v>37.766612239306838</v>
      </c>
      <c r="AL43" s="20">
        <f t="shared" si="4"/>
        <v>320.81258298345932</v>
      </c>
      <c r="AM43" s="59">
        <f t="shared" si="5"/>
        <v>357.47924965012601</v>
      </c>
      <c r="AN43" s="59">
        <f ca="1">AVERAGE(OFFSET($AM$3,0,0,'Données projet'!$E$10+1,1))-AVERAGE(OFFSET($H$3,0,0,'Données projet'!$E$10+1,1))</f>
        <v>302.26866345315602</v>
      </c>
      <c r="AO43" s="59">
        <f t="shared" si="36"/>
        <v>229.97213730997649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0.18000000000000002</v>
      </c>
      <c r="AS43" s="16">
        <f>IF(ISNA(VLOOKUP(A43,'Données projet'!$A$61:$I$81,6,0)),0%,VLOOKUP(A43,'Données projet'!$A$61:$I$81,6,0)*VLOOKUP('Données projet'!$B$10,Paramètres!$A$1:$I$89,7,0))</f>
        <v>0.22500000000000001</v>
      </c>
      <c r="AT43" s="16">
        <f>IF(ISNA(VLOOKUP(A43,'Données projet'!$A$61:$I$81,7,0)),0%,VLOOKUP(A43,'Données projet'!$A$61:$I$81,7,0))</f>
        <v>0.1</v>
      </c>
      <c r="AU43" s="21">
        <f>EXP(-LN(2)/35)*AU42+(1-EXP(-LN(2)/35))/(LN(2)/35)*AQ43*AR43*VLOOKUP('Données projet'!$B$10,Paramètres!$A$1:$I$89,3,0)*0.475*44/12</f>
        <v>8.7672990530580037</v>
      </c>
      <c r="AV43" s="21">
        <f>EXP(-LN(2)/25)*AV42+(1-EXP(-LN(2)/25))/(LN(2)/25)*Calculateur!AQ43*Calculateur!AS43*VLOOKUP('Données projet'!$B$10,Paramètres!$A$1:$I$89,3,0)*0.475*44/12</f>
        <v>21.41486481092355</v>
      </c>
      <c r="AW43" s="21">
        <f>EXP(-LN(2)/2)*AW42+(1-EXP(-LN(2)/2))/(LN(2)/2)*AQ43*AT43*VLOOKUP('Données projet'!$B$10,Paramètres!$A$1:$I$89,3,0)*0.475*44/12</f>
        <v>4.208617270949448</v>
      </c>
      <c r="AX43" s="21">
        <f t="shared" si="6"/>
        <v>34.390781134931004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0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16.600000000000001</v>
      </c>
      <c r="N44" s="13">
        <f>IF('Données projet'!$A$36&gt;35,N43+M44-V43,IF(A44&lt;'Données projet'!$A$36,$K$205^A44,IF(A44='Données projet'!$A$36,'Données projet'!$B$36,N43+M44-V43)))</f>
        <v>198.59999999999997</v>
      </c>
      <c r="O44" s="13">
        <f>N44*VLOOKUP('Données projet'!$B$9,Paramètres!$A$1:$I$89,3,0)*VLOOKUP('Données projet'!$B$9,Paramètres!$A$1:$I$89,5,0)</f>
        <v>118.7628</v>
      </c>
      <c r="P44" s="13">
        <f t="shared" si="33"/>
        <v>31.386268897228558</v>
      </c>
      <c r="Q44" s="20">
        <f t="shared" si="53"/>
        <v>261.50962832933971</v>
      </c>
      <c r="R44" s="59">
        <f t="shared" si="0"/>
        <v>298.17629499600639</v>
      </c>
      <c r="S44" s="59">
        <f ca="1">AVERAGE(OFFSET($R$3,0,0,'Données projet'!$E$9+1,1))-AVERAGE(OFFSET($H$3,0,0,'Données projet'!$E$9+1,1))</f>
        <v>318.84317557630413</v>
      </c>
      <c r="T44" s="59">
        <f t="shared" si="34"/>
        <v>211.80440891545263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8.33891140661426</v>
      </c>
      <c r="AA44" s="21">
        <f>EXP(-LN(2)/25)*AA43+(1-EXP(-LN(2)/25))/(LN(2)/25)*Calculateur!V44*Calculateur!X44*VLOOKUP('Données projet'!$B$9,Paramètres!$A$1:$I$89,3,0)*0.475*44/12</f>
        <v>20.619223308400176</v>
      </c>
      <c r="AB44" s="21">
        <f>EXP(-LN(2)/2)*AB43+(1-EXP(-LN(2)/2))/(LN(2)/2)*V44*Y44*VLOOKUP('Données projet'!$B$9,Paramètres!$A$1:$I$89,3,0)*0.475*44/12</f>
        <v>2.9113410648861224</v>
      </c>
      <c r="AC44" s="22">
        <f t="shared" si="3"/>
        <v>31.869475779900561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</v>
      </c>
      <c r="AI44" s="13">
        <f>IF('Données projet'!$A$62&gt;35,AI43+AH44-AQ43,IF(A44&lt;'Données projet'!$A$62,$AF$205^A44,IF(A44='Données projet'!$A$62,'Données projet'!$B$62,AI43+AH44-AQ43)))</f>
        <v>227.79999999999995</v>
      </c>
      <c r="AJ44" s="13">
        <f>AI44*VLOOKUP('Données projet'!$B$10,Paramètres!$A$1:$I$89,3,0)*VLOOKUP('Données projet'!$B$10,Paramètres!$A$1:$I$89,5,0)</f>
        <v>130.30159999999998</v>
      </c>
      <c r="AK44" s="13">
        <f t="shared" si="35"/>
        <v>34.066040835325218</v>
      </c>
      <c r="AL44" s="20">
        <f t="shared" si="4"/>
        <v>286.27364112152469</v>
      </c>
      <c r="AM44" s="59">
        <f t="shared" si="5"/>
        <v>322.94030778819138</v>
      </c>
      <c r="AN44" s="59">
        <f ca="1">AVERAGE(OFFSET($AM$3,0,0,'Données projet'!$E$10+1,1))-AVERAGE(OFFSET($H$3,0,0,'Données projet'!$E$10+1,1))</f>
        <v>302.26866345315602</v>
      </c>
      <c r="AO44" s="59">
        <f t="shared" si="36"/>
        <v>229.97213730997649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8.5953776661519345</v>
      </c>
      <c r="AV44" s="21">
        <f>EXP(-LN(2)/25)*AV43+(1-EXP(-LN(2)/25))/(LN(2)/25)*Calculateur!AQ44*Calculateur!AS44*VLOOKUP('Données projet'!$B$10,Paramètres!$A$1:$I$89,3,0)*0.475*44/12</f>
        <v>20.82927420651005</v>
      </c>
      <c r="AW44" s="21">
        <f>EXP(-LN(2)/2)*AW43+(1-EXP(-LN(2)/2))/(LN(2)/2)*AQ44*AT44*VLOOKUP('Données projet'!$B$10,Paramètres!$A$1:$I$89,3,0)*0.475*44/12</f>
        <v>2.9759418117071763</v>
      </c>
      <c r="AX44" s="21">
        <f t="shared" si="6"/>
        <v>32.400593684369156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0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16.600000000000001</v>
      </c>
      <c r="N45" s="13">
        <f>IF('Données projet'!$A$36&gt;35,N44+M45-V44,IF(A45&lt;'Données projet'!$A$36,$K$205^A45,IF(A45='Données projet'!$A$36,'Données projet'!$B$36,N44+M45-V44)))</f>
        <v>215.19999999999996</v>
      </c>
      <c r="O45" s="13">
        <f>N45*VLOOKUP('Données projet'!$B$9,Paramètres!$A$1:$I$89,3,0)*VLOOKUP('Données projet'!$B$9,Paramètres!$A$1:$I$89,5,0)</f>
        <v>128.68959999999998</v>
      </c>
      <c r="P45" s="13">
        <f t="shared" si="33"/>
        <v>33.693386060248059</v>
      </c>
      <c r="Q45" s="20">
        <f t="shared" si="53"/>
        <v>282.81703405493198</v>
      </c>
      <c r="R45" s="59">
        <f t="shared" si="0"/>
        <v>319.48370072159867</v>
      </c>
      <c r="S45" s="59">
        <f ca="1">AVERAGE(OFFSET($R$3,0,0,'Données projet'!$E$9+1,1))-AVERAGE(OFFSET($H$3,0,0,'Données projet'!$E$9+1,1))</f>
        <v>318.84317557630413</v>
      </c>
      <c r="T45" s="59">
        <f t="shared" si="34"/>
        <v>211.80440891545263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8.1753904401642892</v>
      </c>
      <c r="AA45" s="21">
        <f>EXP(-LN(2)/25)*AA44+(1-EXP(-LN(2)/25))/(LN(2)/25)*Calculateur!V45*Calculateur!X45*VLOOKUP('Données projet'!$B$9,Paramètres!$A$1:$I$89,3,0)*0.475*44/12</f>
        <v>20.055389562714147</v>
      </c>
      <c r="AB45" s="21">
        <f>EXP(-LN(2)/2)*AB44+(1-EXP(-LN(2)/2))/(LN(2)/2)*V45*Y45*VLOOKUP('Données projet'!$B$9,Paramètres!$A$1:$I$89,3,0)*0.475*44/12</f>
        <v>2.0586290093278419</v>
      </c>
      <c r="AC45" s="22">
        <f t="shared" si="3"/>
        <v>30.289409012206278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13.8</v>
      </c>
      <c r="AI45" s="13">
        <f>IF('Données projet'!$A$62&gt;35,AI44+AH45-AQ44,IF(A45&lt;'Données projet'!$A$62,$AF$205^A45,IF(A45='Données projet'!$A$62,'Données projet'!$B$62,AI44+AH45-AQ44)))</f>
        <v>241.59999999999997</v>
      </c>
      <c r="AJ45" s="13">
        <f>AI45*VLOOKUP('Données projet'!$B$10,Paramètres!$A$1:$I$89,3,0)*VLOOKUP('Données projet'!$B$10,Paramètres!$A$1:$I$89,5,0)</f>
        <v>138.1952</v>
      </c>
      <c r="AK45" s="13">
        <f t="shared" si="35"/>
        <v>35.883239453452433</v>
      </c>
      <c r="AL45" s="20">
        <f t="shared" si="4"/>
        <v>303.18661538142965</v>
      </c>
      <c r="AM45" s="59">
        <f t="shared" si="5"/>
        <v>339.85328204809633</v>
      </c>
      <c r="AN45" s="59">
        <f ca="1">AVERAGE(OFFSET($AM$3,0,0,'Données projet'!$E$10+1,1))-AVERAGE(OFFSET($H$3,0,0,'Données projet'!$E$10+1,1))</f>
        <v>302.26866345315602</v>
      </c>
      <c r="AO45" s="59">
        <f t="shared" si="36"/>
        <v>229.97213730997649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8.4268275527814023</v>
      </c>
      <c r="AV45" s="21">
        <f>EXP(-LN(2)/25)*AV44+(1-EXP(-LN(2)/25))/(LN(2)/25)*Calculateur!AQ45*Calculateur!AS45*VLOOKUP('Données projet'!$B$10,Paramètres!$A$1:$I$89,3,0)*0.475*44/12</f>
        <v>20.259696607969108</v>
      </c>
      <c r="AW45" s="21">
        <f>EXP(-LN(2)/2)*AW44+(1-EXP(-LN(2)/2))/(LN(2)/2)*AQ45*AT45*VLOOKUP('Données projet'!$B$10,Paramètres!$A$1:$I$89,3,0)*0.475*44/12</f>
        <v>2.1043086354747245</v>
      </c>
      <c r="AX45" s="21">
        <f t="shared" si="6"/>
        <v>30.790832796225232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0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16.600000000000001</v>
      </c>
      <c r="N46" s="13">
        <f>IF('Données projet'!$A$36&gt;35,N45+M46-V45,IF(A46&lt;'Données projet'!$A$36,$K$205^A46,IF(A46='Données projet'!$A$36,'Données projet'!$B$36,N45+M46-V45)))</f>
        <v>231.79999999999995</v>
      </c>
      <c r="O46" s="13">
        <f>N46*VLOOKUP('Données projet'!$B$9,Paramètres!$A$1:$I$89,3,0)*VLOOKUP('Données projet'!$B$9,Paramètres!$A$1:$I$89,5,0)</f>
        <v>138.6164</v>
      </c>
      <c r="P46" s="13">
        <f t="shared" si="33"/>
        <v>35.979859178441714</v>
      </c>
      <c r="Q46" s="20">
        <f t="shared" si="53"/>
        <v>304.08848473578593</v>
      </c>
      <c r="R46" s="59">
        <f t="shared" si="0"/>
        <v>340.75515140245261</v>
      </c>
      <c r="S46" s="59">
        <f ca="1">AVERAGE(OFFSET($R$3,0,0,'Données projet'!$E$9+1,1))-AVERAGE(OFFSET($H$3,0,0,'Données projet'!$E$9+1,1))</f>
        <v>318.84317557630413</v>
      </c>
      <c r="T46" s="59">
        <f t="shared" si="34"/>
        <v>211.80440891545263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8.0150760201284612</v>
      </c>
      <c r="AA46" s="21">
        <f>EXP(-LN(2)/25)*AA45+(1-EXP(-LN(2)/25))/(LN(2)/25)*Calculateur!V46*Calculateur!X46*VLOOKUP('Données projet'!$B$9,Paramètres!$A$1:$I$89,3,0)*0.475*44/12</f>
        <v>19.50697388045463</v>
      </c>
      <c r="AB46" s="21">
        <f>EXP(-LN(2)/2)*AB45+(1-EXP(-LN(2)/2))/(LN(2)/2)*V46*Y46*VLOOKUP('Données projet'!$B$9,Paramètres!$A$1:$I$89,3,0)*0.475*44/12</f>
        <v>1.4556705324430614</v>
      </c>
      <c r="AC46" s="22">
        <f t="shared" si="3"/>
        <v>28.977720433026153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13.8</v>
      </c>
      <c r="AI46" s="13">
        <f>IF('Données projet'!$A$62&gt;35,AI45+AH46-AQ45,IF(A46&lt;'Données projet'!$A$62,$AF$205^A46,IF(A46='Données projet'!$A$62,'Données projet'!$B$62,AI45+AH46-AQ45)))</f>
        <v>255.39999999999998</v>
      </c>
      <c r="AJ46" s="13">
        <f>AI46*VLOOKUP('Données projet'!$B$10,Paramètres!$A$1:$I$89,3,0)*VLOOKUP('Données projet'!$B$10,Paramètres!$A$1:$I$89,5,0)</f>
        <v>146.08879999999999</v>
      </c>
      <c r="AK46" s="13">
        <f t="shared" si="35"/>
        <v>37.688389267810216</v>
      </c>
      <c r="AL46" s="20">
        <f t="shared" si="4"/>
        <v>320.07860464143613</v>
      </c>
      <c r="AM46" s="59">
        <f t="shared" si="5"/>
        <v>356.74527130810282</v>
      </c>
      <c r="AN46" s="59">
        <f ca="1">AVERAGE(OFFSET($AM$3,0,0,'Données projet'!$E$10+1,1))-AVERAGE(OFFSET($H$3,0,0,'Données projet'!$E$10+1,1))</f>
        <v>302.26866345315602</v>
      </c>
      <c r="AO46" s="59">
        <f t="shared" si="36"/>
        <v>229.97213730997649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8.2615826043286482</v>
      </c>
      <c r="AV46" s="21">
        <f>EXP(-LN(2)/25)*AV45+(1-EXP(-LN(2)/25))/(LN(2)/25)*Calculateur!AQ46*Calculateur!AS46*VLOOKUP('Données projet'!$B$10,Paramètres!$A$1:$I$89,3,0)*0.475*44/12</f>
        <v>19.705694138813051</v>
      </c>
      <c r="AW46" s="21">
        <f>EXP(-LN(2)/2)*AW45+(1-EXP(-LN(2)/2))/(LN(2)/2)*AQ46*AT46*VLOOKUP('Données projet'!$B$10,Paramètres!$A$1:$I$89,3,0)*0.475*44/12</f>
        <v>1.4879709058535886</v>
      </c>
      <c r="AX46" s="21">
        <f t="shared" si="6"/>
        <v>29.455247648995289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0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16.600000000000001</v>
      </c>
      <c r="N47" s="13">
        <f>IF('Données projet'!$A$36&gt;35,N46+M47-V46,IF(A47&lt;'Données projet'!$A$36,$K$205^A47,IF(A47='Données projet'!$A$36,'Données projet'!$B$36,N46+M47-V46)))</f>
        <v>248.39999999999995</v>
      </c>
      <c r="O47" s="13">
        <f>N47*VLOOKUP('Données projet'!$B$9,Paramètres!$A$1:$I$89,3,0)*VLOOKUP('Données projet'!$B$9,Paramètres!$A$1:$I$89,5,0)</f>
        <v>148.54319999999998</v>
      </c>
      <c r="P47" s="13">
        <f t="shared" si="33"/>
        <v>38.247334783976747</v>
      </c>
      <c r="Q47" s="20">
        <f t="shared" si="53"/>
        <v>325.32684808209279</v>
      </c>
      <c r="R47" s="59">
        <f t="shared" si="0"/>
        <v>361.99351474875948</v>
      </c>
      <c r="S47" s="59">
        <f ca="1">AVERAGE(OFFSET($R$3,0,0,'Données projet'!$E$9+1,1))-AVERAGE(OFFSET($H$3,0,0,'Données projet'!$E$9+1,1))</f>
        <v>318.84317557630413</v>
      </c>
      <c r="T47" s="59">
        <f t="shared" si="34"/>
        <v>211.80440891545263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7.8579052680873938</v>
      </c>
      <c r="AA47" s="21">
        <f>EXP(-LN(2)/25)*AA46+(1-EXP(-LN(2)/25))/(LN(2)/25)*Calculateur!V47*Calculateur!X47*VLOOKUP('Données projet'!$B$9,Paramètres!$A$1:$I$89,3,0)*0.475*44/12</f>
        <v>18.973554653866426</v>
      </c>
      <c r="AB47" s="21">
        <f>EXP(-LN(2)/2)*AB46+(1-EXP(-LN(2)/2))/(LN(2)/2)*V47*Y47*VLOOKUP('Données projet'!$B$9,Paramètres!$A$1:$I$89,3,0)*0.475*44/12</f>
        <v>1.0293145046639209</v>
      </c>
      <c r="AC47" s="22">
        <f t="shared" si="3"/>
        <v>27.860774426617741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13.8</v>
      </c>
      <c r="AI47" s="13">
        <f>IF('Données projet'!$A$62&gt;35,AI46+AH47-AQ46,IF(A47&lt;'Données projet'!$A$62,$AF$205^A47,IF(A47='Données projet'!$A$62,'Données projet'!$B$62,AI46+AH47-AQ46)))</f>
        <v>269.2</v>
      </c>
      <c r="AJ47" s="13">
        <f>AI47*VLOOKUP('Données projet'!$B$10,Paramètres!$A$1:$I$89,3,0)*VLOOKUP('Données projet'!$B$10,Paramètres!$A$1:$I$89,5,0)</f>
        <v>153.98239999999998</v>
      </c>
      <c r="AK47" s="13">
        <f t="shared" si="35"/>
        <v>39.482215533662355</v>
      </c>
      <c r="AL47" s="20">
        <f t="shared" si="4"/>
        <v>336.95087205446191</v>
      </c>
      <c r="AM47" s="59">
        <f t="shared" si="5"/>
        <v>373.6175387211286</v>
      </c>
      <c r="AN47" s="59">
        <f ca="1">AVERAGE(OFFSET($AM$3,0,0,'Données projet'!$E$10+1,1))-AVERAGE(OFFSET($H$3,0,0,'Données projet'!$E$10+1,1))</f>
        <v>302.26866345315602</v>
      </c>
      <c r="AO47" s="59">
        <f t="shared" si="36"/>
        <v>229.97213730997649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8.0995780085255848</v>
      </c>
      <c r="AV47" s="21">
        <f>EXP(-LN(2)/25)*AV46+(1-EXP(-LN(2)/25))/(LN(2)/25)*Calculateur!AQ47*Calculateur!AS47*VLOOKUP('Données projet'!$B$10,Paramètres!$A$1:$I$89,3,0)*0.475*44/12</f>
        <v>19.166840896309793</v>
      </c>
      <c r="AW47" s="21">
        <f>EXP(-LN(2)/2)*AW46+(1-EXP(-LN(2)/2))/(LN(2)/2)*AQ47*AT47*VLOOKUP('Données projet'!$B$10,Paramètres!$A$1:$I$89,3,0)*0.475*44/12</f>
        <v>1.0521543177373625</v>
      </c>
      <c r="AX47" s="21">
        <f t="shared" si="6"/>
        <v>28.318573222572738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0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265</v>
      </c>
      <c r="L48" s="12">
        <f>VLOOKUP(A48,'Données projet'!$A$35:$I$55,9,0)</f>
        <v>16.600000000000001</v>
      </c>
      <c r="M48" s="12">
        <f t="array" ref="M48">INDEX(L:L,MIN(IF(ISNUMBER(L48:L244),ROW(L48:L244),"")))</f>
        <v>16.600000000000001</v>
      </c>
      <c r="N48" s="13">
        <f>IF('Données projet'!$A$36&gt;35,N47+M48-V47,IF(A48&lt;'Données projet'!$A$36,$K$205^A48,IF(A48='Données projet'!$A$36,'Données projet'!$B$36,N47+M48-V47)))</f>
        <v>264.99999999999994</v>
      </c>
      <c r="O48" s="13">
        <f>N48*VLOOKUP('Données projet'!$B$9,Paramètres!$A$1:$I$89,3,0)*VLOOKUP('Données projet'!$B$9,Paramètres!$A$1:$I$89,5,0)</f>
        <v>158.46999999999997</v>
      </c>
      <c r="P48" s="13">
        <f t="shared" si="33"/>
        <v>40.497226890293632</v>
      </c>
      <c r="Q48" s="20">
        <f t="shared" si="53"/>
        <v>346.53458683392802</v>
      </c>
      <c r="R48" s="59">
        <f t="shared" si="0"/>
        <v>383.2012535005947</v>
      </c>
      <c r="S48" s="59">
        <f ca="1">AVERAGE(OFFSET($R$3,0,0,'Données projet'!$E$9+1,1))-AVERAGE(OFFSET($H$3,0,0,'Données projet'!$E$9+1,1))</f>
        <v>318.84317557630413</v>
      </c>
      <c r="T48" s="59">
        <f t="shared" si="34"/>
        <v>211.80440891545263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53</v>
      </c>
      <c r="W48" s="16">
        <f>IF(ISNA(VLOOKUP(A48,'Données projet'!$A$35:$I$55,5,0)),0%,VLOOKUP(A48,'Données projet'!$A$35:$I$55,5,0)*VLOOKUP('Données projet'!$B$9,Paramètres!$A$1:$I$89,7,0))</f>
        <v>0.22500000000000001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17.163746655036839</v>
      </c>
      <c r="AA48" s="21">
        <f>EXP(-LN(2)/25)*AA47+(1-EXP(-LN(2)/25))/(LN(2)/25)*Calculateur!V48*Calculateur!X48*VLOOKUP('Données projet'!$B$9,Paramètres!$A$1:$I$89,3,0)*0.475*44/12</f>
        <v>27.877404571103991</v>
      </c>
      <c r="AB48" s="21">
        <f>EXP(-LN(2)/2)*AB47+(1-EXP(-LN(2)/2))/(LN(2)/2)*V48*Y48*VLOOKUP('Données projet'!$B$9,Paramètres!$A$1:$I$89,3,0)*0.475*44/12</f>
        <v>0.72783526622153072</v>
      </c>
      <c r="AC48" s="22">
        <f t="shared" si="3"/>
        <v>45.768986492362359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283</v>
      </c>
      <c r="AG48" s="12">
        <f>VLOOKUP(A48,'Données projet'!$A$61:$I$81,9,0)</f>
        <v>13.8</v>
      </c>
      <c r="AH48" s="12">
        <f t="array" ref="AH48">INDEX(AG:AG,MIN(IF(ISNUMBER(AG48:AG244),ROW(AG48:AG244),"")))</f>
        <v>13.8</v>
      </c>
      <c r="AI48" s="13">
        <f>IF('Données projet'!$A$62&gt;35,AI47+AH48-AQ47,IF(A48&lt;'Données projet'!$A$62,$AF$205^A48,IF(A48='Données projet'!$A$62,'Données projet'!$B$62,AI47+AH48-AQ47)))</f>
        <v>283</v>
      </c>
      <c r="AJ48" s="13">
        <f>AI48*VLOOKUP('Données projet'!$B$10,Paramètres!$A$1:$I$89,3,0)*VLOOKUP('Données projet'!$B$10,Paramètres!$A$1:$I$89,5,0)</f>
        <v>161.876</v>
      </c>
      <c r="AK48" s="13">
        <f t="shared" si="35"/>
        <v>41.2653649487576</v>
      </c>
      <c r="AL48" s="20">
        <f t="shared" si="4"/>
        <v>353.80454395241946</v>
      </c>
      <c r="AM48" s="59">
        <f t="shared" si="5"/>
        <v>390.47121061908615</v>
      </c>
      <c r="AN48" s="59">
        <f ca="1">AVERAGE(OFFSET($AM$3,0,0,'Données projet'!$E$10+1,1))-AVERAGE(OFFSET($H$3,0,0,'Données projet'!$E$10+1,1))</f>
        <v>302.26866345315602</v>
      </c>
      <c r="AO48" s="59">
        <f t="shared" si="36"/>
        <v>229.97213730997649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38</v>
      </c>
      <c r="AR48" s="16">
        <f>IF(ISNA(VLOOKUP(A48,'Données projet'!$A$61:$I$81,5,0)),0%,VLOOKUP(A48,'Données projet'!$A$61:$I$81,5,0)*VLOOKUP('Données projet'!$B$10,Paramètres!$A$1:$I$89,7,0))</f>
        <v>0.22500000000000001</v>
      </c>
      <c r="AS48" s="16">
        <f>IF(ISNA(VLOOKUP(A48,'Données projet'!$A$61:$I$81,6,0)),0%,VLOOKUP(A48,'Données projet'!$A$61:$I$81,6,0)*VLOOKUP('Données projet'!$B$10,Paramètres!$A$1:$I$89,7,0))</f>
        <v>0.22500000000000001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14.428446349805789</v>
      </c>
      <c r="AV48" s="21">
        <f>EXP(-LN(2)/25)*AV47+(1-EXP(-LN(2)/25))/(LN(2)/25)*Calculateur!AQ48*Calculateur!AS48*VLOOKUP('Données projet'!$B$10,Paramètres!$A$1:$I$89,3,0)*0.475*44/12</f>
        <v>25.104874218179269</v>
      </c>
      <c r="AW48" s="21">
        <f>EXP(-LN(2)/2)*AW47+(1-EXP(-LN(2)/2))/(LN(2)/2)*AQ48*AT48*VLOOKUP('Données projet'!$B$10,Paramètres!$A$1:$I$89,3,0)*0.475*44/12</f>
        <v>0.74398545292679441</v>
      </c>
      <c r="AX48" s="21">
        <f t="shared" si="6"/>
        <v>40.277306020911851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0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229.39999999999992</v>
      </c>
      <c r="O49" s="13">
        <f>N49*VLOOKUP('Données projet'!$B$9,Paramètres!$A$1:$I$89,3,0)*VLOOKUP('Données projet'!$B$9,Paramètres!$A$1:$I$89,5,0)</f>
        <v>137.18119999999996</v>
      </c>
      <c r="P49" s="13">
        <f t="shared" si="33"/>
        <v>35.650495570194252</v>
      </c>
      <c r="Q49" s="20">
        <f t="shared" si="53"/>
        <v>301.01520311808821</v>
      </c>
      <c r="R49" s="59">
        <f t="shared" si="0"/>
        <v>337.68186978475489</v>
      </c>
      <c r="S49" s="59">
        <f ca="1">AVERAGE(OFFSET($R$3,0,0,'Données projet'!$E$9+1,1))-AVERAGE(OFFSET($H$3,0,0,'Données projet'!$E$9+1,1))</f>
        <v>318.84317557630413</v>
      </c>
      <c r="T49" s="59">
        <f t="shared" si="34"/>
        <v>211.80440891545263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16.827176051983312</v>
      </c>
      <c r="AA49" s="21">
        <f>EXP(-LN(2)/25)*AA48+(1-EXP(-LN(2)/25))/(LN(2)/25)*Calculateur!V49*Calculateur!X49*VLOOKUP('Données projet'!$B$9,Paramètres!$A$1:$I$89,3,0)*0.475*44/12</f>
        <v>27.115095477098162</v>
      </c>
      <c r="AB49" s="21">
        <f>EXP(-LN(2)/2)*AB48+(1-EXP(-LN(2)/2))/(LN(2)/2)*V49*Y49*VLOOKUP('Données projet'!$B$9,Paramètres!$A$1:$I$89,3,0)*0.475*44/12</f>
        <v>0.51465725233196047</v>
      </c>
      <c r="AC49" s="22">
        <f t="shared" si="3"/>
        <v>44.456928781413431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13.2</v>
      </c>
      <c r="AI49" s="13">
        <f>IF('Données projet'!$A$62&gt;35,AI48+AH49-AQ48,IF(A49&lt;'Données projet'!$A$62,$AF$205^A49,IF(A49='Données projet'!$A$62,'Données projet'!$B$62,AI48+AH49-AQ48)))</f>
        <v>258.2</v>
      </c>
      <c r="AJ49" s="13">
        <f>AI49*VLOOKUP('Données projet'!$B$10,Paramètres!$A$1:$I$89,3,0)*VLOOKUP('Données projet'!$B$10,Paramètres!$A$1:$I$89,5,0)</f>
        <v>147.69039999999998</v>
      </c>
      <c r="AK49" s="13">
        <f t="shared" si="35"/>
        <v>38.053247671549173</v>
      </c>
      <c r="AL49" s="20">
        <f t="shared" si="4"/>
        <v>323.50351969461479</v>
      </c>
      <c r="AM49" s="59">
        <f t="shared" si="5"/>
        <v>360.17018636128148</v>
      </c>
      <c r="AN49" s="59">
        <f ca="1">AVERAGE(OFFSET($AM$3,0,0,'Données projet'!$E$10+1,1))-AVERAGE(OFFSET($H$3,0,0,'Données projet'!$E$10+1,1))</f>
        <v>302.26866345315602</v>
      </c>
      <c r="AO49" s="59">
        <f t="shared" si="36"/>
        <v>229.97213730997649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14.145513317369396</v>
      </c>
      <c r="AV49" s="21">
        <f>EXP(-LN(2)/25)*AV48+(1-EXP(-LN(2)/25))/(LN(2)/25)*Calculateur!AQ49*Calculateur!AS49*VLOOKUP('Données projet'!$B$10,Paramètres!$A$1:$I$89,3,0)*0.475*44/12</f>
        <v>24.418380112475198</v>
      </c>
      <c r="AW49" s="21">
        <f>EXP(-LN(2)/2)*AW48+(1-EXP(-LN(2)/2))/(LN(2)/2)*AQ49*AT49*VLOOKUP('Données projet'!$B$10,Paramètres!$A$1:$I$89,3,0)*0.475*44/12</f>
        <v>0.52607715886868134</v>
      </c>
      <c r="AX49" s="21">
        <f t="shared" si="6"/>
        <v>39.089970588713278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0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246.79999999999993</v>
      </c>
      <c r="O50" s="13">
        <f>N50*VLOOKUP('Données projet'!$B$9,Paramètres!$A$1:$I$89,3,0)*VLOOKUP('Données projet'!$B$9,Paramètres!$A$1:$I$89,5,0)</f>
        <v>147.58639999999997</v>
      </c>
      <c r="P50" s="13">
        <f t="shared" si="33"/>
        <v>38.029569600982974</v>
      </c>
      <c r="Q50" s="20">
        <f t="shared" si="53"/>
        <v>323.28114705504527</v>
      </c>
      <c r="R50" s="59">
        <f t="shared" si="0"/>
        <v>359.94781372171195</v>
      </c>
      <c r="S50" s="59">
        <f ca="1">AVERAGE(OFFSET($R$3,0,0,'Données projet'!$E$9+1,1))-AVERAGE(OFFSET($H$3,0,0,'Données projet'!$E$9+1,1))</f>
        <v>318.84317557630413</v>
      </c>
      <c r="T50" s="59">
        <f t="shared" si="34"/>
        <v>211.80440891545263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16.497205393167867</v>
      </c>
      <c r="AA50" s="21">
        <f>EXP(-LN(2)/25)*AA49+(1-EXP(-LN(2)/25))/(LN(2)/25)*Calculateur!V50*Calculateur!X50*VLOOKUP('Données projet'!$B$9,Paramètres!$A$1:$I$89,3,0)*0.475*44/12</f>
        <v>26.373631765356013</v>
      </c>
      <c r="AB50" s="21">
        <f>EXP(-LN(2)/2)*AB49+(1-EXP(-LN(2)/2))/(LN(2)/2)*V50*Y50*VLOOKUP('Données projet'!$B$9,Paramètres!$A$1:$I$89,3,0)*0.475*44/12</f>
        <v>0.36391763311076536</v>
      </c>
      <c r="AC50" s="22">
        <f t="shared" si="3"/>
        <v>43.23475479163465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13.2</v>
      </c>
      <c r="AI50" s="13">
        <f>IF('Données projet'!$A$62&gt;35,AI49+AH50-AQ49,IF(A50&lt;'Données projet'!$A$62,$AF$205^A50,IF(A50='Données projet'!$A$62,'Données projet'!$B$62,AI49+AH50-AQ49)))</f>
        <v>271.39999999999998</v>
      </c>
      <c r="AJ50" s="13">
        <f>AI50*VLOOKUP('Données projet'!$B$10,Paramètres!$A$1:$I$89,3,0)*VLOOKUP('Données projet'!$B$10,Paramètres!$A$1:$I$89,5,0)</f>
        <v>155.24080000000001</v>
      </c>
      <c r="AK50" s="13">
        <f t="shared" si="35"/>
        <v>39.767185348358026</v>
      </c>
      <c r="AL50" s="20">
        <f t="shared" si="4"/>
        <v>339.63890781505688</v>
      </c>
      <c r="AM50" s="59">
        <f t="shared" si="5"/>
        <v>376.30557448172357</v>
      </c>
      <c r="AN50" s="59">
        <f ca="1">AVERAGE(OFFSET($AM$3,0,0,'Données projet'!$E$10+1,1))-AVERAGE(OFFSET($H$3,0,0,'Données projet'!$E$10+1,1))</f>
        <v>302.26866345315602</v>
      </c>
      <c r="AO50" s="59">
        <f t="shared" si="36"/>
        <v>229.97213730997649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13.868128429126971</v>
      </c>
      <c r="AV50" s="21">
        <f>EXP(-LN(2)/25)*AV49+(1-EXP(-LN(2)/25))/(LN(2)/25)*Calculateur!AQ50*Calculateur!AS50*VLOOKUP('Données projet'!$B$10,Paramètres!$A$1:$I$89,3,0)*0.475*44/12</f>
        <v>23.750658224192762</v>
      </c>
      <c r="AW50" s="21">
        <f>EXP(-LN(2)/2)*AW49+(1-EXP(-LN(2)/2))/(LN(2)/2)*AQ50*AT50*VLOOKUP('Données projet'!$B$10,Paramètres!$A$1:$I$89,3,0)*0.475*44/12</f>
        <v>0.37199272646339726</v>
      </c>
      <c r="AX50" s="21">
        <f t="shared" si="6"/>
        <v>37.990779379783127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0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264.19999999999993</v>
      </c>
      <c r="O51" s="13">
        <f>N51*VLOOKUP('Données projet'!$B$9,Paramètres!$A$1:$I$89,3,0)*VLOOKUP('Données projet'!$B$9,Paramètres!$A$1:$I$89,5,0)</f>
        <v>157.99159999999998</v>
      </c>
      <c r="P51" s="13">
        <f t="shared" si="33"/>
        <v>40.389182682530262</v>
      </c>
      <c r="Q51" s="20">
        <f t="shared" si="53"/>
        <v>345.51319650540682</v>
      </c>
      <c r="R51" s="59">
        <f t="shared" si="0"/>
        <v>382.17986317207351</v>
      </c>
      <c r="S51" s="59">
        <f ca="1">AVERAGE(OFFSET($R$3,0,0,'Données projet'!$E$9+1,1))-AVERAGE(OFFSET($H$3,0,0,'Données projet'!$E$9+1,1))</f>
        <v>318.84317557630413</v>
      </c>
      <c r="T51" s="59">
        <f t="shared" si="34"/>
        <v>211.80440891545263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16.173705257709564</v>
      </c>
      <c r="AA51" s="21">
        <f>EXP(-LN(2)/25)*AA50+(1-EXP(-LN(2)/25))/(LN(2)/25)*Calculateur!V51*Calculateur!X51*VLOOKUP('Données projet'!$B$9,Paramètres!$A$1:$I$89,3,0)*0.475*44/12</f>
        <v>25.652443417803337</v>
      </c>
      <c r="AB51" s="21">
        <f>EXP(-LN(2)/2)*AB50+(1-EXP(-LN(2)/2))/(LN(2)/2)*V51*Y51*VLOOKUP('Données projet'!$B$9,Paramètres!$A$1:$I$89,3,0)*0.475*44/12</f>
        <v>0.25732862616598023</v>
      </c>
      <c r="AC51" s="22">
        <f t="shared" si="3"/>
        <v>42.083477301678876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13.2</v>
      </c>
      <c r="AI51" s="13">
        <f>IF('Données projet'!$A$62&gt;35,AI50+AH51-AQ50,IF(A51&lt;'Données projet'!$A$62,$AF$205^A51,IF(A51='Données projet'!$A$62,'Données projet'!$B$62,AI50+AH51-AQ50)))</f>
        <v>284.59999999999997</v>
      </c>
      <c r="AJ51" s="13">
        <f>AI51*VLOOKUP('Données projet'!$B$10,Paramètres!$A$1:$I$89,3,0)*VLOOKUP('Données projet'!$B$10,Paramètres!$A$1:$I$89,5,0)</f>
        <v>162.7912</v>
      </c>
      <c r="AK51" s="13">
        <f t="shared" si="35"/>
        <v>41.471443274907386</v>
      </c>
      <c r="AL51" s="20">
        <f t="shared" si="4"/>
        <v>355.75743703713033</v>
      </c>
      <c r="AM51" s="59">
        <f t="shared" si="5"/>
        <v>392.42410370379702</v>
      </c>
      <c r="AN51" s="59">
        <f ca="1">AVERAGE(OFFSET($AM$3,0,0,'Données projet'!$E$10+1,1))-AVERAGE(OFFSET($H$3,0,0,'Données projet'!$E$10+1,1))</f>
        <v>302.26866345315602</v>
      </c>
      <c r="AO51" s="59">
        <f t="shared" si="36"/>
        <v>229.97213730997649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13.596182889354903</v>
      </c>
      <c r="AV51" s="21">
        <f>EXP(-LN(2)/25)*AV50+(1-EXP(-LN(2)/25))/(LN(2)/25)*Calculateur!AQ51*Calculateur!AS51*VLOOKUP('Données projet'!$B$10,Paramètres!$A$1:$I$89,3,0)*0.475*44/12</f>
        <v>23.101195226059378</v>
      </c>
      <c r="AW51" s="21">
        <f>EXP(-LN(2)/2)*AW50+(1-EXP(-LN(2)/2))/(LN(2)/2)*AQ51*AT51*VLOOKUP('Données projet'!$B$10,Paramètres!$A$1:$I$89,3,0)*0.475*44/12</f>
        <v>0.26303857943434067</v>
      </c>
      <c r="AX51" s="21">
        <f t="shared" si="6"/>
        <v>36.960416694848625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0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281.59999999999991</v>
      </c>
      <c r="O52" s="13">
        <f>N52*VLOOKUP('Données projet'!$B$9,Paramètres!$A$1:$I$89,3,0)*VLOOKUP('Données projet'!$B$9,Paramètres!$A$1:$I$89,5,0)</f>
        <v>168.39679999999998</v>
      </c>
      <c r="P52" s="13">
        <f t="shared" si="33"/>
        <v>42.730762346041942</v>
      </c>
      <c r="Q52" s="20">
        <f t="shared" si="53"/>
        <v>367.7138377526897</v>
      </c>
      <c r="R52" s="59">
        <f t="shared" si="0"/>
        <v>404.38050441935638</v>
      </c>
      <c r="S52" s="59">
        <f ca="1">AVERAGE(OFFSET($R$3,0,0,'Données projet'!$E$9+1,1))-AVERAGE(OFFSET($H$3,0,0,'Données projet'!$E$9+1,1))</f>
        <v>318.84317557630413</v>
      </c>
      <c r="T52" s="59">
        <f t="shared" si="34"/>
        <v>211.80440891545263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15.856548762592</v>
      </c>
      <c r="AA52" s="21">
        <f>EXP(-LN(2)/25)*AA51+(1-EXP(-LN(2)/25))/(LN(2)/25)*Calculateur!V52*Calculateur!X52*VLOOKUP('Données projet'!$B$9,Paramètres!$A$1:$I$89,3,0)*0.475*44/12</f>
        <v>24.950976003540134</v>
      </c>
      <c r="AB52" s="21">
        <f>EXP(-LN(2)/2)*AB51+(1-EXP(-LN(2)/2))/(LN(2)/2)*V52*Y52*VLOOKUP('Données projet'!$B$9,Paramètres!$A$1:$I$89,3,0)*0.475*44/12</f>
        <v>0.18195881655538268</v>
      </c>
      <c r="AC52" s="22">
        <f t="shared" si="3"/>
        <v>40.989483582687512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13.2</v>
      </c>
      <c r="AI52" s="13">
        <f>IF('Données projet'!$A$62&gt;35,AI51+AH52-AQ51,IF(A52&lt;'Données projet'!$A$62,$AF$205^A52,IF(A52='Données projet'!$A$62,'Données projet'!$B$62,AI51+AH52-AQ51)))</f>
        <v>297.79999999999995</v>
      </c>
      <c r="AJ52" s="13">
        <f>AI52*VLOOKUP('Données projet'!$B$10,Paramètres!$A$1:$I$89,3,0)*VLOOKUP('Données projet'!$B$10,Paramètres!$A$1:$I$89,5,0)</f>
        <v>170.34159999999997</v>
      </c>
      <c r="AK52" s="13">
        <f t="shared" si="35"/>
        <v>43.166521681123569</v>
      </c>
      <c r="AL52" s="20">
        <f t="shared" si="4"/>
        <v>371.8599785946235</v>
      </c>
      <c r="AM52" s="59">
        <f t="shared" si="5"/>
        <v>408.52664526129018</v>
      </c>
      <c r="AN52" s="59">
        <f ca="1">AVERAGE(OFFSET($AM$3,0,0,'Données projet'!$E$10+1,1))-AVERAGE(OFFSET($H$3,0,0,'Données projet'!$E$10+1,1))</f>
        <v>302.26866345315602</v>
      </c>
      <c r="AO52" s="59">
        <f t="shared" si="36"/>
        <v>229.97213730997649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13.329570035747365</v>
      </c>
      <c r="AV52" s="21">
        <f>EXP(-LN(2)/25)*AV51+(1-EXP(-LN(2)/25))/(LN(2)/25)*Calculateur!AQ52*Calculateur!AS52*VLOOKUP('Données projet'!$B$10,Paramètres!$A$1:$I$89,3,0)*0.475*44/12</f>
        <v>22.469491827763726</v>
      </c>
      <c r="AW52" s="21">
        <f>EXP(-LN(2)/2)*AW51+(1-EXP(-LN(2)/2))/(LN(2)/2)*AQ52*AT52*VLOOKUP('Données projet'!$B$10,Paramètres!$A$1:$I$89,3,0)*0.475*44/12</f>
        <v>0.18599636323169863</v>
      </c>
      <c r="AX52" s="21">
        <f t="shared" si="6"/>
        <v>35.985058226742794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0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299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298.99999999999989</v>
      </c>
      <c r="O53" s="13">
        <f>N53*VLOOKUP('Données projet'!$B$9,Paramètres!$A$1:$I$89,3,0)*VLOOKUP('Données projet'!$B$9,Paramètres!$A$1:$I$89,5,0)</f>
        <v>178.80199999999996</v>
      </c>
      <c r="P53" s="13">
        <f t="shared" si="33"/>
        <v>45.055549739375898</v>
      </c>
      <c r="Q53" s="20">
        <f t="shared" si="53"/>
        <v>389.88523246274627</v>
      </c>
      <c r="R53" s="59">
        <f t="shared" si="0"/>
        <v>426.55189912941296</v>
      </c>
      <c r="S53" s="59">
        <f ca="1">AVERAGE(OFFSET($R$3,0,0,'Données projet'!$E$9+1,1))-AVERAGE(OFFSET($H$3,0,0,'Données projet'!$E$9+1,1))</f>
        <v>318.84317557630413</v>
      </c>
      <c r="T53" s="59">
        <f t="shared" si="34"/>
        <v>211.80440891545263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53</v>
      </c>
      <c r="W53" s="16">
        <f>IF(ISNA(VLOOKUP(A53,'Données projet'!$A$35:$I$55,5,0)),0%,VLOOKUP(A53,'Données projet'!$A$35:$I$55,5,0)*VLOOKUP('Données projet'!$B$9,Paramètres!$A$1:$I$89,7,0))</f>
        <v>0.22500000000000001</v>
      </c>
      <c r="X53" s="16">
        <f>IF(ISNA(VLOOKUP(A53,'Données projet'!$A$35:$I$55,6,0)),0%,VLOOKUP(A53,'Données projet'!$A$35:$I$55,6,0)*VLOOKUP('Données projet'!$B$9,Paramètres!$A$1:$I$89,7,0))</f>
        <v>0.22500000000000001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25.005541629305007</v>
      </c>
      <c r="AA53" s="21">
        <f>EXP(-LN(2)/25)*AA52+(1-EXP(-LN(2)/25))/(LN(2)/25)*Calculateur!V53*Calculateur!X53*VLOOKUP('Données projet'!$B$9,Paramètres!$A$1:$I$89,3,0)*0.475*44/12</f>
        <v>33.691373019631946</v>
      </c>
      <c r="AB53" s="21">
        <f>EXP(-LN(2)/2)*AB52+(1-EXP(-LN(2)/2))/(LN(2)/2)*V53*Y53*VLOOKUP('Données projet'!$B$9,Paramètres!$A$1:$I$89,3,0)*0.475*44/12</f>
        <v>0.12866431308299012</v>
      </c>
      <c r="AC53" s="22">
        <f t="shared" si="3"/>
        <v>58.825578962019947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311</v>
      </c>
      <c r="AG53" s="12">
        <f>VLOOKUP(A53,'Données projet'!$A$61:$I$81,9,0)</f>
        <v>13.2</v>
      </c>
      <c r="AH53" s="12">
        <f t="array" ref="AH53">INDEX(AG:AG,MIN(IF(ISNUMBER(AG53:AG249),ROW(AG53:AG249),"")))</f>
        <v>13.2</v>
      </c>
      <c r="AI53" s="13">
        <f>IF('Données projet'!$A$62&gt;35,AI52+AH53-AQ52,IF(A53&lt;'Données projet'!$A$62,$AF$205^A53,IF(A53='Données projet'!$A$62,'Données projet'!$B$62,AI52+AH53-AQ52)))</f>
        <v>310.99999999999994</v>
      </c>
      <c r="AJ53" s="13">
        <f>AI53*VLOOKUP('Données projet'!$B$10,Paramètres!$A$1:$I$89,3,0)*VLOOKUP('Données projet'!$B$10,Paramètres!$A$1:$I$89,5,0)</f>
        <v>177.89199999999997</v>
      </c>
      <c r="AK53" s="13">
        <f t="shared" si="35"/>
        <v>44.8528739442404</v>
      </c>
      <c r="AL53" s="20">
        <f t="shared" si="4"/>
        <v>387.94732211955193</v>
      </c>
      <c r="AM53" s="59">
        <f t="shared" si="5"/>
        <v>424.61398878621861</v>
      </c>
      <c r="AN53" s="59">
        <f ca="1">AVERAGE(OFFSET($AM$3,0,0,'Données projet'!$E$10+1,1))-AVERAGE(OFFSET($H$3,0,0,'Données projet'!$E$10+1,1))</f>
        <v>302.26866345315602</v>
      </c>
      <c r="AO53" s="59">
        <f t="shared" si="36"/>
        <v>229.97213730997649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37</v>
      </c>
      <c r="AR53" s="16">
        <f>IF(ISNA(VLOOKUP(A53,'Données projet'!$A$61:$I$81,5,0)),0%,VLOOKUP(A53,'Données projet'!$A$61:$I$81,5,0)*VLOOKUP('Données projet'!$B$10,Paramètres!$A$1:$I$89,7,0))</f>
        <v>0.22500000000000001</v>
      </c>
      <c r="AS53" s="16">
        <f>IF(ISNA(VLOOKUP(A53,'Données projet'!$A$61:$I$81,6,0)),0%,VLOOKUP(A53,'Données projet'!$A$61:$I$81,6,0)*VLOOKUP('Données projet'!$B$10,Paramètres!$A$1:$I$89,7,0))</f>
        <v>0.22500000000000001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19.385152577938833</v>
      </c>
      <c r="AV53" s="21">
        <f>EXP(-LN(2)/25)*AV52+(1-EXP(-LN(2)/25))/(LN(2)/25)*Calculateur!AQ53*Calculateur!AS53*VLOOKUP('Données projet'!$B$10,Paramètres!$A$1:$I$89,3,0)*0.475*44/12</f>
        <v>28.14715736533585</v>
      </c>
      <c r="AW53" s="21">
        <f>EXP(-LN(2)/2)*AW52+(1-EXP(-LN(2)/2))/(LN(2)/2)*AQ53*AT53*VLOOKUP('Données projet'!$B$10,Paramètres!$A$1:$I$89,3,0)*0.475*44/12</f>
        <v>0.13151928971717033</v>
      </c>
      <c r="AX53" s="21">
        <f t="shared" si="6"/>
        <v>47.663829232991851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0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14.5</v>
      </c>
      <c r="N54" s="13">
        <f>IF('Données projet'!$A$36&gt;35,N53+M54-V53,IF(A54&lt;'Données projet'!$A$36,$K$205^A54,IF(A54='Données projet'!$A$36,'Données projet'!$B$36,N53+M54-V53)))</f>
        <v>260.49999999999989</v>
      </c>
      <c r="O54" s="13">
        <f>N54*VLOOKUP('Données projet'!$B$9,Paramètres!$A$1:$I$89,3,0)*VLOOKUP('Données projet'!$B$9,Paramètres!$A$1:$I$89,5,0)</f>
        <v>155.77899999999994</v>
      </c>
      <c r="P54" s="13">
        <f t="shared" si="33"/>
        <v>39.888980740365632</v>
      </c>
      <c r="Q54" s="20">
        <f t="shared" si="53"/>
        <v>340.78839978947002</v>
      </c>
      <c r="R54" s="59">
        <f t="shared" si="0"/>
        <v>377.45506645613671</v>
      </c>
      <c r="S54" s="59">
        <f ca="1">AVERAGE(OFFSET($R$3,0,0,'Données projet'!$E$9+1,1))-AVERAGE(OFFSET($H$3,0,0,'Données projet'!$E$9+1,1))</f>
        <v>318.84317557630413</v>
      </c>
      <c r="T54" s="59">
        <f t="shared" si="34"/>
        <v>211.80440891545263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24.515198209828732</v>
      </c>
      <c r="AA54" s="21">
        <f>EXP(-LN(2)/25)*AA53+(1-EXP(-LN(2)/25))/(LN(2)/25)*Calculateur!V54*Calculateur!X54*VLOOKUP('Données projet'!$B$9,Paramètres!$A$1:$I$89,3,0)*0.475*44/12</f>
        <v>32.770080652657803</v>
      </c>
      <c r="AB54" s="21">
        <f>EXP(-LN(2)/2)*AB53+(1-EXP(-LN(2)/2))/(LN(2)/2)*V54*Y54*VLOOKUP('Données projet'!$B$9,Paramètres!$A$1:$I$89,3,0)*0.475*44/12</f>
        <v>9.097940827769134E-2</v>
      </c>
      <c r="AC54" s="22">
        <f t="shared" si="3"/>
        <v>57.376258270764225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12.25</v>
      </c>
      <c r="AI54" s="13">
        <f>IF('Données projet'!$A$62&gt;35,AI53+AH54-AQ53,IF(A54&lt;'Données projet'!$A$62,$AF$205^A54,IF(A54='Données projet'!$A$62,'Données projet'!$B$62,AI53+AH54-AQ53)))</f>
        <v>286.24999999999994</v>
      </c>
      <c r="AJ54" s="13">
        <f>AI54*VLOOKUP('Données projet'!$B$10,Paramètres!$A$1:$I$89,3,0)*VLOOKUP('Données projet'!$B$10,Paramètres!$A$1:$I$89,5,0)</f>
        <v>163.73499999999999</v>
      </c>
      <c r="AK54" s="13">
        <f t="shared" si="35"/>
        <v>41.683820360110872</v>
      </c>
      <c r="AL54" s="20">
        <f t="shared" si="4"/>
        <v>357.77111212719302</v>
      </c>
      <c r="AM54" s="59">
        <f t="shared" si="5"/>
        <v>394.43777879385971</v>
      </c>
      <c r="AN54" s="59">
        <f ca="1">AVERAGE(OFFSET($AM$3,0,0,'Données projet'!$E$10+1,1))-AVERAGE(OFFSET($H$3,0,0,'Données projet'!$E$10+1,1))</f>
        <v>302.26866345315602</v>
      </c>
      <c r="AO54" s="59">
        <f t="shared" si="36"/>
        <v>229.97213730997649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19.005021559661024</v>
      </c>
      <c r="AV54" s="21">
        <f>EXP(-LN(2)/25)*AV53+(1-EXP(-LN(2)/25))/(LN(2)/25)*Calculateur!AQ54*Calculateur!AS54*VLOOKUP('Données projet'!$B$10,Paramètres!$A$1:$I$89,3,0)*0.475*44/12</f>
        <v>27.377471866986067</v>
      </c>
      <c r="AW54" s="21">
        <f>EXP(-LN(2)/2)*AW53+(1-EXP(-LN(2)/2))/(LN(2)/2)*AQ54*AT54*VLOOKUP('Données projet'!$B$10,Paramètres!$A$1:$I$89,3,0)*0.475*44/12</f>
        <v>9.2998181615849315E-2</v>
      </c>
      <c r="AX54" s="21">
        <f t="shared" si="6"/>
        <v>46.475491608262935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0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14.5</v>
      </c>
      <c r="N55" s="13">
        <f>IF('Données projet'!$A$36&gt;35,N54+M55-V54,IF(A55&lt;'Données projet'!$A$36,$K$205^A55,IF(A55='Données projet'!$A$36,'Données projet'!$B$36,N54+M55-V54)))</f>
        <v>274.99999999999989</v>
      </c>
      <c r="O55" s="13">
        <f>N55*VLOOKUP('Données projet'!$B$9,Paramètres!$A$1:$I$89,3,0)*VLOOKUP('Données projet'!$B$9,Paramètres!$A$1:$I$89,5,0)</f>
        <v>164.44999999999996</v>
      </c>
      <c r="P55" s="13">
        <f t="shared" si="33"/>
        <v>41.844617207687328</v>
      </c>
      <c r="Q55" s="20">
        <f t="shared" si="53"/>
        <v>359.29645830338865</v>
      </c>
      <c r="R55" s="59">
        <f t="shared" si="0"/>
        <v>395.96312497005533</v>
      </c>
      <c r="S55" s="59">
        <f ca="1">AVERAGE(OFFSET($R$3,0,0,'Données projet'!$E$9+1,1))-AVERAGE(OFFSET($H$3,0,0,'Données projet'!$E$9+1,1))</f>
        <v>318.84317557630413</v>
      </c>
      <c r="T55" s="59">
        <f t="shared" si="34"/>
        <v>211.80440891545263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24.034470125728433</v>
      </c>
      <c r="AA55" s="21">
        <f>EXP(-LN(2)/25)*AA54+(1-EXP(-LN(2)/25))/(LN(2)/25)*Calculateur!V55*Calculateur!X55*VLOOKUP('Données projet'!$B$9,Paramètres!$A$1:$I$89,3,0)*0.475*44/12</f>
        <v>31.873981073907231</v>
      </c>
      <c r="AB55" s="21">
        <f>EXP(-LN(2)/2)*AB54+(1-EXP(-LN(2)/2))/(LN(2)/2)*V55*Y55*VLOOKUP('Données projet'!$B$9,Paramètres!$A$1:$I$89,3,0)*0.475*44/12</f>
        <v>6.4332156541495059E-2</v>
      </c>
      <c r="AC55" s="22">
        <f t="shared" si="3"/>
        <v>55.97278335617716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12.25</v>
      </c>
      <c r="AI55" s="13">
        <f>IF('Données projet'!$A$62&gt;35,AI54+AH55-AQ54,IF(A55&lt;'Données projet'!$A$62,$AF$205^A55,IF(A55='Données projet'!$A$62,'Données projet'!$B$62,AI54+AH55-AQ54)))</f>
        <v>298.49999999999994</v>
      </c>
      <c r="AJ55" s="13">
        <f>AI55*VLOOKUP('Données projet'!$B$10,Paramètres!$A$1:$I$89,3,0)*VLOOKUP('Données projet'!$B$10,Paramètres!$A$1:$I$89,5,0)</f>
        <v>170.74199999999996</v>
      </c>
      <c r="AK55" s="13">
        <f t="shared" si="35"/>
        <v>43.256164755747903</v>
      </c>
      <c r="AL55" s="20">
        <f t="shared" si="4"/>
        <v>372.71347028292752</v>
      </c>
      <c r="AM55" s="59">
        <f t="shared" si="5"/>
        <v>409.3801369495942</v>
      </c>
      <c r="AN55" s="59">
        <f ca="1">AVERAGE(OFFSET($AM$3,0,0,'Données projet'!$E$10+1,1))-AVERAGE(OFFSET($H$3,0,0,'Données projet'!$E$10+1,1))</f>
        <v>302.26866345315602</v>
      </c>
      <c r="AO55" s="59">
        <f t="shared" si="36"/>
        <v>229.97213730997649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18.632344678794617</v>
      </c>
      <c r="AV55" s="21">
        <f>EXP(-LN(2)/25)*AV54+(1-EXP(-LN(2)/25))/(LN(2)/25)*Calculateur!AQ55*Calculateur!AS55*VLOOKUP('Données projet'!$B$10,Paramètres!$A$1:$I$89,3,0)*0.475*44/12</f>
        <v>26.628833459064658</v>
      </c>
      <c r="AW55" s="21">
        <f>EXP(-LN(2)/2)*AW54+(1-EXP(-LN(2)/2))/(LN(2)/2)*AQ55*AT55*VLOOKUP('Données projet'!$B$10,Paramètres!$A$1:$I$89,3,0)*0.475*44/12</f>
        <v>6.5759644858585167E-2</v>
      </c>
      <c r="AX55" s="21">
        <f t="shared" si="6"/>
        <v>45.326937782717863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0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14.5</v>
      </c>
      <c r="N56" s="13">
        <f>IF('Données projet'!$A$36&gt;35,N55+M56-V55,IF(A56&lt;'Données projet'!$A$36,$K$205^A56,IF(A56='Données projet'!$A$36,'Données projet'!$B$36,N55+M56-V55)))</f>
        <v>289.49999999999989</v>
      </c>
      <c r="O56" s="13">
        <f>N56*VLOOKUP('Données projet'!$B$9,Paramètres!$A$1:$I$89,3,0)*VLOOKUP('Données projet'!$B$9,Paramètres!$A$1:$I$89,5,0)</f>
        <v>173.12099999999995</v>
      </c>
      <c r="P56" s="13">
        <f t="shared" si="33"/>
        <v>43.788281946610645</v>
      </c>
      <c r="Q56" s="20">
        <f t="shared" si="53"/>
        <v>377.78366605701348</v>
      </c>
      <c r="R56" s="59">
        <f t="shared" si="0"/>
        <v>414.45033272368016</v>
      </c>
      <c r="S56" s="59">
        <f ca="1">AVERAGE(OFFSET($R$3,0,0,'Données projet'!$E$9+1,1))-AVERAGE(OFFSET($H$3,0,0,'Données projet'!$E$9+1,1))</f>
        <v>318.84317557630413</v>
      </c>
      <c r="T56" s="59">
        <f t="shared" si="34"/>
        <v>211.80440891545263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23.56316882614216</v>
      </c>
      <c r="AA56" s="21">
        <f>EXP(-LN(2)/25)*AA55+(1-EXP(-LN(2)/25))/(LN(2)/25)*Calculateur!V56*Calculateur!X56*VLOOKUP('Données projet'!$B$9,Paramètres!$A$1:$I$89,3,0)*0.475*44/12</f>
        <v>31.002385385261423</v>
      </c>
      <c r="AB56" s="21">
        <f>EXP(-LN(2)/2)*AB55+(1-EXP(-LN(2)/2))/(LN(2)/2)*V56*Y56*VLOOKUP('Données projet'!$B$9,Paramètres!$A$1:$I$89,3,0)*0.475*44/12</f>
        <v>4.548970413884567E-2</v>
      </c>
      <c r="AC56" s="22">
        <f t="shared" si="3"/>
        <v>54.611043915542425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12.25</v>
      </c>
      <c r="AI56" s="13">
        <f>IF('Données projet'!$A$62&gt;35,AI55+AH56-AQ55,IF(A56&lt;'Données projet'!$A$62,$AF$205^A56,IF(A56='Données projet'!$A$62,'Données projet'!$B$62,AI55+AH56-AQ55)))</f>
        <v>310.74999999999994</v>
      </c>
      <c r="AJ56" s="13">
        <f>AI56*VLOOKUP('Données projet'!$B$10,Paramètres!$A$1:$I$89,3,0)*VLOOKUP('Données projet'!$B$10,Paramètres!$A$1:$I$89,5,0)</f>
        <v>177.749</v>
      </c>
      <c r="AK56" s="13">
        <f t="shared" si="35"/>
        <v>44.821013932875545</v>
      </c>
      <c r="AL56" s="20">
        <f t="shared" si="4"/>
        <v>387.64277426642496</v>
      </c>
      <c r="AM56" s="59">
        <f t="shared" si="5"/>
        <v>424.30944093309165</v>
      </c>
      <c r="AN56" s="59">
        <f ca="1">AVERAGE(OFFSET($AM$3,0,0,'Données projet'!$E$10+1,1))-AVERAGE(OFFSET($H$3,0,0,'Données projet'!$E$10+1,1))</f>
        <v>302.26866345315602</v>
      </c>
      <c r="AO56" s="59">
        <f t="shared" si="36"/>
        <v>229.97213730997649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18.266975764251548</v>
      </c>
      <c r="AV56" s="21">
        <f>EXP(-LN(2)/25)*AV55+(1-EXP(-LN(2)/25))/(LN(2)/25)*Calculateur!AQ56*Calculateur!AS56*VLOOKUP('Données projet'!$B$10,Paramètres!$A$1:$I$89,3,0)*0.475*44/12</f>
        <v>25.900666607777044</v>
      </c>
      <c r="AW56" s="21">
        <f>EXP(-LN(2)/2)*AW55+(1-EXP(-LN(2)/2))/(LN(2)/2)*AQ56*AT56*VLOOKUP('Données projet'!$B$10,Paramètres!$A$1:$I$89,3,0)*0.475*44/12</f>
        <v>4.6499090807924658E-2</v>
      </c>
      <c r="AX56" s="21">
        <f t="shared" si="6"/>
        <v>44.214141462836523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0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14.5</v>
      </c>
      <c r="N57" s="13">
        <f>IF('Données projet'!$A$36&gt;35,N56+M57-V56,IF(A57&lt;'Données projet'!$A$36,$K$205^A57,IF(A57='Données projet'!$A$36,'Données projet'!$B$36,N56+M57-V56)))</f>
        <v>303.99999999999989</v>
      </c>
      <c r="O57" s="13">
        <f>N57*VLOOKUP('Données projet'!$B$9,Paramètres!$A$1:$I$89,3,0)*VLOOKUP('Données projet'!$B$9,Paramètres!$A$1:$I$89,5,0)</f>
        <v>181.79199999999994</v>
      </c>
      <c r="P57" s="13">
        <f t="shared" si="33"/>
        <v>45.720642997712531</v>
      </c>
      <c r="Q57" s="20">
        <f t="shared" si="53"/>
        <v>396.2511865543492</v>
      </c>
      <c r="R57" s="59">
        <f t="shared" si="0"/>
        <v>432.91785322101589</v>
      </c>
      <c r="S57" s="59">
        <f ca="1">AVERAGE(OFFSET($R$3,0,0,'Données projet'!$E$9+1,1))-AVERAGE(OFFSET($H$3,0,0,'Données projet'!$E$9+1,1))</f>
        <v>318.84317557630413</v>
      </c>
      <c r="T57" s="59">
        <f t="shared" si="34"/>
        <v>211.80440891545263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23.101109457575369</v>
      </c>
      <c r="AA57" s="21">
        <f>EXP(-LN(2)/25)*AA56+(1-EXP(-LN(2)/25))/(LN(2)/25)*Calculateur!V57*Calculateur!X57*VLOOKUP('Données projet'!$B$9,Paramètres!$A$1:$I$89,3,0)*0.475*44/12</f>
        <v>30.154623526556858</v>
      </c>
      <c r="AB57" s="21">
        <f>EXP(-LN(2)/2)*AB56+(1-EXP(-LN(2)/2))/(LN(2)/2)*V57*Y57*VLOOKUP('Données projet'!$B$9,Paramètres!$A$1:$I$89,3,0)*0.475*44/12</f>
        <v>3.2166078270747529E-2</v>
      </c>
      <c r="AC57" s="22">
        <f t="shared" si="3"/>
        <v>53.287899062402971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12.25</v>
      </c>
      <c r="AI57" s="13">
        <f>IF('Données projet'!$A$62&gt;35,AI56+AH57-AQ56,IF(A57&lt;'Données projet'!$A$62,$AF$205^A57,IF(A57='Données projet'!$A$62,'Données projet'!$B$62,AI56+AH57-AQ56)))</f>
        <v>322.99999999999994</v>
      </c>
      <c r="AJ57" s="13">
        <f>AI57*VLOOKUP('Données projet'!$B$10,Paramètres!$A$1:$I$89,3,0)*VLOOKUP('Données projet'!$B$10,Paramètres!$A$1:$I$89,5,0)</f>
        <v>184.75599999999997</v>
      </c>
      <c r="AK57" s="13">
        <f t="shared" si="35"/>
        <v>46.378697169162017</v>
      </c>
      <c r="AL57" s="20">
        <f t="shared" si="4"/>
        <v>402.5595975696238</v>
      </c>
      <c r="AM57" s="59">
        <f t="shared" si="5"/>
        <v>439.22626423629049</v>
      </c>
      <c r="AN57" s="59">
        <f ca="1">AVERAGE(OFFSET($AM$3,0,0,'Données projet'!$E$10+1,1))-AVERAGE(OFFSET($H$3,0,0,'Données projet'!$E$10+1,1))</f>
        <v>302.26866345315602</v>
      </c>
      <c r="AO57" s="59">
        <f t="shared" si="36"/>
        <v>229.97213730997649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17.908771511269634</v>
      </c>
      <c r="AV57" s="21">
        <f>EXP(-LN(2)/25)*AV56+(1-EXP(-LN(2)/25))/(LN(2)/25)*Calculateur!AQ57*Calculateur!AS57*VLOOKUP('Données projet'!$B$10,Paramètres!$A$1:$I$89,3,0)*0.475*44/12</f>
        <v>25.19241151733052</v>
      </c>
      <c r="AW57" s="21">
        <f>EXP(-LN(2)/2)*AW56+(1-EXP(-LN(2)/2))/(LN(2)/2)*AQ57*AT57*VLOOKUP('Données projet'!$B$10,Paramètres!$A$1:$I$89,3,0)*0.475*44/12</f>
        <v>3.2879822429292584E-2</v>
      </c>
      <c r="AX57" s="21">
        <f t="shared" si="6"/>
        <v>43.134062851029448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0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14.5</v>
      </c>
      <c r="N58" s="13">
        <f>IF('Données projet'!$A$36&gt;35,N57+M58-V57,IF(A58&lt;'Données projet'!$A$36,$K$205^A58,IF(A58='Données projet'!$A$36,'Données projet'!$B$36,N57+M58-V57)))</f>
        <v>318.49999999999989</v>
      </c>
      <c r="O58" s="13">
        <f>N58*VLOOKUP('Données projet'!$B$9,Paramètres!$A$1:$I$89,3,0)*VLOOKUP('Données projet'!$B$9,Paramètres!$A$1:$I$89,5,0)</f>
        <v>190.46299999999997</v>
      </c>
      <c r="P58" s="13">
        <f t="shared" si="33"/>
        <v>47.642301073090096</v>
      </c>
      <c r="Q58" s="20">
        <f t="shared" si="53"/>
        <v>414.70006603563183</v>
      </c>
      <c r="R58" s="59">
        <f t="shared" si="0"/>
        <v>451.36673270229852</v>
      </c>
      <c r="S58" s="59">
        <f ca="1">AVERAGE(OFFSET($R$3,0,0,'Données projet'!$E$9+1,1))-AVERAGE(OFFSET($H$3,0,0,'Données projet'!$E$9+1,1))</f>
        <v>318.84317557630413</v>
      </c>
      <c r="T58" s="59">
        <f t="shared" si="34"/>
        <v>211.80440891545263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22.648110791397784</v>
      </c>
      <c r="AA58" s="21">
        <f>EXP(-LN(2)/25)*AA57+(1-EXP(-LN(2)/25))/(LN(2)/25)*Calculateur!V58*Calculateur!X58*VLOOKUP('Données projet'!$B$9,Paramètres!$A$1:$I$89,3,0)*0.475*44/12</f>
        <v>29.330043760460427</v>
      </c>
      <c r="AB58" s="21">
        <f>EXP(-LN(2)/2)*AB57+(1-EXP(-LN(2)/2))/(LN(2)/2)*V58*Y58*VLOOKUP('Données projet'!$B$9,Paramètres!$A$1:$I$89,3,0)*0.475*44/12</f>
        <v>2.2744852069422835E-2</v>
      </c>
      <c r="AC58" s="22">
        <f t="shared" si="3"/>
        <v>52.000899403927633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12.25</v>
      </c>
      <c r="AI58" s="13">
        <f>IF('Données projet'!$A$62&gt;35,AI57+AH58-AQ57,IF(A58&lt;'Données projet'!$A$62,$AF$205^A58,IF(A58='Données projet'!$A$62,'Données projet'!$B$62,AI57+AH58-AQ57)))</f>
        <v>335.24999999999994</v>
      </c>
      <c r="AJ58" s="13">
        <f>AI58*VLOOKUP('Données projet'!$B$10,Paramètres!$A$1:$I$89,3,0)*VLOOKUP('Données projet'!$B$10,Paramètres!$A$1:$I$89,5,0)</f>
        <v>191.76299999999995</v>
      </c>
      <c r="AK58" s="13">
        <f t="shared" si="35"/>
        <v>47.929517351413239</v>
      </c>
      <c r="AL58" s="20">
        <f t="shared" si="4"/>
        <v>417.46446772037797</v>
      </c>
      <c r="AM58" s="59">
        <f t="shared" si="5"/>
        <v>454.13113438704465</v>
      </c>
      <c r="AN58" s="59">
        <f ca="1">AVERAGE(OFFSET($AM$3,0,0,'Données projet'!$E$10+1,1))-AVERAGE(OFFSET($H$3,0,0,'Données projet'!$E$10+1,1))</f>
        <v>302.26866345315602</v>
      </c>
      <c r="AO58" s="59">
        <f t="shared" si="36"/>
        <v>229.97213730997649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17.557591425205676</v>
      </c>
      <c r="AV58" s="21">
        <f>EXP(-LN(2)/25)*AV57+(1-EXP(-LN(2)/25))/(LN(2)/25)*Calculateur!AQ58*Calculateur!AS58*VLOOKUP('Données projet'!$B$10,Paramètres!$A$1:$I$89,3,0)*0.475*44/12</f>
        <v>24.503523699577773</v>
      </c>
      <c r="AW58" s="21">
        <f>EXP(-LN(2)/2)*AW57+(1-EXP(-LN(2)/2))/(LN(2)/2)*AQ58*AT58*VLOOKUP('Données projet'!$B$10,Paramètres!$A$1:$I$89,3,0)*0.475*44/12</f>
        <v>2.3249545403962329E-2</v>
      </c>
      <c r="AX58" s="21">
        <f t="shared" si="6"/>
        <v>42.084364670187412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0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14.5</v>
      </c>
      <c r="N59" s="13">
        <f>IF('Données projet'!$A$36&gt;35,N58+M59-V58,IF(A59&lt;'Données projet'!$A$36,$K$205^A59,IF(A59='Données projet'!$A$36,'Données projet'!$B$36,N58+M59-V58)))</f>
        <v>332.99999999999989</v>
      </c>
      <c r="O59" s="13">
        <f>N59*VLOOKUP('Données projet'!$B$9,Paramètres!$A$1:$I$89,3,0)*VLOOKUP('Données projet'!$B$9,Paramètres!$A$1:$I$89,5,0)</f>
        <v>199.13399999999993</v>
      </c>
      <c r="P59" s="13">
        <f t="shared" si="33"/>
        <v>49.553799097205186</v>
      </c>
      <c r="Q59" s="20">
        <f t="shared" si="53"/>
        <v>433.13125009429888</v>
      </c>
      <c r="R59" s="59">
        <f t="shared" si="0"/>
        <v>469.79791676096556</v>
      </c>
      <c r="S59" s="59">
        <f ca="1">AVERAGE(OFFSET($R$3,0,0,'Données projet'!$E$9+1,1))-AVERAGE(OFFSET($H$3,0,0,'Données projet'!$E$9+1,1))</f>
        <v>318.84317557630413</v>
      </c>
      <c r="T59" s="59">
        <f t="shared" si="34"/>
        <v>211.80440891545263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22.203995152762037</v>
      </c>
      <c r="AA59" s="21">
        <f>EXP(-LN(2)/25)*AA58+(1-EXP(-LN(2)/25))/(LN(2)/25)*Calculateur!V59*Calculateur!X59*VLOOKUP('Données projet'!$B$9,Paramètres!$A$1:$I$89,3,0)*0.475*44/12</f>
        <v>28.528012171430671</v>
      </c>
      <c r="AB59" s="21">
        <f>EXP(-LN(2)/2)*AB58+(1-EXP(-LN(2)/2))/(LN(2)/2)*V59*Y59*VLOOKUP('Données projet'!$B$9,Paramètres!$A$1:$I$89,3,0)*0.475*44/12</f>
        <v>1.6083039135373765E-2</v>
      </c>
      <c r="AC59" s="22">
        <f t="shared" si="3"/>
        <v>50.748090363328082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12.25</v>
      </c>
      <c r="AI59" s="13">
        <f>IF('Données projet'!$A$62&gt;35,AI58+AH59-AQ58,IF(A59&lt;'Données projet'!$A$62,$AF$205^A59,IF(A59='Données projet'!$A$62,'Données projet'!$B$62,AI58+AH59-AQ58)))</f>
        <v>347.49999999999994</v>
      </c>
      <c r="AJ59" s="13">
        <f>AI59*VLOOKUP('Données projet'!$B$10,Paramètres!$A$1:$I$89,3,0)*VLOOKUP('Données projet'!$B$10,Paramètres!$A$1:$I$89,5,0)</f>
        <v>198.76999999999998</v>
      </c>
      <c r="AK59" s="13">
        <f t="shared" si="35"/>
        <v>49.473753977140319</v>
      </c>
      <c r="AL59" s="20">
        <f t="shared" si="4"/>
        <v>432.35787151018599</v>
      </c>
      <c r="AM59" s="59">
        <f t="shared" si="5"/>
        <v>469.02453817685267</v>
      </c>
      <c r="AN59" s="59">
        <f ca="1">AVERAGE(OFFSET($AM$3,0,0,'Données projet'!$E$10+1,1))-AVERAGE(OFFSET($H$3,0,0,'Données projet'!$E$10+1,1))</f>
        <v>302.26866345315602</v>
      </c>
      <c r="AO59" s="59">
        <f t="shared" si="36"/>
        <v>229.97213730997649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17.213297766430728</v>
      </c>
      <c r="AV59" s="21">
        <f>EXP(-LN(2)/25)*AV58+(1-EXP(-LN(2)/25))/(LN(2)/25)*Calculateur!AQ59*Calculateur!AS59*VLOOKUP('Données projet'!$B$10,Paramètres!$A$1:$I$89,3,0)*0.475*44/12</f>
        <v>23.833473555428512</v>
      </c>
      <c r="AW59" s="21">
        <f>EXP(-LN(2)/2)*AW58+(1-EXP(-LN(2)/2))/(LN(2)/2)*AQ59*AT59*VLOOKUP('Données projet'!$B$10,Paramètres!$A$1:$I$89,3,0)*0.475*44/12</f>
        <v>1.6439911214646292E-2</v>
      </c>
      <c r="AX59" s="21">
        <f t="shared" si="6"/>
        <v>41.063211233073886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0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14.5</v>
      </c>
      <c r="N60" s="13">
        <f>IF('Données projet'!$A$36&gt;35,N59+M60-V59,IF(A60&lt;'Données projet'!$A$36,$K$205^A60,IF(A60='Données projet'!$A$36,'Données projet'!$B$36,N59+M60-V59)))</f>
        <v>347.49999999999989</v>
      </c>
      <c r="O60" s="13">
        <f>N60*VLOOKUP('Données projet'!$B$9,Paramètres!$A$1:$I$89,3,0)*VLOOKUP('Données projet'!$B$9,Paramètres!$A$1:$I$89,5,0)</f>
        <v>207.80499999999995</v>
      </c>
      <c r="P60" s="13">
        <f t="shared" si="33"/>
        <v>51.455630039067593</v>
      </c>
      <c r="Q60" s="20">
        <f t="shared" si="53"/>
        <v>451.54559731804261</v>
      </c>
      <c r="R60" s="59">
        <f t="shared" si="0"/>
        <v>488.2122639847093</v>
      </c>
      <c r="S60" s="59">
        <f ca="1">AVERAGE(OFFSET($R$3,0,0,'Données projet'!$E$9+1,1))-AVERAGE(OFFSET($H$3,0,0,'Données projet'!$E$9+1,1))</f>
        <v>318.84317557630413</v>
      </c>
      <c r="T60" s="59">
        <f t="shared" si="34"/>
        <v>211.80440891545263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21.768588350916147</v>
      </c>
      <c r="AA60" s="21">
        <f>EXP(-LN(2)/25)*AA59+(1-EXP(-LN(2)/25))/(LN(2)/25)*Calculateur!V60*Calculateur!X60*VLOOKUP('Données projet'!$B$9,Paramètres!$A$1:$I$89,3,0)*0.475*44/12</f>
        <v>27.747912178379941</v>
      </c>
      <c r="AB60" s="21">
        <f>EXP(-LN(2)/2)*AB59+(1-EXP(-LN(2)/2))/(LN(2)/2)*V60*Y60*VLOOKUP('Données projet'!$B$9,Paramètres!$A$1:$I$89,3,0)*0.475*44/12</f>
        <v>1.1372426034711417E-2</v>
      </c>
      <c r="AC60" s="22">
        <f t="shared" si="3"/>
        <v>49.5278729553308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12.25</v>
      </c>
      <c r="AI60" s="13">
        <f>IF('Données projet'!$A$62&gt;35,AI59+AH60-AQ59,IF(A60&lt;'Données projet'!$A$62,$AF$205^A60,IF(A60='Données projet'!$A$62,'Données projet'!$B$62,AI59+AH60-AQ59)))</f>
        <v>359.74999999999994</v>
      </c>
      <c r="AJ60" s="13">
        <f>AI60*VLOOKUP('Données projet'!$B$10,Paramètres!$A$1:$I$89,3,0)*VLOOKUP('Données projet'!$B$10,Paramètres!$A$1:$I$89,5,0)</f>
        <v>205.77699999999996</v>
      </c>
      <c r="AK60" s="13">
        <f t="shared" si="35"/>
        <v>51.011665720992838</v>
      </c>
      <c r="AL60" s="20">
        <f t="shared" si="4"/>
        <v>447.24025946406249</v>
      </c>
      <c r="AM60" s="59">
        <f t="shared" si="5"/>
        <v>483.90692613072918</v>
      </c>
      <c r="AN60" s="59">
        <f ca="1">AVERAGE(OFFSET($AM$3,0,0,'Données projet'!$E$10+1,1))-AVERAGE(OFFSET($H$3,0,0,'Données projet'!$E$10+1,1))</f>
        <v>302.26866345315602</v>
      </c>
      <c r="AO60" s="59">
        <f t="shared" si="36"/>
        <v>229.97213730997649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16.87575549630596</v>
      </c>
      <c r="AV60" s="21">
        <f>EXP(-LN(2)/25)*AV59+(1-EXP(-LN(2)/25))/(LN(2)/25)*Calculateur!AQ60*Calculateur!AS60*VLOOKUP('Données projet'!$B$10,Paramètres!$A$1:$I$89,3,0)*0.475*44/12</f>
        <v>23.181745967707418</v>
      </c>
      <c r="AW60" s="21">
        <f>EXP(-LN(2)/2)*AW59+(1-EXP(-LN(2)/2))/(LN(2)/2)*AQ60*AT60*VLOOKUP('Données projet'!$B$10,Paramètres!$A$1:$I$89,3,0)*0.475*44/12</f>
        <v>1.1624772701981164E-2</v>
      </c>
      <c r="AX60" s="21">
        <f t="shared" si="6"/>
        <v>40.069126236715356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0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362</v>
      </c>
      <c r="L61" s="12">
        <f>VLOOKUP(A61,'Données projet'!$A$35:$I$55,9,0)</f>
        <v>14.5</v>
      </c>
      <c r="M61" s="12">
        <f t="array" ref="M61">INDEX(L:L,MIN(IF(ISNUMBER(L61:L257),ROW(L61:L257),"")))</f>
        <v>14.5</v>
      </c>
      <c r="N61" s="13">
        <f>IF('Données projet'!$A$36&gt;35,N60+M61-V60,IF(A61&lt;'Données projet'!$A$36,$K$205^A61,IF(A61='Données projet'!$A$36,'Données projet'!$B$36,N60+M61-V60)))</f>
        <v>361.99999999999989</v>
      </c>
      <c r="O61" s="13">
        <f>N61*VLOOKUP('Données projet'!$B$9,Paramètres!$A$1:$I$89,3,0)*VLOOKUP('Données projet'!$B$9,Paramètres!$A$1:$I$89,5,0)</f>
        <v>216.47599999999994</v>
      </c>
      <c r="P61" s="13">
        <f t="shared" si="33"/>
        <v>53.348243400339264</v>
      </c>
      <c r="Q61" s="20">
        <f t="shared" si="53"/>
        <v>469.94389058892403</v>
      </c>
      <c r="R61" s="59">
        <f t="shared" si="0"/>
        <v>506.61055725559072</v>
      </c>
      <c r="S61" s="59">
        <f ca="1">AVERAGE(OFFSET($R$3,0,0,'Données projet'!$E$9+1,1))-AVERAGE(OFFSET($H$3,0,0,'Données projet'!$E$9+1,1))</f>
        <v>318.84317557630413</v>
      </c>
      <c r="T61" s="59">
        <f t="shared" si="34"/>
        <v>211.80440891545263</v>
      </c>
      <c r="U61" s="15">
        <f>IF(ISNA(VLOOKUP(A61,'Données projet'!$A$35:$I$55,3,0)),0,VLOOKUP(A61,'Données projet'!$A$35:$I$55,3,0))</f>
        <v>8</v>
      </c>
      <c r="V61" s="15">
        <f>IF(ISNA(VLOOKUP(A61,'Données projet'!$A$35:$I$55,4,0)),0,VLOOKUP(A61,'Données projet'!$A$35:$I$55,4,0))</f>
        <v>78</v>
      </c>
      <c r="W61" s="16">
        <f>IF(ISNA(VLOOKUP(A61,'Données projet'!$A$35:$I$55,5,0)),0%,VLOOKUP(A61,'Données projet'!$A$35:$I$55,5,0)*VLOOKUP('Données projet'!$B$9,Paramètres!$A$1:$I$89,7,0))</f>
        <v>0.27</v>
      </c>
      <c r="X61" s="16">
        <f>IF(ISNA(VLOOKUP(A61,'Données projet'!$A$35:$I$55,6,0)),0%,VLOOKUP(A61,'Données projet'!$A$35:$I$55,6,0)*VLOOKUP('Données projet'!$B$9,Paramètres!$A$1:$I$89,7,0))</f>
        <v>0.18000000000000002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38.048313174953449</v>
      </c>
      <c r="AA61" s="21">
        <f>EXP(-LN(2)/25)*AA60+(1-EXP(-LN(2)/25))/(LN(2)/25)*Calculateur!V61*Calculateur!X61*VLOOKUP('Données projet'!$B$9,Paramètres!$A$1:$I$89,3,0)*0.475*44/12</f>
        <v>38.083019620328166</v>
      </c>
      <c r="AB61" s="21">
        <f>EXP(-LN(2)/2)*AB60+(1-EXP(-LN(2)/2))/(LN(2)/2)*V61*Y61*VLOOKUP('Données projet'!$B$9,Paramètres!$A$1:$I$89,3,0)*0.475*44/12</f>
        <v>8.0415195676868823E-3</v>
      </c>
      <c r="AC61" s="22">
        <f t="shared" si="3"/>
        <v>76.139374314849306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372</v>
      </c>
      <c r="AG61" s="12">
        <f>VLOOKUP(A61,'Données projet'!$A$61:$I$81,9,0)</f>
        <v>12.25</v>
      </c>
      <c r="AH61" s="12">
        <f t="array" ref="AH61">INDEX(AG:AG,MIN(IF(ISNUMBER(AG61:AG257),ROW(AG61:AG257),"")))</f>
        <v>12.25</v>
      </c>
      <c r="AI61" s="13">
        <f>IF('Données projet'!$A$62&gt;35,AI60+AH61-AQ60,IF(A61&lt;'Données projet'!$A$62,$AF$205^A61,IF(A61='Données projet'!$A$62,'Données projet'!$B$62,AI60+AH61-AQ60)))</f>
        <v>371.99999999999994</v>
      </c>
      <c r="AJ61" s="13">
        <f>AI61*VLOOKUP('Données projet'!$B$10,Paramètres!$A$1:$I$89,3,0)*VLOOKUP('Données projet'!$B$10,Paramètres!$A$1:$I$89,5,0)</f>
        <v>212.78399999999999</v>
      </c>
      <c r="AK61" s="13">
        <f t="shared" si="35"/>
        <v>52.543492641808065</v>
      </c>
      <c r="AL61" s="20">
        <f t="shared" si="4"/>
        <v>462.11204968448237</v>
      </c>
      <c r="AM61" s="59">
        <f t="shared" si="5"/>
        <v>498.77871635114906</v>
      </c>
      <c r="AN61" s="59">
        <f ca="1">AVERAGE(OFFSET($AM$3,0,0,'Données projet'!$E$10+1,1))-AVERAGE(OFFSET($H$3,0,0,'Données projet'!$E$10+1,1))</f>
        <v>302.26866345315602</v>
      </c>
      <c r="AO61" s="59">
        <f t="shared" si="36"/>
        <v>229.97213730997649</v>
      </c>
      <c r="AP61" s="15">
        <f>IF(ISNA(VLOOKUP(A61,'Données projet'!$A$61:$I$81,3,0)),0,VLOOKUP(A61,'Données projet'!$A$61:$I$81,3,0))</f>
        <v>7</v>
      </c>
      <c r="AQ61" s="15">
        <f>IF(ISNA(VLOOKUP(A61,'Données projet'!$A$61:$I$81,4,0)),0,VLOOKUP(A61,'Données projet'!$A$61:$I$81,4,0))</f>
        <v>48</v>
      </c>
      <c r="AR61" s="16">
        <f>IF(ISNA(VLOOKUP(A61,'Données projet'!$A$61:$I$81,5,0)),0%,VLOOKUP(A61,'Données projet'!$A$61:$I$81,5,0)*VLOOKUP('Données projet'!$B$10,Paramètres!$A$1:$I$89,7,0))</f>
        <v>0.27</v>
      </c>
      <c r="AS61" s="16">
        <f>IF(ISNA(VLOOKUP(A61,'Données projet'!$A$61:$I$81,6,0)),0%,VLOOKUP(A61,'Données projet'!$A$61:$I$81,6,0)*VLOOKUP('Données projet'!$B$10,Paramètres!$A$1:$I$89,7,0))</f>
        <v>0.18000000000000002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26.378813720125848</v>
      </c>
      <c r="AV61" s="21">
        <f>EXP(-LN(2)/25)*AV60+(1-EXP(-LN(2)/25))/(LN(2)/25)*Calculateur!AQ61*Calculateur!AS61*VLOOKUP('Données projet'!$B$10,Paramètres!$A$1:$I$89,3,0)*0.475*44/12</f>
        <v>29.078014147623996</v>
      </c>
      <c r="AW61" s="21">
        <f>EXP(-LN(2)/2)*AW60+(1-EXP(-LN(2)/2))/(LN(2)/2)*AQ61*AT61*VLOOKUP('Données projet'!$B$10,Paramètres!$A$1:$I$89,3,0)*0.475*44/12</f>
        <v>8.2199556073231459E-3</v>
      </c>
      <c r="AX61" s="21">
        <f t="shared" si="6"/>
        <v>55.465047823357168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0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18.25</v>
      </c>
      <c r="N62" s="13">
        <f>IF('Données projet'!$A$36&gt;35,N61+M62-V61,IF(A62&lt;'Données projet'!$A$36,$K$205^A62,IF(A62='Données projet'!$A$36,'Données projet'!$B$36,N61+M62-V61)))</f>
        <v>302.24999999999989</v>
      </c>
      <c r="O62" s="13">
        <f>N62*VLOOKUP('Données projet'!$B$9,Paramètres!$A$1:$I$89,3,0)*VLOOKUP('Données projet'!$B$9,Paramètres!$A$1:$I$89,5,0)</f>
        <v>180.74549999999994</v>
      </c>
      <c r="P62" s="13">
        <f t="shared" si="33"/>
        <v>45.488006263298338</v>
      </c>
      <c r="Q62" s="20">
        <f t="shared" si="53"/>
        <v>394.02335674191113</v>
      </c>
      <c r="R62" s="59">
        <f t="shared" si="0"/>
        <v>430.69002340857782</v>
      </c>
      <c r="S62" s="59">
        <f ca="1">AVERAGE(OFFSET($R$3,0,0,'Données projet'!$E$9+1,1))-AVERAGE(OFFSET($H$3,0,0,'Données projet'!$E$9+1,1))</f>
        <v>318.84317557630413</v>
      </c>
      <c r="T62" s="59">
        <f t="shared" si="34"/>
        <v>211.80440891545263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37.302208960772127</v>
      </c>
      <c r="AA62" s="21">
        <f>EXP(-LN(2)/25)*AA61+(1-EXP(-LN(2)/25))/(LN(2)/25)*Calculateur!V62*Calculateur!X62*VLOOKUP('Données projet'!$B$9,Paramètres!$A$1:$I$89,3,0)*0.475*44/12</f>
        <v>37.041637446111331</v>
      </c>
      <c r="AB62" s="21">
        <f>EXP(-LN(2)/2)*AB61+(1-EXP(-LN(2)/2))/(LN(2)/2)*V62*Y62*VLOOKUP('Données projet'!$B$9,Paramètres!$A$1:$I$89,3,0)*0.475*44/12</f>
        <v>5.6862130173557087E-3</v>
      </c>
      <c r="AC62" s="22">
        <f t="shared" si="3"/>
        <v>74.349532619900813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11.375</v>
      </c>
      <c r="AI62" s="13">
        <f>IF('Données projet'!$A$62&gt;35,AI61+AH62-AQ61,IF(A62&lt;'Données projet'!$A$62,$AF$205^A62,IF(A62='Données projet'!$A$62,'Données projet'!$B$62,AI61+AH62-AQ61)))</f>
        <v>335.37499999999994</v>
      </c>
      <c r="AJ62" s="13">
        <f>AI62*VLOOKUP('Données projet'!$B$10,Paramètres!$A$1:$I$89,3,0)*VLOOKUP('Données projet'!$B$10,Paramètres!$A$1:$I$89,5,0)</f>
        <v>191.83449999999996</v>
      </c>
      <c r="AK62" s="13">
        <f t="shared" si="35"/>
        <v>47.945307658140791</v>
      </c>
      <c r="AL62" s="20">
        <f t="shared" si="4"/>
        <v>417.61649833792848</v>
      </c>
      <c r="AM62" s="59">
        <f t="shared" si="5"/>
        <v>454.28316500459516</v>
      </c>
      <c r="AN62" s="59">
        <f ca="1">AVERAGE(OFFSET($AM$3,0,0,'Données projet'!$E$10+1,1))-AVERAGE(OFFSET($H$3,0,0,'Données projet'!$E$10+1,1))</f>
        <v>302.26866345315602</v>
      </c>
      <c r="AO62" s="59">
        <f t="shared" si="36"/>
        <v>229.97213730997649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25.861541272561844</v>
      </c>
      <c r="AV62" s="21">
        <f>EXP(-LN(2)/25)*AV61+(1-EXP(-LN(2)/25))/(LN(2)/25)*Calculateur!AQ62*Calculateur!AS62*VLOOKUP('Données projet'!$B$10,Paramètres!$A$1:$I$89,3,0)*0.475*44/12</f>
        <v>28.282874321610912</v>
      </c>
      <c r="AW62" s="21">
        <f>EXP(-LN(2)/2)*AW61+(1-EXP(-LN(2)/2))/(LN(2)/2)*AQ62*AT62*VLOOKUP('Données projet'!$B$10,Paramètres!$A$1:$I$89,3,0)*0.475*44/12</f>
        <v>5.8123863509905822E-3</v>
      </c>
      <c r="AX62" s="21">
        <f t="shared" si="6"/>
        <v>54.150227980523745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0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18.25</v>
      </c>
      <c r="N63" s="13">
        <f>IF('Données projet'!$A$36&gt;35,N62+M63-V62,IF(A63&lt;'Données projet'!$A$36,$K$205^A63,IF(A63='Données projet'!$A$36,'Données projet'!$B$36,N62+M63-V62)))</f>
        <v>320.49999999999989</v>
      </c>
      <c r="O63" s="13">
        <f>N63*VLOOKUP('Données projet'!$B$9,Paramètres!$A$1:$I$89,3,0)*VLOOKUP('Données projet'!$B$9,Paramètres!$A$1:$I$89,5,0)</f>
        <v>191.65899999999993</v>
      </c>
      <c r="P63" s="13">
        <f t="shared" si="33"/>
        <v>47.90654840907613</v>
      </c>
      <c r="Q63" s="20">
        <f t="shared" si="53"/>
        <v>417.24333014580742</v>
      </c>
      <c r="R63" s="59">
        <f t="shared" si="0"/>
        <v>453.90999681247411</v>
      </c>
      <c r="S63" s="59">
        <f ca="1">AVERAGE(OFFSET($R$3,0,0,'Données projet'!$E$9+1,1))-AVERAGE(OFFSET($H$3,0,0,'Données projet'!$E$9+1,1))</f>
        <v>318.84317557630413</v>
      </c>
      <c r="T63" s="59">
        <f t="shared" si="34"/>
        <v>211.80440891545263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36.570735395152269</v>
      </c>
      <c r="AA63" s="21">
        <f>EXP(-LN(2)/25)*AA62+(1-EXP(-LN(2)/25))/(LN(2)/25)*Calculateur!V63*Calculateur!X63*VLOOKUP('Données projet'!$B$9,Paramètres!$A$1:$I$89,3,0)*0.475*44/12</f>
        <v>36.028731922212366</v>
      </c>
      <c r="AB63" s="21">
        <f>EXP(-LN(2)/2)*AB62+(1-EXP(-LN(2)/2))/(LN(2)/2)*V63*Y63*VLOOKUP('Données projet'!$B$9,Paramètres!$A$1:$I$89,3,0)*0.475*44/12</f>
        <v>4.0207597838434412E-3</v>
      </c>
      <c r="AC63" s="22">
        <f t="shared" si="3"/>
        <v>72.603488077148469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11.375</v>
      </c>
      <c r="AI63" s="13">
        <f>IF('Données projet'!$A$62&gt;35,AI62+AH63-AQ62,IF(A63&lt;'Données projet'!$A$62,$AF$205^A63,IF(A63='Données projet'!$A$62,'Données projet'!$B$62,AI62+AH63-AQ62)))</f>
        <v>346.74999999999994</v>
      </c>
      <c r="AJ63" s="13">
        <f>AI63*VLOOKUP('Données projet'!$B$10,Paramètres!$A$1:$I$89,3,0)*VLOOKUP('Données projet'!$B$10,Paramètres!$A$1:$I$89,5,0)</f>
        <v>198.34099999999995</v>
      </c>
      <c r="AK63" s="13">
        <f t="shared" si="35"/>
        <v>49.379393175979537</v>
      </c>
      <c r="AL63" s="20">
        <f t="shared" si="4"/>
        <v>431.44635144816431</v>
      </c>
      <c r="AM63" s="59">
        <f t="shared" si="5"/>
        <v>468.11301811483099</v>
      </c>
      <c r="AN63" s="59">
        <f ca="1">AVERAGE(OFFSET($AM$3,0,0,'Données projet'!$E$10+1,1))-AVERAGE(OFFSET($H$3,0,0,'Données projet'!$E$10+1,1))</f>
        <v>302.26866345315602</v>
      </c>
      <c r="AO63" s="59">
        <f t="shared" si="36"/>
        <v>229.97213730997649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25.354412222189531</v>
      </c>
      <c r="AV63" s="21">
        <f>EXP(-LN(2)/25)*AV62+(1-EXP(-LN(2)/25))/(LN(2)/25)*Calculateur!AQ63*Calculateur!AS63*VLOOKUP('Données projet'!$B$10,Paramètres!$A$1:$I$89,3,0)*0.475*44/12</f>
        <v>27.509477635954742</v>
      </c>
      <c r="AW63" s="21">
        <f>EXP(-LN(2)/2)*AW62+(1-EXP(-LN(2)/2))/(LN(2)/2)*AQ63*AT63*VLOOKUP('Données projet'!$B$10,Paramètres!$A$1:$I$89,3,0)*0.475*44/12</f>
        <v>4.109977803661573E-3</v>
      </c>
      <c r="AX63" s="21">
        <f t="shared" si="6"/>
        <v>52.867999835947934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0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18.25</v>
      </c>
      <c r="N64" s="13">
        <f>IF('Données projet'!$A$36&gt;35,N63+M64-V63,IF(A64&lt;'Données projet'!$A$36,$K$205^A64,IF(A64='Données projet'!$A$36,'Données projet'!$B$36,N63+M64-V63)))</f>
        <v>338.74999999999989</v>
      </c>
      <c r="O64" s="13">
        <f>N64*VLOOKUP('Données projet'!$B$9,Paramètres!$A$1:$I$89,3,0)*VLOOKUP('Données projet'!$B$9,Paramètres!$A$1:$I$89,5,0)</f>
        <v>202.57249999999996</v>
      </c>
      <c r="P64" s="13">
        <f t="shared" si="33"/>
        <v>50.309104150357172</v>
      </c>
      <c r="Q64" s="20">
        <f t="shared" si="53"/>
        <v>440.43546056187193</v>
      </c>
      <c r="R64" s="59">
        <f t="shared" si="0"/>
        <v>477.10212722853862</v>
      </c>
      <c r="S64" s="59">
        <f ca="1">AVERAGE(OFFSET($R$3,0,0,'Données projet'!$E$9+1,1))-AVERAGE(OFFSET($H$3,0,0,'Données projet'!$E$9+1,1))</f>
        <v>318.84317557630413</v>
      </c>
      <c r="T64" s="59">
        <f t="shared" si="34"/>
        <v>211.80440891545263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35.853605579999396</v>
      </c>
      <c r="AA64" s="21">
        <f>EXP(-LN(2)/25)*AA63+(1-EXP(-LN(2)/25))/(LN(2)/25)*Calculateur!V64*Calculateur!X64*VLOOKUP('Données projet'!$B$9,Paramètres!$A$1:$I$89,3,0)*0.475*44/12</f>
        <v>35.043524353130799</v>
      </c>
      <c r="AB64" s="21">
        <f>EXP(-LN(2)/2)*AB63+(1-EXP(-LN(2)/2))/(LN(2)/2)*V64*Y64*VLOOKUP('Données projet'!$B$9,Paramètres!$A$1:$I$89,3,0)*0.475*44/12</f>
        <v>2.8431065086778544E-3</v>
      </c>
      <c r="AC64" s="22">
        <f t="shared" si="3"/>
        <v>70.89997303963888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11.375</v>
      </c>
      <c r="AI64" s="13">
        <f>IF('Données projet'!$A$62&gt;35,AI63+AH64-AQ63,IF(A64&lt;'Données projet'!$A$62,$AF$205^A64,IF(A64='Données projet'!$A$62,'Données projet'!$B$62,AI63+AH64-AQ63)))</f>
        <v>358.12499999999994</v>
      </c>
      <c r="AJ64" s="13">
        <f>AI64*VLOOKUP('Données projet'!$B$10,Paramètres!$A$1:$I$89,3,0)*VLOOKUP('Données projet'!$B$10,Paramètres!$A$1:$I$89,5,0)</f>
        <v>204.8475</v>
      </c>
      <c r="AK64" s="13">
        <f t="shared" si="35"/>
        <v>50.808012105592304</v>
      </c>
      <c r="AL64" s="20">
        <f t="shared" si="4"/>
        <v>445.26668358390657</v>
      </c>
      <c r="AM64" s="59">
        <f t="shared" si="5"/>
        <v>481.93335025057326</v>
      </c>
      <c r="AN64" s="59">
        <f ca="1">AVERAGE(OFFSET($AM$3,0,0,'Données projet'!$E$10+1,1))-AVERAGE(OFFSET($H$3,0,0,'Données projet'!$E$10+1,1))</f>
        <v>302.26866345315602</v>
      </c>
      <c r="AO64" s="59">
        <f t="shared" si="36"/>
        <v>229.97213730997649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24.85722766317684</v>
      </c>
      <c r="AV64" s="21">
        <f>EXP(-LN(2)/25)*AV63+(1-EXP(-LN(2)/25))/(LN(2)/25)*Calculateur!AQ64*Calculateur!AS64*VLOOKUP('Données projet'!$B$10,Paramètres!$A$1:$I$89,3,0)*0.475*44/12</f>
        <v>26.757229523339003</v>
      </c>
      <c r="AW64" s="21">
        <f>EXP(-LN(2)/2)*AW63+(1-EXP(-LN(2)/2))/(LN(2)/2)*AQ64*AT64*VLOOKUP('Données projet'!$B$10,Paramètres!$A$1:$I$89,3,0)*0.475*44/12</f>
        <v>2.9061931754952911E-3</v>
      </c>
      <c r="AX64" s="21">
        <f t="shared" si="6"/>
        <v>51.617363379691341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0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18.25</v>
      </c>
      <c r="N65" s="13">
        <f>IF('Données projet'!$A$36&gt;35,N64+M65-V64,IF(A65&lt;'Données projet'!$A$36,$K$205^A65,IF(A65='Données projet'!$A$36,'Données projet'!$B$36,N64+M65-V64)))</f>
        <v>356.99999999999989</v>
      </c>
      <c r="O65" s="13">
        <f>N65*VLOOKUP('Données projet'!$B$9,Paramètres!$A$1:$I$89,3,0)*VLOOKUP('Données projet'!$B$9,Paramètres!$A$1:$I$89,5,0)</f>
        <v>213.48599999999993</v>
      </c>
      <c r="P65" s="13">
        <f t="shared" si="33"/>
        <v>52.696632942005117</v>
      </c>
      <c r="Q65" s="20">
        <f t="shared" si="53"/>
        <v>463.60141904065881</v>
      </c>
      <c r="R65" s="59">
        <f t="shared" si="0"/>
        <v>500.2680857073255</v>
      </c>
      <c r="S65" s="59">
        <f ca="1">AVERAGE(OFFSET($R$3,0,0,'Données projet'!$E$9+1,1))-AVERAGE(OFFSET($H$3,0,0,'Données projet'!$E$9+1,1))</f>
        <v>318.84317557630413</v>
      </c>
      <c r="T65" s="59">
        <f t="shared" si="34"/>
        <v>211.80440891545263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35.150538243115676</v>
      </c>
      <c r="AA65" s="21">
        <f>EXP(-LN(2)/25)*AA64+(1-EXP(-LN(2)/25))/(LN(2)/25)*Calculateur!V65*Calculateur!X65*VLOOKUP('Données projet'!$B$9,Paramètres!$A$1:$I$89,3,0)*0.475*44/12</f>
        <v>34.085257336835582</v>
      </c>
      <c r="AB65" s="21">
        <f>EXP(-LN(2)/2)*AB64+(1-EXP(-LN(2)/2))/(LN(2)/2)*V65*Y65*VLOOKUP('Données projet'!$B$9,Paramètres!$A$1:$I$89,3,0)*0.475*44/12</f>
        <v>2.0103798919217206E-3</v>
      </c>
      <c r="AC65" s="22">
        <f t="shared" si="3"/>
        <v>69.237805959843186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11.375</v>
      </c>
      <c r="AI65" s="13">
        <f>IF('Données projet'!$A$62&gt;35,AI64+AH65-AQ64,IF(A65&lt;'Données projet'!$A$62,$AF$205^A65,IF(A65='Données projet'!$A$62,'Données projet'!$B$62,AI64+AH65-AQ64)))</f>
        <v>369.49999999999994</v>
      </c>
      <c r="AJ65" s="13">
        <f>AI65*VLOOKUP('Données projet'!$B$10,Paramètres!$A$1:$I$89,3,0)*VLOOKUP('Données projet'!$B$10,Paramètres!$A$1:$I$89,5,0)</f>
        <v>211.35399999999998</v>
      </c>
      <c r="AK65" s="13">
        <f t="shared" si="35"/>
        <v>52.23135799939994</v>
      </c>
      <c r="AL65" s="20">
        <f t="shared" si="4"/>
        <v>459.07783184895493</v>
      </c>
      <c r="AM65" s="59">
        <f t="shared" si="5"/>
        <v>495.74449851562161</v>
      </c>
      <c r="AN65" s="59">
        <f ca="1">AVERAGE(OFFSET($AM$3,0,0,'Données projet'!$E$10+1,1))-AVERAGE(OFFSET($H$3,0,0,'Données projet'!$E$10+1,1))</f>
        <v>302.26866345315602</v>
      </c>
      <c r="AO65" s="59">
        <f t="shared" si="36"/>
        <v>229.97213730997649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24.36979259011375</v>
      </c>
      <c r="AV65" s="21">
        <f>EXP(-LN(2)/25)*AV64+(1-EXP(-LN(2)/25))/(LN(2)/25)*Calculateur!AQ65*Calculateur!AS65*VLOOKUP('Données projet'!$B$10,Paramètres!$A$1:$I$89,3,0)*0.475*44/12</f>
        <v>26.025551674921751</v>
      </c>
      <c r="AW65" s="21">
        <f>EXP(-LN(2)/2)*AW64+(1-EXP(-LN(2)/2))/(LN(2)/2)*AQ65*AT65*VLOOKUP('Données projet'!$B$10,Paramètres!$A$1:$I$89,3,0)*0.475*44/12</f>
        <v>2.0549889018307865E-3</v>
      </c>
      <c r="AX65" s="21">
        <f t="shared" si="6"/>
        <v>50.397399253937337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0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18.25</v>
      </c>
      <c r="N66" s="13">
        <f>IF('Données projet'!$A$36&gt;35,N65+M66-V65,IF(A66&lt;'Données projet'!$A$36,$K$205^A66,IF(A66='Données projet'!$A$36,'Données projet'!$B$36,N65+M66-V65)))</f>
        <v>375.24999999999989</v>
      </c>
      <c r="O66" s="13">
        <f>N66*VLOOKUP('Données projet'!$B$9,Paramètres!$A$1:$I$89,3,0)*VLOOKUP('Données projet'!$B$9,Paramètres!$A$1:$I$89,5,0)</f>
        <v>224.39949999999993</v>
      </c>
      <c r="P66" s="13">
        <f t="shared" si="33"/>
        <v>55.069990602501541</v>
      </c>
      <c r="Q66" s="20">
        <f t="shared" si="53"/>
        <v>486.74269613269007</v>
      </c>
      <c r="R66" s="59">
        <f t="shared" si="0"/>
        <v>523.4093627993567</v>
      </c>
      <c r="S66" s="59">
        <f ca="1">AVERAGE(OFFSET($R$3,0,0,'Données projet'!$E$9+1,1))-AVERAGE(OFFSET($H$3,0,0,'Données projet'!$E$9+1,1))</f>
        <v>318.84317557630413</v>
      </c>
      <c r="T66" s="59">
        <f t="shared" si="34"/>
        <v>211.80440891545263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34.461257627879512</v>
      </c>
      <c r="AA66" s="21">
        <f>EXP(-LN(2)/25)*AA65+(1-EXP(-LN(2)/25))/(LN(2)/25)*Calculateur!V66*Calculateur!X66*VLOOKUP('Données projet'!$B$9,Paramètres!$A$1:$I$89,3,0)*0.475*44/12</f>
        <v>33.153194182494033</v>
      </c>
      <c r="AB66" s="21">
        <f>EXP(-LN(2)/2)*AB65+(1-EXP(-LN(2)/2))/(LN(2)/2)*V66*Y66*VLOOKUP('Données projet'!$B$9,Paramètres!$A$1:$I$89,3,0)*0.475*44/12</f>
        <v>1.4215532543389272E-3</v>
      </c>
      <c r="AC66" s="22">
        <f t="shared" si="3"/>
        <v>67.615873363627884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11.375</v>
      </c>
      <c r="AI66" s="13">
        <f>IF('Données projet'!$A$62&gt;35,AI65+AH66-AQ65,IF(A66&lt;'Données projet'!$A$62,$AF$205^A66,IF(A66='Données projet'!$A$62,'Données projet'!$B$62,AI65+AH66-AQ65)))</f>
        <v>380.87499999999994</v>
      </c>
      <c r="AJ66" s="13">
        <f>AI66*VLOOKUP('Données projet'!$B$10,Paramètres!$A$1:$I$89,3,0)*VLOOKUP('Données projet'!$B$10,Paramètres!$A$1:$I$89,5,0)</f>
        <v>217.86049999999997</v>
      </c>
      <c r="AK66" s="13">
        <f t="shared" si="35"/>
        <v>53.64961181582801</v>
      </c>
      <c r="AL66" s="20">
        <f t="shared" si="4"/>
        <v>472.88011141256703</v>
      </c>
      <c r="AM66" s="59">
        <f t="shared" si="5"/>
        <v>509.54677807923372</v>
      </c>
      <c r="AN66" s="59">
        <f ca="1">AVERAGE(OFFSET($AM$3,0,0,'Données projet'!$E$10+1,1))-AVERAGE(OFFSET($H$3,0,0,'Données projet'!$E$10+1,1))</f>
        <v>302.26866345315602</v>
      </c>
      <c r="AO66" s="59">
        <f t="shared" si="36"/>
        <v>229.97213730997649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23.891915821527391</v>
      </c>
      <c r="AV66" s="21">
        <f>EXP(-LN(2)/25)*AV65+(1-EXP(-LN(2)/25))/(LN(2)/25)*Calculateur!AQ66*Calculateur!AS66*VLOOKUP('Données projet'!$B$10,Paramètres!$A$1:$I$89,3,0)*0.475*44/12</f>
        <v>25.313881595746736</v>
      </c>
      <c r="AW66" s="21">
        <f>EXP(-LN(2)/2)*AW65+(1-EXP(-LN(2)/2))/(LN(2)/2)*AQ66*AT66*VLOOKUP('Données projet'!$B$10,Paramètres!$A$1:$I$89,3,0)*0.475*44/12</f>
        <v>1.4530965877476455E-3</v>
      </c>
      <c r="AX66" s="21">
        <f t="shared" si="6"/>
        <v>49.207250513861872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0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18.25</v>
      </c>
      <c r="N67" s="13">
        <f>IF('Données projet'!$A$36&gt;35,N66+M67-V66,IF(A67&lt;'Données projet'!$A$36,$K$205^A67,IF(A67='Données projet'!$A$36,'Données projet'!$B$36,N66+M67-V66)))</f>
        <v>393.49999999999989</v>
      </c>
      <c r="O67" s="13">
        <f>N67*VLOOKUP('Données projet'!$B$9,Paramètres!$A$1:$I$89,3,0)*VLOOKUP('Données projet'!$B$9,Paramètres!$A$1:$I$89,5,0)</f>
        <v>235.31299999999996</v>
      </c>
      <c r="P67" s="13">
        <f t="shared" si="33"/>
        <v>57.429945003037147</v>
      </c>
      <c r="Q67" s="20">
        <f t="shared" ref="Q67:Q98" si="54">(O67+P67)*0.475*44/12</f>
        <v>509.86062921362287</v>
      </c>
      <c r="R67" s="59">
        <f t="shared" ref="R67:R130" si="55">Q67+(I67+J67)*44/12</f>
        <v>546.52729588028956</v>
      </c>
      <c r="S67" s="59">
        <f ca="1">AVERAGE(OFFSET($R$3,0,0,'Données projet'!$E$9+1,1))-AVERAGE(OFFSET($H$3,0,0,'Données projet'!$E$9+1,1))</f>
        <v>318.84317557630413</v>
      </c>
      <c r="T67" s="59">
        <f t="shared" si="34"/>
        <v>211.80440891545263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33.785493385088465</v>
      </c>
      <c r="AA67" s="21">
        <f>EXP(-LN(2)/25)*AA66+(1-EXP(-LN(2)/25))/(LN(2)/25)*Calculateur!V67*Calculateur!X67*VLOOKUP('Données projet'!$B$9,Paramètres!$A$1:$I$89,3,0)*0.475*44/12</f>
        <v>32.246618344123021</v>
      </c>
      <c r="AB67" s="21">
        <f>EXP(-LN(2)/2)*AB66+(1-EXP(-LN(2)/2))/(LN(2)/2)*V67*Y67*VLOOKUP('Données projet'!$B$9,Paramètres!$A$1:$I$89,3,0)*0.475*44/12</f>
        <v>1.0051899459608603E-3</v>
      </c>
      <c r="AC67" s="22">
        <f t="shared" si="3"/>
        <v>66.03311691915745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11.375</v>
      </c>
      <c r="AI67" s="13">
        <f>IF('Données projet'!$A$62&gt;35,AI66+AH67-AQ66,IF(A67&lt;'Données projet'!$A$62,$AF$205^A67,IF(A67='Données projet'!$A$62,'Données projet'!$B$62,AI66+AH67-AQ66)))</f>
        <v>392.24999999999994</v>
      </c>
      <c r="AJ67" s="13">
        <f>AI67*VLOOKUP('Données projet'!$B$10,Paramètres!$A$1:$I$89,3,0)*VLOOKUP('Données projet'!$B$10,Paramètres!$A$1:$I$89,5,0)</f>
        <v>224.36699999999996</v>
      </c>
      <c r="AK67" s="13">
        <f t="shared" si="35"/>
        <v>55.062943090135803</v>
      </c>
      <c r="AL67" s="20">
        <f t="shared" si="4"/>
        <v>486.67381754865318</v>
      </c>
      <c r="AM67" s="59">
        <f t="shared" si="5"/>
        <v>523.34048421531986</v>
      </c>
      <c r="AN67" s="59">
        <f ca="1">AVERAGE(OFFSET($AM$3,0,0,'Données projet'!$E$10+1,1))-AVERAGE(OFFSET($H$3,0,0,'Données projet'!$E$10+1,1))</f>
        <v>302.26866345315602</v>
      </c>
      <c r="AO67" s="59">
        <f t="shared" si="36"/>
        <v>229.97213730997649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23.423409924896962</v>
      </c>
      <c r="AV67" s="21">
        <f>EXP(-LN(2)/25)*AV66+(1-EXP(-LN(2)/25))/(LN(2)/25)*Calculateur!AQ67*Calculateur!AS67*VLOOKUP('Données projet'!$B$10,Paramètres!$A$1:$I$89,3,0)*0.475*44/12</f>
        <v>24.621672172311865</v>
      </c>
      <c r="AW67" s="21">
        <f>EXP(-LN(2)/2)*AW66+(1-EXP(-LN(2)/2))/(LN(2)/2)*AQ67*AT67*VLOOKUP('Données projet'!$B$10,Paramètres!$A$1:$I$89,3,0)*0.475*44/12</f>
        <v>1.0274944509153932E-3</v>
      </c>
      <c r="AX67" s="21">
        <f t="shared" si="6"/>
        <v>48.046109591659743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0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18.25</v>
      </c>
      <c r="N68" s="13">
        <f>IF('Données projet'!$A$36&gt;35,N67+M68-V67,IF(A68&lt;'Données projet'!$A$36,$K$205^A68,IF(A68='Données projet'!$A$36,'Données projet'!$B$36,N67+M68-V67)))</f>
        <v>411.74999999999989</v>
      </c>
      <c r="O68" s="13">
        <f>N68*VLOOKUP('Données projet'!$B$9,Paramètres!$A$1:$I$89,3,0)*VLOOKUP('Données projet'!$B$9,Paramètres!$A$1:$I$89,5,0)</f>
        <v>246.22649999999993</v>
      </c>
      <c r="P68" s="13">
        <f t="shared" si="33"/>
        <v>59.777188763695399</v>
      </c>
      <c r="Q68" s="20">
        <f t="shared" si="54"/>
        <v>532.95642459676935</v>
      </c>
      <c r="R68" s="59">
        <f t="shared" si="55"/>
        <v>569.62309126343598</v>
      </c>
      <c r="S68" s="59">
        <f ca="1">AVERAGE(OFFSET($R$3,0,0,'Données projet'!$E$9+1,1))-AVERAGE(OFFSET($H$3,0,0,'Données projet'!$E$9+1,1))</f>
        <v>318.84317557630413</v>
      </c>
      <c r="T68" s="59">
        <f t="shared" si="34"/>
        <v>211.80440891545263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33.12298046692306</v>
      </c>
      <c r="AA68" s="21">
        <f>EXP(-LN(2)/25)*AA67+(1-EXP(-LN(2)/25))/(LN(2)/25)*Calculateur!V68*Calculateur!X68*VLOOKUP('Données projet'!$B$9,Paramètres!$A$1:$I$89,3,0)*0.475*44/12</f>
        <v>31.364832869727021</v>
      </c>
      <c r="AB68" s="21">
        <f>EXP(-LN(2)/2)*AB67+(1-EXP(-LN(2)/2))/(LN(2)/2)*V68*Y68*VLOOKUP('Données projet'!$B$9,Paramètres!$A$1:$I$89,3,0)*0.475*44/12</f>
        <v>7.1077662716946359E-4</v>
      </c>
      <c r="AC68" s="22">
        <f t="shared" ref="AC68:AC131" si="57">SUM(Z68:AB68)</f>
        <v>64.488524113277251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11.375</v>
      </c>
      <c r="AI68" s="13">
        <f>IF('Données projet'!$A$62&gt;35,AI67+AH68-AQ67,IF(A68&lt;'Données projet'!$A$62,$AF$205^A68,IF(A68='Données projet'!$A$62,'Données projet'!$B$62,AI67+AH68-AQ67)))</f>
        <v>403.62499999999994</v>
      </c>
      <c r="AJ68" s="13">
        <f>AI68*VLOOKUP('Données projet'!$B$10,Paramètres!$A$1:$I$89,3,0)*VLOOKUP('Données projet'!$B$10,Paramètres!$A$1:$I$89,5,0)</f>
        <v>230.87349999999998</v>
      </c>
      <c r="AK68" s="13">
        <f t="shared" si="35"/>
        <v>56.471510965615813</v>
      </c>
      <c r="AL68" s="20">
        <f t="shared" ref="AL68:AL131" si="58">(AJ68+AK68)*0.475*44/12</f>
        <v>500.45922743178085</v>
      </c>
      <c r="AM68" s="59">
        <f t="shared" ref="AM68:AM131" si="59">AL68+(AD68+AE68)*44/12</f>
        <v>537.12589409844747</v>
      </c>
      <c r="AN68" s="59">
        <f ca="1">AVERAGE(OFFSET($AM$3,0,0,'Données projet'!$E$10+1,1))-AVERAGE(OFFSET($H$3,0,0,'Données projet'!$E$10+1,1))</f>
        <v>302.26866345315602</v>
      </c>
      <c r="AO68" s="59">
        <f t="shared" si="36"/>
        <v>229.97213730997649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22.964091143139076</v>
      </c>
      <c r="AV68" s="21">
        <f>EXP(-LN(2)/25)*AV67+(1-EXP(-LN(2)/25))/(LN(2)/25)*Calculateur!AQ68*Calculateur!AS68*VLOOKUP('Données projet'!$B$10,Paramètres!$A$1:$I$89,3,0)*0.475*44/12</f>
        <v>23.94839125196253</v>
      </c>
      <c r="AW68" s="21">
        <f>EXP(-LN(2)/2)*AW67+(1-EXP(-LN(2)/2))/(LN(2)/2)*AQ68*AT68*VLOOKUP('Données projet'!$B$10,Paramètres!$A$1:$I$89,3,0)*0.475*44/12</f>
        <v>7.2654829387382277E-4</v>
      </c>
      <c r="AX68" s="21">
        <f t="shared" ref="AX68:AX131" si="60">SUM(AU68:AW68)</f>
        <v>46.913208943395482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0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430</v>
      </c>
      <c r="L69" s="12">
        <f>VLOOKUP(A69,'Données projet'!$A$35:$I$55,9,0)</f>
        <v>18.25</v>
      </c>
      <c r="M69" s="12">
        <f t="array" ref="M69">INDEX(L:L,MIN(IF(ISNUMBER(L69:L265),ROW(L69:L265),"")))</f>
        <v>18.25</v>
      </c>
      <c r="N69" s="13">
        <f>IF('Données projet'!$A$36&gt;35,N68+M69-V68,IF(A69&lt;'Données projet'!$A$36,$K$205^A69,IF(A69='Données projet'!$A$36,'Données projet'!$B$36,N68+M69-V68)))</f>
        <v>429.99999999999989</v>
      </c>
      <c r="O69" s="13">
        <f>N69*VLOOKUP('Données projet'!$B$9,Paramètres!$A$1:$I$89,3,0)*VLOOKUP('Données projet'!$B$9,Paramètres!$A$1:$I$89,5,0)</f>
        <v>257.13999999999993</v>
      </c>
      <c r="P69" s="13">
        <f t="shared" ref="P69:P132" si="87">EXP(-1.0587+0.8836*LN(O69)+0.284)</f>
        <v>62.112349635142181</v>
      </c>
      <c r="Q69" s="20">
        <f t="shared" si="54"/>
        <v>556.03117561453917</v>
      </c>
      <c r="R69" s="59">
        <f t="shared" si="55"/>
        <v>592.69784228120579</v>
      </c>
      <c r="S69" s="59">
        <f ca="1">AVERAGE(OFFSET($R$3,0,0,'Données projet'!$E$9+1,1))-AVERAGE(OFFSET($H$3,0,0,'Données projet'!$E$9+1,1))</f>
        <v>318.84317557630413</v>
      </c>
      <c r="T69" s="59">
        <f t="shared" ref="T69:T132" si="88">$T$3</f>
        <v>211.80440891545263</v>
      </c>
      <c r="U69" s="15">
        <f>IF(ISNA(VLOOKUP(A69,'Données projet'!$A$35:$I$55,3,0)),0,VLOOKUP(A69,'Données projet'!$A$35:$I$55,3,0))</f>
        <v>9</v>
      </c>
      <c r="V69" s="15">
        <f>IF(ISNA(VLOOKUP(A69,'Données projet'!$A$35:$I$55,4,0)),0,VLOOKUP(A69,'Données projet'!$A$35:$I$55,4,0))</f>
        <v>65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0.13500000000000001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48.715980543614407</v>
      </c>
      <c r="AA69" s="21">
        <f>EXP(-LN(2)/25)*AA68+(1-EXP(-LN(2)/25))/(LN(2)/25)*Calculateur!V69*Calculateur!X69*VLOOKUP('Données projet'!$B$9,Paramètres!$A$1:$I$89,3,0)*0.475*44/12</f>
        <v>37.440832090290279</v>
      </c>
      <c r="AB69" s="21">
        <f>EXP(-LN(2)/2)*AB68+(1-EXP(-LN(2)/2))/(LN(2)/2)*V69*Y69*VLOOKUP('Données projet'!$B$9,Paramètres!$A$1:$I$89,3,0)*0.475*44/12</f>
        <v>5.0259497298043015E-4</v>
      </c>
      <c r="AC69" s="22">
        <f t="shared" si="57"/>
        <v>86.157315228877664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415</v>
      </c>
      <c r="AG69" s="12">
        <f>VLOOKUP(A69,'Données projet'!$A$61:$I$81,9,0)</f>
        <v>11.375</v>
      </c>
      <c r="AH69" s="12">
        <f t="array" ref="AH69">INDEX(AG:AG,MIN(IF(ISNUMBER(AG69:AG265),ROW(AG69:AG265),"")))</f>
        <v>11.375</v>
      </c>
      <c r="AI69" s="13">
        <f>IF('Données projet'!$A$62&gt;35,AI68+AH69-AQ68,IF(A69&lt;'Données projet'!$A$62,$AF$205^A69,IF(A69='Données projet'!$A$62,'Données projet'!$B$62,AI68+AH69-AQ68)))</f>
        <v>414.99999999999994</v>
      </c>
      <c r="AJ69" s="13">
        <f>AI69*VLOOKUP('Données projet'!$B$10,Paramètres!$A$1:$I$89,3,0)*VLOOKUP('Données projet'!$B$10,Paramètres!$A$1:$I$89,5,0)</f>
        <v>237.37999999999997</v>
      </c>
      <c r="AK69" s="13">
        <f t="shared" ref="AK69:AK132" si="89">EXP(-1.0587+0.8836*LN(AJ69)+0.284)</f>
        <v>57.875465105279041</v>
      </c>
      <c r="AL69" s="20">
        <f t="shared" si="58"/>
        <v>514.23660172502764</v>
      </c>
      <c r="AM69" s="59">
        <f t="shared" si="59"/>
        <v>550.90326839169427</v>
      </c>
      <c r="AN69" s="59">
        <f ca="1">AVERAGE(OFFSET($AM$3,0,0,'Données projet'!$E$10+1,1))-AVERAGE(OFFSET($H$3,0,0,'Données projet'!$E$10+1,1))</f>
        <v>302.26866345315602</v>
      </c>
      <c r="AO69" s="59">
        <f t="shared" ref="AO69:AO132" si="90">$AO$3</f>
        <v>229.97213730997649</v>
      </c>
      <c r="AP69" s="15">
        <f>IF(ISNA(VLOOKUP(A69,'Données projet'!$A$61:$I$81,3,0)),0,VLOOKUP(A69,'Données projet'!$A$61:$I$81,3,0))</f>
        <v>8</v>
      </c>
      <c r="AQ69" s="15">
        <f>IF(ISNA(VLOOKUP(A69,'Données projet'!$A$61:$I$81,4,0)),0,VLOOKUP(A69,'Données projet'!$A$61:$I$81,4,0))</f>
        <v>50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0.13500000000000001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34.464798501589485</v>
      </c>
      <c r="AV69" s="21">
        <f>EXP(-LN(2)/25)*AV68+(1-EXP(-LN(2)/25))/(LN(2)/25)*Calculateur!AQ69*Calculateur!AS69*VLOOKUP('Données projet'!$B$10,Paramètres!$A$1:$I$89,3,0)*0.475*44/12</f>
        <v>28.39521986072284</v>
      </c>
      <c r="AW69" s="21">
        <f>EXP(-LN(2)/2)*AW68+(1-EXP(-LN(2)/2))/(LN(2)/2)*AQ69*AT69*VLOOKUP('Données projet'!$B$10,Paramètres!$A$1:$I$89,3,0)*0.475*44/12</f>
        <v>5.1374722545769662E-4</v>
      </c>
      <c r="AX69" s="21">
        <f t="shared" si="60"/>
        <v>62.860532109537779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0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16.375</v>
      </c>
      <c r="N70" s="13">
        <f>IF('Données projet'!$A$36&gt;35,N69+M70-V69,IF(A70&lt;'Données projet'!$A$36,$K$205^A70,IF(A70='Données projet'!$A$36,'Données projet'!$B$36,N69+M70-V69)))</f>
        <v>381.37499999999989</v>
      </c>
      <c r="O70" s="13">
        <f>N70*VLOOKUP('Données projet'!$B$9,Paramètres!$A$1:$I$89,3,0)*VLOOKUP('Données projet'!$B$9,Paramètres!$A$1:$I$89,5,0)</f>
        <v>228.06224999999995</v>
      </c>
      <c r="P70" s="13">
        <f t="shared" si="87"/>
        <v>55.863488585619976</v>
      </c>
      <c r="Q70" s="20">
        <f t="shared" si="54"/>
        <v>494.5039947032879</v>
      </c>
      <c r="R70" s="59">
        <f t="shared" si="55"/>
        <v>531.17066136995459</v>
      </c>
      <c r="S70" s="59">
        <f ca="1">AVERAGE(OFFSET($R$3,0,0,'Données projet'!$E$9+1,1))-AVERAGE(OFFSET($H$3,0,0,'Données projet'!$E$9+1,1))</f>
        <v>318.84317557630413</v>
      </c>
      <c r="T70" s="59">
        <f t="shared" si="88"/>
        <v>211.80440891545263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47.760689878968265</v>
      </c>
      <c r="AA70" s="21">
        <f>EXP(-LN(2)/25)*AA69+(1-EXP(-LN(2)/25))/(LN(2)/25)*Calculateur!V70*Calculateur!X70*VLOOKUP('Données projet'!$B$9,Paramètres!$A$1:$I$89,3,0)*0.475*44/12</f>
        <v>36.417010567853502</v>
      </c>
      <c r="AB70" s="21">
        <f>EXP(-LN(2)/2)*AB69+(1-EXP(-LN(2)/2))/(LN(2)/2)*V70*Y70*VLOOKUP('Données projet'!$B$9,Paramètres!$A$1:$I$89,3,0)*0.475*44/12</f>
        <v>3.553883135847318E-4</v>
      </c>
      <c r="AC70" s="22">
        <f t="shared" si="57"/>
        <v>84.178055835135353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6.75</v>
      </c>
      <c r="AI70" s="13">
        <f>IF('Données projet'!$A$62&gt;35,AI69+AH70-AQ69,IF(A70&lt;'Données projet'!$A$62,$AF$205^A70,IF(A70='Données projet'!$A$62,'Données projet'!$B$62,AI69+AH70-AQ69)))</f>
        <v>371.74999999999994</v>
      </c>
      <c r="AJ70" s="13">
        <f>AI70*VLOOKUP('Données projet'!$B$10,Paramètres!$A$1:$I$89,3,0)*VLOOKUP('Données projet'!$B$10,Paramètres!$A$1:$I$89,5,0)</f>
        <v>212.64099999999996</v>
      </c>
      <c r="AK70" s="13">
        <f t="shared" si="89"/>
        <v>52.512290191227322</v>
      </c>
      <c r="AL70" s="20">
        <f t="shared" si="58"/>
        <v>461.80864708305415</v>
      </c>
      <c r="AM70" s="59">
        <f t="shared" si="59"/>
        <v>498.47531374972084</v>
      </c>
      <c r="AN70" s="59">
        <f ca="1">AVERAGE(OFFSET($AM$3,0,0,'Données projet'!$E$10+1,1))-AVERAGE(OFFSET($H$3,0,0,'Données projet'!$E$10+1,1))</f>
        <v>302.26866345315602</v>
      </c>
      <c r="AO70" s="59">
        <f t="shared" si="90"/>
        <v>229.97213730997649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33.788964824424703</v>
      </c>
      <c r="AV70" s="21">
        <f>EXP(-LN(2)/25)*AV69+(1-EXP(-LN(2)/25))/(LN(2)/25)*Calculateur!AQ70*Calculateur!AS70*VLOOKUP('Données projet'!$B$10,Paramètres!$A$1:$I$89,3,0)*0.475*44/12</f>
        <v>27.618751080391661</v>
      </c>
      <c r="AW70" s="21">
        <f>EXP(-LN(2)/2)*AW69+(1-EXP(-LN(2)/2))/(LN(2)/2)*AQ70*AT70*VLOOKUP('Données projet'!$B$10,Paramètres!$A$1:$I$89,3,0)*0.475*44/12</f>
        <v>3.6327414693691139E-4</v>
      </c>
      <c r="AX70" s="21">
        <f t="shared" si="60"/>
        <v>61.408079178963298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0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16.375</v>
      </c>
      <c r="N71" s="13">
        <f>IF('Données projet'!$A$36&gt;35,N70+M71-V70,IF(A71&lt;'Données projet'!$A$36,$K$205^A71,IF(A71='Données projet'!$A$36,'Données projet'!$B$36,N70+M71-V70)))</f>
        <v>397.74999999999989</v>
      </c>
      <c r="O71" s="13">
        <f>N71*VLOOKUP('Données projet'!$B$9,Paramètres!$A$1:$I$89,3,0)*VLOOKUP('Données projet'!$B$9,Paramètres!$A$1:$I$89,5,0)</f>
        <v>237.85449999999994</v>
      </c>
      <c r="P71" s="13">
        <f t="shared" si="87"/>
        <v>57.977674732195801</v>
      </c>
      <c r="Q71" s="20">
        <f t="shared" si="54"/>
        <v>515.24103765857421</v>
      </c>
      <c r="R71" s="59">
        <f t="shared" si="55"/>
        <v>551.90770432524084</v>
      </c>
      <c r="S71" s="59">
        <f ca="1">AVERAGE(OFFSET($R$3,0,0,'Données projet'!$E$9+1,1))-AVERAGE(OFFSET($H$3,0,0,'Données projet'!$E$9+1,1))</f>
        <v>318.84317557630413</v>
      </c>
      <c r="T71" s="59">
        <f t="shared" si="88"/>
        <v>211.80440891545263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46.824131881586062</v>
      </c>
      <c r="AA71" s="21">
        <f>EXP(-LN(2)/25)*AA70+(1-EXP(-LN(2)/25))/(LN(2)/25)*Calculateur!V71*Calculateur!X71*VLOOKUP('Données projet'!$B$9,Paramètres!$A$1:$I$89,3,0)*0.475*44/12</f>
        <v>35.421185498788198</v>
      </c>
      <c r="AB71" s="21">
        <f>EXP(-LN(2)/2)*AB70+(1-EXP(-LN(2)/2))/(LN(2)/2)*V71*Y71*VLOOKUP('Données projet'!$B$9,Paramètres!$A$1:$I$89,3,0)*0.475*44/12</f>
        <v>2.5129748649021507E-4</v>
      </c>
      <c r="AC71" s="22">
        <f t="shared" si="57"/>
        <v>82.245568677860746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6.75</v>
      </c>
      <c r="AI71" s="13">
        <f>IF('Données projet'!$A$62&gt;35,AI70+AH71-AQ70,IF(A71&lt;'Données projet'!$A$62,$AF$205^A71,IF(A71='Données projet'!$A$62,'Données projet'!$B$62,AI70+AH71-AQ70)))</f>
        <v>378.49999999999994</v>
      </c>
      <c r="AJ71" s="13">
        <f>AI71*VLOOKUP('Données projet'!$B$10,Paramètres!$A$1:$I$89,3,0)*VLOOKUP('Données projet'!$B$10,Paramètres!$A$1:$I$89,5,0)</f>
        <v>216.50199999999995</v>
      </c>
      <c r="AK71" s="13">
        <f t="shared" si="89"/>
        <v>53.353904963920556</v>
      </c>
      <c r="AL71" s="20">
        <f t="shared" si="58"/>
        <v>469.99903447882821</v>
      </c>
      <c r="AM71" s="59">
        <f t="shared" si="59"/>
        <v>506.66570114549489</v>
      </c>
      <c r="AN71" s="59">
        <f ca="1">AVERAGE(OFFSET($AM$3,0,0,'Données projet'!$E$10+1,1))-AVERAGE(OFFSET($H$3,0,0,'Données projet'!$E$10+1,1))</f>
        <v>302.26866345315602</v>
      </c>
      <c r="AO71" s="59">
        <f t="shared" si="90"/>
        <v>229.97213730997649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33.126383833451285</v>
      </c>
      <c r="AV71" s="21">
        <f>EXP(-LN(2)/25)*AV70+(1-EXP(-LN(2)/25))/(LN(2)/25)*Calculateur!AQ71*Calculateur!AS71*VLOOKUP('Données projet'!$B$10,Paramètres!$A$1:$I$89,3,0)*0.475*44/12</f>
        <v>26.863514879691355</v>
      </c>
      <c r="AW71" s="21">
        <f>EXP(-LN(2)/2)*AW70+(1-EXP(-LN(2)/2))/(LN(2)/2)*AQ71*AT71*VLOOKUP('Données projet'!$B$10,Paramètres!$A$1:$I$89,3,0)*0.475*44/12</f>
        <v>2.5687361272884831E-4</v>
      </c>
      <c r="AX71" s="21">
        <f t="shared" si="60"/>
        <v>59.990155586755364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0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16.375</v>
      </c>
      <c r="N72" s="13">
        <f>IF('Données projet'!$A$36&gt;35,N71+M72-V71,IF(A72&lt;'Données projet'!$A$36,$K$205^A72,IF(A72='Données projet'!$A$36,'Données projet'!$B$36,N71+M72-V71)))</f>
        <v>414.12499999999989</v>
      </c>
      <c r="O72" s="13">
        <f>N72*VLOOKUP('Données projet'!$B$9,Paramètres!$A$1:$I$89,3,0)*VLOOKUP('Données projet'!$B$9,Paramètres!$A$1:$I$89,5,0)</f>
        <v>247.64674999999994</v>
      </c>
      <c r="P72" s="13">
        <f t="shared" si="87"/>
        <v>60.081750748907808</v>
      </c>
      <c r="Q72" s="20">
        <f t="shared" si="54"/>
        <v>535.96047213768099</v>
      </c>
      <c r="R72" s="59">
        <f t="shared" si="55"/>
        <v>572.62713880434762</v>
      </c>
      <c r="S72" s="59">
        <f ca="1">AVERAGE(OFFSET($R$3,0,0,'Données projet'!$E$9+1,1))-AVERAGE(OFFSET($H$3,0,0,'Données projet'!$E$9+1,1))</f>
        <v>318.84317557630413</v>
      </c>
      <c r="T72" s="59">
        <f t="shared" si="88"/>
        <v>211.80440891545263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45.905939215288548</v>
      </c>
      <c r="AA72" s="21">
        <f>EXP(-LN(2)/25)*AA71+(1-EXP(-LN(2)/25))/(LN(2)/25)*Calculateur!V72*Calculateur!X72*VLOOKUP('Données projet'!$B$9,Paramètres!$A$1:$I$89,3,0)*0.475*44/12</f>
        <v>34.452591318604647</v>
      </c>
      <c r="AB72" s="21">
        <f>EXP(-LN(2)/2)*AB71+(1-EXP(-LN(2)/2))/(LN(2)/2)*V72*Y72*VLOOKUP('Données projet'!$B$9,Paramètres!$A$1:$I$89,3,0)*0.475*44/12</f>
        <v>1.776941567923659E-4</v>
      </c>
      <c r="AC72" s="22">
        <f t="shared" si="57"/>
        <v>80.358708228049991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6.75</v>
      </c>
      <c r="AI72" s="13">
        <f>IF('Données projet'!$A$62&gt;35,AI71+AH72-AQ71,IF(A72&lt;'Données projet'!$A$62,$AF$205^A72,IF(A72='Données projet'!$A$62,'Données projet'!$B$62,AI71+AH72-AQ71)))</f>
        <v>385.24999999999994</v>
      </c>
      <c r="AJ72" s="13">
        <f>AI72*VLOOKUP('Données projet'!$B$10,Paramètres!$A$1:$I$89,3,0)*VLOOKUP('Données projet'!$B$10,Paramètres!$A$1:$I$89,5,0)</f>
        <v>220.36299999999997</v>
      </c>
      <c r="AK72" s="13">
        <f t="shared" si="89"/>
        <v>54.193774405323978</v>
      </c>
      <c r="AL72" s="20">
        <f t="shared" si="58"/>
        <v>478.18638208927251</v>
      </c>
      <c r="AM72" s="59">
        <f t="shared" si="59"/>
        <v>514.8530487559392</v>
      </c>
      <c r="AN72" s="59">
        <f ca="1">AVERAGE(OFFSET($AM$3,0,0,'Données projet'!$E$10+1,1))-AVERAGE(OFFSET($H$3,0,0,'Données projet'!$E$10+1,1))</f>
        <v>302.26866345315602</v>
      </c>
      <c r="AO72" s="59">
        <f t="shared" si="90"/>
        <v>229.97213730997649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32.476795651576353</v>
      </c>
      <c r="AV72" s="21">
        <f>EXP(-LN(2)/25)*AV71+(1-EXP(-LN(2)/25))/(LN(2)/25)*Calculateur!AQ72*Calculateur!AS72*VLOOKUP('Données projet'!$B$10,Paramètres!$A$1:$I$89,3,0)*0.475*44/12</f>
        <v>26.128930652615345</v>
      </c>
      <c r="AW72" s="21">
        <f>EXP(-LN(2)/2)*AW71+(1-EXP(-LN(2)/2))/(LN(2)/2)*AQ72*AT72*VLOOKUP('Données projet'!$B$10,Paramètres!$A$1:$I$89,3,0)*0.475*44/12</f>
        <v>1.8163707346845569E-4</v>
      </c>
      <c r="AX72" s="21">
        <f t="shared" si="60"/>
        <v>58.605907941265166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0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16.375</v>
      </c>
      <c r="N73" s="13">
        <f>IF('Données projet'!$A$36&gt;35,N72+M73-V72,IF(A73&lt;'Données projet'!$A$36,$K$205^A73,IF(A73='Données projet'!$A$36,'Données projet'!$B$36,N72+M73-V72)))</f>
        <v>430.49999999999989</v>
      </c>
      <c r="O73" s="13">
        <f>N73*VLOOKUP('Données projet'!$B$9,Paramètres!$A$1:$I$89,3,0)*VLOOKUP('Données projet'!$B$9,Paramètres!$A$1:$I$89,5,0)</f>
        <v>257.43899999999996</v>
      </c>
      <c r="P73" s="13">
        <f t="shared" si="87"/>
        <v>62.17616214631007</v>
      </c>
      <c r="Q73" s="20">
        <f t="shared" si="54"/>
        <v>556.66307407148986</v>
      </c>
      <c r="R73" s="59">
        <f t="shared" si="55"/>
        <v>593.32974073815649</v>
      </c>
      <c r="S73" s="59">
        <f ca="1">AVERAGE(OFFSET($R$3,0,0,'Données projet'!$E$9+1,1))-AVERAGE(OFFSET($H$3,0,0,'Données projet'!$E$9+1,1))</f>
        <v>318.84317557630413</v>
      </c>
      <c r="T73" s="59">
        <f t="shared" si="88"/>
        <v>211.80440891545263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45.005751747134902</v>
      </c>
      <c r="AA73" s="21">
        <f>EXP(-LN(2)/25)*AA72+(1-EXP(-LN(2)/25))/(LN(2)/25)*Calculateur!V73*Calculateur!X73*VLOOKUP('Données projet'!$B$9,Paramètres!$A$1:$I$89,3,0)*0.475*44/12</f>
        <v>33.510483397214365</v>
      </c>
      <c r="AB73" s="21">
        <f>EXP(-LN(2)/2)*AB72+(1-EXP(-LN(2)/2))/(LN(2)/2)*V73*Y73*VLOOKUP('Données projet'!$B$9,Paramètres!$A$1:$I$89,3,0)*0.475*44/12</f>
        <v>1.2564874324510754E-4</v>
      </c>
      <c r="AC73" s="22">
        <f t="shared" si="57"/>
        <v>78.516360793092517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6.75</v>
      </c>
      <c r="AI73" s="13">
        <f>IF('Données projet'!$A$62&gt;35,AI72+AH73-AQ72,IF(A73&lt;'Données projet'!$A$62,$AF$205^A73,IF(A73='Données projet'!$A$62,'Données projet'!$B$62,AI72+AH73-AQ72)))</f>
        <v>391.99999999999994</v>
      </c>
      <c r="AJ73" s="13">
        <f>AI73*VLOOKUP('Données projet'!$B$10,Paramètres!$A$1:$I$89,3,0)*VLOOKUP('Données projet'!$B$10,Paramètres!$A$1:$I$89,5,0)</f>
        <v>224.22399999999999</v>
      </c>
      <c r="AK73" s="13">
        <f t="shared" si="89"/>
        <v>55.031932623797523</v>
      </c>
      <c r="AL73" s="20">
        <f t="shared" si="58"/>
        <v>486.3707493197806</v>
      </c>
      <c r="AM73" s="59">
        <f t="shared" si="59"/>
        <v>523.03741598644729</v>
      </c>
      <c r="AN73" s="59">
        <f ca="1">AVERAGE(OFFSET($AM$3,0,0,'Données projet'!$E$10+1,1))-AVERAGE(OFFSET($H$3,0,0,'Données projet'!$E$10+1,1))</f>
        <v>302.26866345315602</v>
      </c>
      <c r="AO73" s="59">
        <f t="shared" si="90"/>
        <v>229.97213730997649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31.839945497738324</v>
      </c>
      <c r="AV73" s="21">
        <f>EXP(-LN(2)/25)*AV72+(1-EXP(-LN(2)/25))/(LN(2)/25)*Calculateur!AQ73*Calculateur!AS73*VLOOKUP('Données projet'!$B$10,Paramètres!$A$1:$I$89,3,0)*0.475*44/12</f>
        <v>25.414433669858834</v>
      </c>
      <c r="AW73" s="21">
        <f>EXP(-LN(2)/2)*AW72+(1-EXP(-LN(2)/2))/(LN(2)/2)*AQ73*AT73*VLOOKUP('Données projet'!$B$10,Paramètres!$A$1:$I$89,3,0)*0.475*44/12</f>
        <v>1.2843680636442415E-4</v>
      </c>
      <c r="AX73" s="21">
        <f t="shared" si="60"/>
        <v>57.254507604403521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0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16.375</v>
      </c>
      <c r="N74" s="13">
        <f>IF('Données projet'!$A$36&gt;35,N73+M74-V73,IF(A74&lt;'Données projet'!$A$36,$K$205^A74,IF(A74='Données projet'!$A$36,'Données projet'!$B$36,N73+M74-V73)))</f>
        <v>446.87499999999989</v>
      </c>
      <c r="O74" s="13">
        <f>N74*VLOOKUP('Données projet'!$B$9,Paramètres!$A$1:$I$89,3,0)*VLOOKUP('Données projet'!$B$9,Paramètres!$A$1:$I$89,5,0)</f>
        <v>267.23124999999993</v>
      </c>
      <c r="P74" s="13">
        <f t="shared" si="87"/>
        <v>64.261318623417381</v>
      </c>
      <c r="Q74" s="20">
        <f t="shared" si="54"/>
        <v>577.34955701911838</v>
      </c>
      <c r="R74" s="59">
        <f t="shared" si="55"/>
        <v>614.01622368578501</v>
      </c>
      <c r="S74" s="59">
        <f ca="1">AVERAGE(OFFSET($R$3,0,0,'Données projet'!$E$9+1,1))-AVERAGE(OFFSET($H$3,0,0,'Données projet'!$E$9+1,1))</f>
        <v>318.84317557630413</v>
      </c>
      <c r="T74" s="59">
        <f t="shared" si="88"/>
        <v>211.80440891545263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44.123216406171608</v>
      </c>
      <c r="AA74" s="21">
        <f>EXP(-LN(2)/25)*AA73+(1-EXP(-LN(2)/25))/(LN(2)/25)*Calculateur!V74*Calculateur!X74*VLOOKUP('Données projet'!$B$9,Paramètres!$A$1:$I$89,3,0)*0.475*44/12</f>
        <v>32.594137466477804</v>
      </c>
      <c r="AB74" s="21">
        <f>EXP(-LN(2)/2)*AB73+(1-EXP(-LN(2)/2))/(LN(2)/2)*V74*Y74*VLOOKUP('Données projet'!$B$9,Paramètres!$A$1:$I$89,3,0)*0.475*44/12</f>
        <v>8.8847078396182949E-5</v>
      </c>
      <c r="AC74" s="22">
        <f t="shared" si="57"/>
        <v>76.717442719727813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6.75</v>
      </c>
      <c r="AI74" s="13">
        <f>IF('Données projet'!$A$62&gt;35,AI73+AH74-AQ73,IF(A74&lt;'Données projet'!$A$62,$AF$205^A74,IF(A74='Données projet'!$A$62,'Données projet'!$B$62,AI73+AH74-AQ73)))</f>
        <v>398.74999999999994</v>
      </c>
      <c r="AJ74" s="13">
        <f>AI74*VLOOKUP('Données projet'!$B$10,Paramètres!$A$1:$I$89,3,0)*VLOOKUP('Données projet'!$B$10,Paramètres!$A$1:$I$89,5,0)</f>
        <v>228.08499999999998</v>
      </c>
      <c r="AK74" s="13">
        <f t="shared" si="89"/>
        <v>55.868412485747712</v>
      </c>
      <c r="AL74" s="20">
        <f t="shared" si="58"/>
        <v>494.55219341267713</v>
      </c>
      <c r="AM74" s="59">
        <f t="shared" si="59"/>
        <v>531.21886007934381</v>
      </c>
      <c r="AN74" s="59">
        <f ca="1">AVERAGE(OFFSET($AM$3,0,0,'Données projet'!$E$10+1,1))-AVERAGE(OFFSET($H$3,0,0,'Données projet'!$E$10+1,1))</f>
        <v>302.26866345315602</v>
      </c>
      <c r="AO74" s="59">
        <f t="shared" si="90"/>
        <v>229.97213730997649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31.21558358697682</v>
      </c>
      <c r="AV74" s="21">
        <f>EXP(-LN(2)/25)*AV73+(1-EXP(-LN(2)/25))/(LN(2)/25)*Calculateur!AQ74*Calculateur!AS74*VLOOKUP('Données projet'!$B$10,Paramètres!$A$1:$I$89,3,0)*0.475*44/12</f>
        <v>24.719474644669564</v>
      </c>
      <c r="AW74" s="21">
        <f>EXP(-LN(2)/2)*AW73+(1-EXP(-LN(2)/2))/(LN(2)/2)*AQ74*AT74*VLOOKUP('Données projet'!$B$10,Paramètres!$A$1:$I$89,3,0)*0.475*44/12</f>
        <v>9.0818536734227847E-5</v>
      </c>
      <c r="AX74" s="21">
        <f t="shared" si="60"/>
        <v>55.935149050183114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0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16.375</v>
      </c>
      <c r="N75" s="13">
        <f>IF('Données projet'!$A$36&gt;35,N74+M75-V74,IF(A75&lt;'Données projet'!$A$36,$K$205^A75,IF(A75='Données projet'!$A$36,'Données projet'!$B$36,N74+M75-V74)))</f>
        <v>463.24999999999989</v>
      </c>
      <c r="O75" s="13">
        <f>N75*VLOOKUP('Données projet'!$B$9,Paramètres!$A$1:$I$89,3,0)*VLOOKUP('Données projet'!$B$9,Paramètres!$A$1:$I$89,5,0)</f>
        <v>277.02349999999996</v>
      </c>
      <c r="P75" s="13">
        <f t="shared" si="87"/>
        <v>66.337598152265258</v>
      </c>
      <c r="Q75" s="20">
        <f t="shared" si="54"/>
        <v>598.02057928186184</v>
      </c>
      <c r="R75" s="59">
        <f t="shared" si="55"/>
        <v>634.68724594852847</v>
      </c>
      <c r="S75" s="59">
        <f ca="1">AVERAGE(OFFSET($R$3,0,0,'Données projet'!$E$9+1,1))-AVERAGE(OFFSET($H$3,0,0,'Données projet'!$E$9+1,1))</f>
        <v>318.84317557630413</v>
      </c>
      <c r="T75" s="59">
        <f t="shared" si="88"/>
        <v>211.80440891545263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43.2579870449512</v>
      </c>
      <c r="AA75" s="21">
        <f>EXP(-LN(2)/25)*AA74+(1-EXP(-LN(2)/25))/(LN(2)/25)*Calculateur!V75*Calculateur!X75*VLOOKUP('Données projet'!$B$9,Paramètres!$A$1:$I$89,3,0)*0.475*44/12</f>
        <v>31.702849063405775</v>
      </c>
      <c r="AB75" s="21">
        <f>EXP(-LN(2)/2)*AB74+(1-EXP(-LN(2)/2))/(LN(2)/2)*V75*Y75*VLOOKUP('Données projet'!$B$9,Paramètres!$A$1:$I$89,3,0)*0.475*44/12</f>
        <v>6.2824371622553768E-5</v>
      </c>
      <c r="AC75" s="22">
        <f t="shared" si="57"/>
        <v>74.960898932728597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6.75</v>
      </c>
      <c r="AI75" s="13">
        <f>IF('Données projet'!$A$62&gt;35,AI74+AH75-AQ74,IF(A75&lt;'Données projet'!$A$62,$AF$205^A75,IF(A75='Données projet'!$A$62,'Données projet'!$B$62,AI74+AH75-AQ74)))</f>
        <v>405.49999999999994</v>
      </c>
      <c r="AJ75" s="13">
        <f>AI75*VLOOKUP('Données projet'!$B$10,Paramètres!$A$1:$I$89,3,0)*VLOOKUP('Données projet'!$B$10,Paramètres!$A$1:$I$89,5,0)</f>
        <v>231.946</v>
      </c>
      <c r="AK75" s="13">
        <f t="shared" si="89"/>
        <v>56.703245681093705</v>
      </c>
      <c r="AL75" s="20">
        <f t="shared" si="58"/>
        <v>502.73076956123822</v>
      </c>
      <c r="AM75" s="59">
        <f t="shared" si="59"/>
        <v>539.3974362279049</v>
      </c>
      <c r="AN75" s="59">
        <f ca="1">AVERAGE(OFFSET($AM$3,0,0,'Données projet'!$E$10+1,1))-AVERAGE(OFFSET($H$3,0,0,'Données projet'!$E$10+1,1))</f>
        <v>302.26866345315602</v>
      </c>
      <c r="AO75" s="59">
        <f t="shared" si="90"/>
        <v>229.97213730997649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30.603465032462186</v>
      </c>
      <c r="AV75" s="21">
        <f>EXP(-LN(2)/25)*AV74+(1-EXP(-LN(2)/25))/(LN(2)/25)*Calculateur!AQ75*Calculateur!AS75*VLOOKUP('Données projet'!$B$10,Paramètres!$A$1:$I$89,3,0)*0.475*44/12</f>
        <v>24.043519310570399</v>
      </c>
      <c r="AW75" s="21">
        <f>EXP(-LN(2)/2)*AW74+(1-EXP(-LN(2)/2))/(LN(2)/2)*AQ75*AT75*VLOOKUP('Données projet'!$B$10,Paramètres!$A$1:$I$89,3,0)*0.475*44/12</f>
        <v>6.4218403182212077E-5</v>
      </c>
      <c r="AX75" s="21">
        <f t="shared" si="60"/>
        <v>54.647048561435767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0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16.375</v>
      </c>
      <c r="N76" s="13">
        <f>IF('Données projet'!$A$36&gt;35,N75+M76-V75,IF(A76&lt;'Données projet'!$A$36,$K$205^A76,IF(A76='Données projet'!$A$36,'Données projet'!$B$36,N75+M76-V75)))</f>
        <v>479.62499999999989</v>
      </c>
      <c r="O76" s="13">
        <f>N76*VLOOKUP('Données projet'!$B$9,Paramètres!$A$1:$I$89,3,0)*VLOOKUP('Données projet'!$B$9,Paramètres!$A$1:$I$89,5,0)</f>
        <v>286.81574999999998</v>
      </c>
      <c r="P76" s="13">
        <f t="shared" si="87"/>
        <v>68.405350468715739</v>
      </c>
      <c r="Q76" s="20">
        <f t="shared" si="54"/>
        <v>618.67674998301311</v>
      </c>
      <c r="R76" s="59">
        <f t="shared" si="55"/>
        <v>655.34341664967974</v>
      </c>
      <c r="S76" s="59">
        <f ca="1">AVERAGE(OFFSET($R$3,0,0,'Données projet'!$E$9+1,1))-AVERAGE(OFFSET($H$3,0,0,'Données projet'!$E$9+1,1))</f>
        <v>318.84317557630413</v>
      </c>
      <c r="T76" s="59">
        <f t="shared" si="88"/>
        <v>211.80440891545263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42.409724303766524</v>
      </c>
      <c r="AA76" s="21">
        <f>EXP(-LN(2)/25)*AA75+(1-EXP(-LN(2)/25))/(LN(2)/25)*Calculateur!V76*Calculateur!X76*VLOOKUP('Données projet'!$B$9,Paramètres!$A$1:$I$89,3,0)*0.475*44/12</f>
        <v>30.835932988586571</v>
      </c>
      <c r="AB76" s="21">
        <f>EXP(-LN(2)/2)*AB75+(1-EXP(-LN(2)/2))/(LN(2)/2)*V76*Y76*VLOOKUP('Données projet'!$B$9,Paramètres!$A$1:$I$89,3,0)*0.475*44/12</f>
        <v>4.4423539198091475E-5</v>
      </c>
      <c r="AC76" s="22">
        <f t="shared" si="57"/>
        <v>73.245701715892281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6.75</v>
      </c>
      <c r="AI76" s="13">
        <f>IF('Données projet'!$A$62&gt;35,AI75+AH76-AQ75,IF(A76&lt;'Données projet'!$A$62,$AF$205^A76,IF(A76='Données projet'!$A$62,'Données projet'!$B$62,AI75+AH76-AQ75)))</f>
        <v>412.24999999999994</v>
      </c>
      <c r="AJ76" s="13">
        <f>AI76*VLOOKUP('Données projet'!$B$10,Paramètres!$A$1:$I$89,3,0)*VLOOKUP('Données projet'!$B$10,Paramètres!$A$1:$I$89,5,0)</f>
        <v>235.80699999999999</v>
      </c>
      <c r="AK76" s="13">
        <f t="shared" si="89"/>
        <v>57.536462784250709</v>
      </c>
      <c r="AL76" s="20">
        <f t="shared" si="58"/>
        <v>510.90653101590328</v>
      </c>
      <c r="AM76" s="59">
        <f t="shared" si="59"/>
        <v>547.57319768256991</v>
      </c>
      <c r="AN76" s="59">
        <f ca="1">AVERAGE(OFFSET($AM$3,0,0,'Données projet'!$E$10+1,1))-AVERAGE(OFFSET($H$3,0,0,'Données projet'!$E$10+1,1))</f>
        <v>302.26866345315602</v>
      </c>
      <c r="AO76" s="59">
        <f t="shared" si="90"/>
        <v>229.97213730997649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30.00334974944613</v>
      </c>
      <c r="AV76" s="21">
        <f>EXP(-LN(2)/25)*AV75+(1-EXP(-LN(2)/25))/(LN(2)/25)*Calculateur!AQ76*Calculateur!AS76*VLOOKUP('Données projet'!$B$10,Paramètres!$A$1:$I$89,3,0)*0.475*44/12</f>
        <v>23.386048010629125</v>
      </c>
      <c r="AW76" s="21">
        <f>EXP(-LN(2)/2)*AW75+(1-EXP(-LN(2)/2))/(LN(2)/2)*AQ76*AT76*VLOOKUP('Données projet'!$B$10,Paramètres!$A$1:$I$89,3,0)*0.475*44/12</f>
        <v>4.5409268367113923E-5</v>
      </c>
      <c r="AX76" s="21">
        <f t="shared" si="60"/>
        <v>53.389443169343622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0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496</v>
      </c>
      <c r="L77" s="12">
        <f>VLOOKUP(A77,'Données projet'!$A$35:$I$55,9,0)</f>
        <v>16.375</v>
      </c>
      <c r="M77" s="12">
        <f t="array" ref="M77">INDEX(L:L,MIN(IF(ISNUMBER(L77:L273),ROW(L77:L273),"")))</f>
        <v>16.375</v>
      </c>
      <c r="N77" s="13">
        <f>IF('Données projet'!$A$36&gt;35,N76+M77-V76,IF(A77&lt;'Données projet'!$A$36,$K$205^A77,IF(A77='Données projet'!$A$36,'Données projet'!$B$36,N76+M77-V76)))</f>
        <v>495.99999999999989</v>
      </c>
      <c r="O77" s="13">
        <f>N77*VLOOKUP('Données projet'!$B$9,Paramètres!$A$1:$I$89,3,0)*VLOOKUP('Données projet'!$B$9,Paramètres!$A$1:$I$89,5,0)</f>
        <v>296.60799999999995</v>
      </c>
      <c r="P77" s="13">
        <f t="shared" si="87"/>
        <v>70.464900073149394</v>
      </c>
      <c r="Q77" s="20">
        <f t="shared" si="54"/>
        <v>639.31863429406837</v>
      </c>
      <c r="R77" s="59">
        <f t="shared" si="55"/>
        <v>675.985300960735</v>
      </c>
      <c r="S77" s="59">
        <f ca="1">AVERAGE(OFFSET($R$3,0,0,'Données projet'!$E$9+1,1))-AVERAGE(OFFSET($H$3,0,0,'Données projet'!$E$9+1,1))</f>
        <v>318.84317557630413</v>
      </c>
      <c r="T77" s="59">
        <f t="shared" si="88"/>
        <v>211.80440891545263</v>
      </c>
      <c r="U77" s="15">
        <f>IF(ISNA(VLOOKUP(A77,'Données projet'!$A$35:$I$55,3,0)),0,VLOOKUP(A77,'Données projet'!$A$35:$I$55,3,0))</f>
        <v>10</v>
      </c>
      <c r="V77" s="15">
        <f>IF(ISNA(VLOOKUP(A77,'Données projet'!$A$35:$I$55,4,0)),0,VLOOKUP(A77,'Données projet'!$A$35:$I$55,4,0))</f>
        <v>37</v>
      </c>
      <c r="W77" s="16">
        <f>IF(ISNA(VLOOKUP(A77,'Données projet'!$A$35:$I$55,5,0)),0%,VLOOKUP(A77,'Données projet'!$A$35:$I$55,5,0)*VLOOKUP('Données projet'!$B$9,Paramètres!$A$1:$I$89,7,0))</f>
        <v>0.40500000000000003</v>
      </c>
      <c r="X77" s="16">
        <f>IF(ISNA(VLOOKUP(A77,'Données projet'!$A$35:$I$55,6,0)),0%,VLOOKUP(A77,'Données projet'!$A$35:$I$55,6,0)*VLOOKUP('Données projet'!$B$9,Paramètres!$A$1:$I$89,7,0))</f>
        <v>4.5000000000000005E-2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53.465479359674681</v>
      </c>
      <c r="AA77" s="21">
        <f>EXP(-LN(2)/25)*AA76+(1-EXP(-LN(2)/25))/(LN(2)/25)*Calculateur!V77*Calculateur!X77*VLOOKUP('Données projet'!$B$9,Paramètres!$A$1:$I$89,3,0)*0.475*44/12</f>
        <v>31.308342637459663</v>
      </c>
      <c r="AB77" s="21">
        <f>EXP(-LN(2)/2)*AB76+(1-EXP(-LN(2)/2))/(LN(2)/2)*V77*Y77*VLOOKUP('Données projet'!$B$9,Paramètres!$A$1:$I$89,3,0)*0.475*44/12</f>
        <v>3.1412185811276884E-5</v>
      </c>
      <c r="AC77" s="22">
        <f t="shared" si="57"/>
        <v>84.773853409320154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419</v>
      </c>
      <c r="AG77" s="12">
        <f>VLOOKUP(A77,'Données projet'!$A$61:$I$81,9,0)</f>
        <v>6.75</v>
      </c>
      <c r="AH77" s="12">
        <f t="array" ref="AH77">INDEX(AG:AG,MIN(IF(ISNUMBER(AG77:AG273),ROW(AG77:AG273),"")))</f>
        <v>6.75</v>
      </c>
      <c r="AI77" s="13">
        <f>IF('Données projet'!$A$62&gt;35,AI76+AH77-AQ76,IF(A77&lt;'Données projet'!$A$62,$AF$205^A77,IF(A77='Données projet'!$A$62,'Données projet'!$B$62,AI76+AH77-AQ76)))</f>
        <v>418.99999999999994</v>
      </c>
      <c r="AJ77" s="13">
        <f>AI77*VLOOKUP('Données projet'!$B$10,Paramètres!$A$1:$I$89,3,0)*VLOOKUP('Données projet'!$B$10,Paramètres!$A$1:$I$89,5,0)</f>
        <v>239.66799999999998</v>
      </c>
      <c r="AK77" s="13">
        <f t="shared" si="89"/>
        <v>58.368093311006277</v>
      </c>
      <c r="AL77" s="20">
        <f t="shared" si="58"/>
        <v>519.07952918333581</v>
      </c>
      <c r="AM77" s="59">
        <f t="shared" si="59"/>
        <v>555.74619585000244</v>
      </c>
      <c r="AN77" s="59">
        <f ca="1">AVERAGE(OFFSET($AM$3,0,0,'Données projet'!$E$10+1,1))-AVERAGE(OFFSET($H$3,0,0,'Données projet'!$E$10+1,1))</f>
        <v>302.26866345315602</v>
      </c>
      <c r="AO77" s="59">
        <f t="shared" si="90"/>
        <v>229.97213730997649</v>
      </c>
      <c r="AP77" s="15">
        <f>IF(ISNA(VLOOKUP(A77,'Données projet'!$A$61:$I$81,3,0)),0,VLOOKUP(A77,'Données projet'!$A$61:$I$81,3,0))</f>
        <v>9</v>
      </c>
      <c r="AQ77" s="15">
        <f>IF(ISNA(VLOOKUP(A77,'Données projet'!$A$61:$I$81,4,0)),0,VLOOKUP(A77,'Données projet'!$A$61:$I$81,4,0))</f>
        <v>20</v>
      </c>
      <c r="AR77" s="16">
        <f>IF(ISNA(VLOOKUP(A77,'Données projet'!$A$61:$I$81,5,0)),0%,VLOOKUP(A77,'Données projet'!$A$61:$I$81,5,0)*VLOOKUP('Données projet'!$B$10,Paramètres!$A$1:$I$89,7,0))</f>
        <v>0.40500000000000003</v>
      </c>
      <c r="AS77" s="16">
        <f>IF(ISNA(VLOOKUP(A77,'Données projet'!$A$61:$I$81,6,0)),0%,VLOOKUP(A77,'Données projet'!$A$61:$I$81,6,0)*VLOOKUP('Données projet'!$B$10,Paramètres!$A$1:$I$89,7,0))</f>
        <v>4.5000000000000005E-2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35.561240796038319</v>
      </c>
      <c r="AV77" s="21">
        <f>EXP(-LN(2)/25)*AV76+(1-EXP(-LN(2)/25))/(LN(2)/25)*Calculateur!AQ77*Calculateur!AS77*VLOOKUP('Données projet'!$B$10,Paramètres!$A$1:$I$89,3,0)*0.475*44/12</f>
        <v>23.426781781551174</v>
      </c>
      <c r="AW77" s="21">
        <f>EXP(-LN(2)/2)*AW76+(1-EXP(-LN(2)/2))/(LN(2)/2)*AQ77*AT77*VLOOKUP('Données projet'!$B$10,Paramètres!$A$1:$I$89,3,0)*0.475*44/12</f>
        <v>3.2109201591106039E-5</v>
      </c>
      <c r="AX77" s="21">
        <f t="shared" si="60"/>
        <v>58.988054686791081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0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10.25</v>
      </c>
      <c r="N78" s="13">
        <f>IF('Données projet'!$A$36&gt;35,N77+M78-V77,IF(A78&lt;'Données projet'!$A$36,$K$205^A78,IF(A78='Données projet'!$A$36,'Données projet'!$B$36,N77+M78-V77)))</f>
        <v>469.24999999999989</v>
      </c>
      <c r="O78" s="13">
        <f>N78*VLOOKUP('Données projet'!$B$9,Paramètres!$A$1:$I$89,3,0)*VLOOKUP('Données projet'!$B$9,Paramètres!$A$1:$I$89,5,0)</f>
        <v>280.61149999999998</v>
      </c>
      <c r="P78" s="13">
        <f t="shared" si="87"/>
        <v>67.096219997567374</v>
      </c>
      <c r="Q78" s="20">
        <f t="shared" si="54"/>
        <v>605.5909456624297</v>
      </c>
      <c r="R78" s="59">
        <f t="shared" si="55"/>
        <v>642.25761232909633</v>
      </c>
      <c r="S78" s="59">
        <f ca="1">AVERAGE(OFFSET($R$3,0,0,'Données projet'!$E$9+1,1))-AVERAGE(OFFSET($H$3,0,0,'Données projet'!$E$9+1,1))</f>
        <v>318.84317557630413</v>
      </c>
      <c r="T78" s="59">
        <f t="shared" si="88"/>
        <v>211.80440891545263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52.417053920153826</v>
      </c>
      <c r="AA78" s="21">
        <f>EXP(-LN(2)/25)*AA77+(1-EXP(-LN(2)/25))/(LN(2)/25)*Calculateur!V78*Calculateur!X78*VLOOKUP('Données projet'!$B$9,Paramètres!$A$1:$I$89,3,0)*0.475*44/12</f>
        <v>30.452214361604145</v>
      </c>
      <c r="AB78" s="21">
        <f>EXP(-LN(2)/2)*AB77+(1-EXP(-LN(2)/2))/(LN(2)/2)*V78*Y78*VLOOKUP('Données projet'!$B$9,Paramètres!$A$1:$I$89,3,0)*0.475*44/12</f>
        <v>2.2211769599045737E-5</v>
      </c>
      <c r="AC78" s="22">
        <f t="shared" si="57"/>
        <v>82.869290493527572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5.625</v>
      </c>
      <c r="AI78" s="13">
        <f>IF('Données projet'!$A$62&gt;35,AI77+AH78-AQ77,IF(A78&lt;'Données projet'!$A$62,$AF$205^A78,IF(A78='Données projet'!$A$62,'Données projet'!$B$62,AI77+AH78-AQ77)))</f>
        <v>404.62499999999994</v>
      </c>
      <c r="AJ78" s="13">
        <f>AI78*VLOOKUP('Données projet'!$B$10,Paramètres!$A$1:$I$89,3,0)*VLOOKUP('Données projet'!$B$10,Paramètres!$A$1:$I$89,5,0)</f>
        <v>231.44549999999995</v>
      </c>
      <c r="AK78" s="13">
        <f t="shared" si="89"/>
        <v>56.595118370327334</v>
      </c>
      <c r="AL78" s="20">
        <f t="shared" si="58"/>
        <v>501.67074366165338</v>
      </c>
      <c r="AM78" s="59">
        <f t="shared" si="59"/>
        <v>538.33741032832006</v>
      </c>
      <c r="AN78" s="59">
        <f ca="1">AVERAGE(OFFSET($AM$3,0,0,'Données projet'!$E$10+1,1))-AVERAGE(OFFSET($H$3,0,0,'Données projet'!$E$10+1,1))</f>
        <v>302.26866345315602</v>
      </c>
      <c r="AO78" s="59">
        <f t="shared" si="90"/>
        <v>229.97213730997649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34.863906554243165</v>
      </c>
      <c r="AV78" s="21">
        <f>EXP(-LN(2)/25)*AV77+(1-EXP(-LN(2)/25))/(LN(2)/25)*Calculateur!AQ78*Calculateur!AS78*VLOOKUP('Données projet'!$B$10,Paramètres!$A$1:$I$89,3,0)*0.475*44/12</f>
        <v>22.786175201773744</v>
      </c>
      <c r="AW78" s="21">
        <f>EXP(-LN(2)/2)*AW77+(1-EXP(-LN(2)/2))/(LN(2)/2)*AQ78*AT78*VLOOKUP('Données projet'!$B$10,Paramètres!$A$1:$I$89,3,0)*0.475*44/12</f>
        <v>2.2704634183556962E-5</v>
      </c>
      <c r="AX78" s="21">
        <f t="shared" si="60"/>
        <v>57.650104460651093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0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10.25</v>
      </c>
      <c r="N79" s="13">
        <f>IF('Données projet'!$A$36&gt;35,N78+M79-V78,IF(A79&lt;'Données projet'!$A$36,$K$205^A79,IF(A79='Données projet'!$A$36,'Données projet'!$B$36,N78+M79-V78)))</f>
        <v>479.49999999999989</v>
      </c>
      <c r="O79" s="13">
        <f>N79*VLOOKUP('Données projet'!$B$9,Paramètres!$A$1:$I$89,3,0)*VLOOKUP('Données projet'!$B$9,Paramètres!$A$1:$I$89,5,0)</f>
        <v>286.74099999999999</v>
      </c>
      <c r="P79" s="13">
        <f t="shared" si="87"/>
        <v>68.38959756682155</v>
      </c>
      <c r="Q79" s="20">
        <f t="shared" si="54"/>
        <v>618.51912409554745</v>
      </c>
      <c r="R79" s="59">
        <f t="shared" si="55"/>
        <v>655.18579076221408</v>
      </c>
      <c r="S79" s="59">
        <f ca="1">AVERAGE(OFFSET($R$3,0,0,'Données projet'!$E$9+1,1))-AVERAGE(OFFSET($H$3,0,0,'Données projet'!$E$9+1,1))</f>
        <v>318.84317557630413</v>
      </c>
      <c r="T79" s="59">
        <f t="shared" si="88"/>
        <v>211.80440891545263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51.389187464025603</v>
      </c>
      <c r="AA79" s="21">
        <f>EXP(-LN(2)/25)*AA78+(1-EXP(-LN(2)/25))/(LN(2)/25)*Calculateur!V79*Calculateur!X79*VLOOKUP('Données projet'!$B$9,Paramètres!$A$1:$I$89,3,0)*0.475*44/12</f>
        <v>29.619496958473725</v>
      </c>
      <c r="AB79" s="21">
        <f>EXP(-LN(2)/2)*AB78+(1-EXP(-LN(2)/2))/(LN(2)/2)*V79*Y79*VLOOKUP('Données projet'!$B$9,Paramètres!$A$1:$I$89,3,0)*0.475*44/12</f>
        <v>1.5706092905638442E-5</v>
      </c>
      <c r="AC79" s="22">
        <f t="shared" si="57"/>
        <v>81.008700128592238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5.625</v>
      </c>
      <c r="AI79" s="13">
        <f>IF('Données projet'!$A$62&gt;35,AI78+AH79-AQ78,IF(A79&lt;'Données projet'!$A$62,$AF$205^A79,IF(A79='Données projet'!$A$62,'Données projet'!$B$62,AI78+AH79-AQ78)))</f>
        <v>410.24999999999994</v>
      </c>
      <c r="AJ79" s="13">
        <f>AI79*VLOOKUP('Données projet'!$B$10,Paramètres!$A$1:$I$89,3,0)*VLOOKUP('Données projet'!$B$10,Paramètres!$A$1:$I$89,5,0)</f>
        <v>234.66299999999995</v>
      </c>
      <c r="AK79" s="13">
        <f t="shared" si="89"/>
        <v>57.289750356834169</v>
      </c>
      <c r="AL79" s="20">
        <f t="shared" si="58"/>
        <v>508.48437353815274</v>
      </c>
      <c r="AM79" s="59">
        <f t="shared" si="59"/>
        <v>545.15104020481942</v>
      </c>
      <c r="AN79" s="59">
        <f ca="1">AVERAGE(OFFSET($AM$3,0,0,'Données projet'!$E$10+1,1))-AVERAGE(OFFSET($H$3,0,0,'Données projet'!$E$10+1,1))</f>
        <v>302.26866345315602</v>
      </c>
      <c r="AO79" s="59">
        <f t="shared" si="90"/>
        <v>229.97213730997649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34.180246611597724</v>
      </c>
      <c r="AV79" s="21">
        <f>EXP(-LN(2)/25)*AV78+(1-EXP(-LN(2)/25))/(LN(2)/25)*Calculateur!AQ79*Calculateur!AS79*VLOOKUP('Données projet'!$B$10,Paramètres!$A$1:$I$89,3,0)*0.475*44/12</f>
        <v>22.163086042608366</v>
      </c>
      <c r="AW79" s="21">
        <f>EXP(-LN(2)/2)*AW78+(1-EXP(-LN(2)/2))/(LN(2)/2)*AQ79*AT79*VLOOKUP('Données projet'!$B$10,Paramètres!$A$1:$I$89,3,0)*0.475*44/12</f>
        <v>1.6054600795553019E-5</v>
      </c>
      <c r="AX79" s="21">
        <f t="shared" si="60"/>
        <v>56.343348708806893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0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10.25</v>
      </c>
      <c r="N80" s="13">
        <f>IF('Données projet'!$A$36&gt;35,N79+M80-V79,IF(A80&lt;'Données projet'!$A$36,$K$205^A80,IF(A80='Données projet'!$A$36,'Données projet'!$B$36,N79+M80-V79)))</f>
        <v>489.74999999999989</v>
      </c>
      <c r="O80" s="13">
        <f>N80*VLOOKUP('Données projet'!$B$9,Paramètres!$A$1:$I$89,3,0)*VLOOKUP('Données projet'!$B$9,Paramètres!$A$1:$I$89,5,0)</f>
        <v>292.87049999999999</v>
      </c>
      <c r="P80" s="13">
        <f t="shared" si="87"/>
        <v>69.679760673871883</v>
      </c>
      <c r="Q80" s="20">
        <f t="shared" si="54"/>
        <v>631.44170400699352</v>
      </c>
      <c r="R80" s="59">
        <f t="shared" si="55"/>
        <v>668.10837067366015</v>
      </c>
      <c r="S80" s="59">
        <f ca="1">AVERAGE(OFFSET($R$3,0,0,'Données projet'!$E$9+1,1))-AVERAGE(OFFSET($H$3,0,0,'Données projet'!$E$9+1,1))</f>
        <v>318.84317557630413</v>
      </c>
      <c r="T80" s="59">
        <f t="shared" si="88"/>
        <v>211.80440891545263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50.381476842165419</v>
      </c>
      <c r="AA80" s="21">
        <f>EXP(-LN(2)/25)*AA79+(1-EXP(-LN(2)/25))/(LN(2)/25)*Calculateur!V80*Calculateur!X80*VLOOKUP('Données projet'!$B$9,Paramètres!$A$1:$I$89,3,0)*0.475*44/12</f>
        <v>28.809550256522613</v>
      </c>
      <c r="AB80" s="21">
        <f>EXP(-LN(2)/2)*AB79+(1-EXP(-LN(2)/2))/(LN(2)/2)*V80*Y80*VLOOKUP('Données projet'!$B$9,Paramètres!$A$1:$I$89,3,0)*0.475*44/12</f>
        <v>1.1105884799522869E-5</v>
      </c>
      <c r="AC80" s="22">
        <f t="shared" si="57"/>
        <v>79.191038204572834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5.625</v>
      </c>
      <c r="AI80" s="13">
        <f>IF('Données projet'!$A$62&gt;35,AI79+AH80-AQ79,IF(A80&lt;'Données projet'!$A$62,$AF$205^A80,IF(A80='Données projet'!$A$62,'Données projet'!$B$62,AI79+AH80-AQ79)))</f>
        <v>415.87499999999994</v>
      </c>
      <c r="AJ80" s="13">
        <f>AI80*VLOOKUP('Données projet'!$B$10,Paramètres!$A$1:$I$89,3,0)*VLOOKUP('Données projet'!$B$10,Paramètres!$A$1:$I$89,5,0)</f>
        <v>237.88049999999998</v>
      </c>
      <c r="AK80" s="13">
        <f t="shared" si="89"/>
        <v>57.983274573421546</v>
      </c>
      <c r="AL80" s="20">
        <f t="shared" si="58"/>
        <v>515.2960740487091</v>
      </c>
      <c r="AM80" s="59">
        <f t="shared" si="59"/>
        <v>551.96274071537573</v>
      </c>
      <c r="AN80" s="59">
        <f ca="1">AVERAGE(OFFSET($AM$3,0,0,'Données projet'!$E$10+1,1))-AVERAGE(OFFSET($H$3,0,0,'Données projet'!$E$10+1,1))</f>
        <v>302.26866345315602</v>
      </c>
      <c r="AO80" s="59">
        <f t="shared" si="90"/>
        <v>229.97213730997649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33.509992823436164</v>
      </c>
      <c r="AV80" s="21">
        <f>EXP(-LN(2)/25)*AV79+(1-EXP(-LN(2)/25))/(LN(2)/25)*Calculateur!AQ80*Calculateur!AS80*VLOOKUP('Données projet'!$B$10,Paramètres!$A$1:$I$89,3,0)*0.475*44/12</f>
        <v>21.557035289267201</v>
      </c>
      <c r="AW80" s="21">
        <f>EXP(-LN(2)/2)*AW79+(1-EXP(-LN(2)/2))/(LN(2)/2)*AQ80*AT80*VLOOKUP('Données projet'!$B$10,Paramètres!$A$1:$I$89,3,0)*0.475*44/12</f>
        <v>1.1352317091778481E-5</v>
      </c>
      <c r="AX80" s="21">
        <f t="shared" si="60"/>
        <v>55.067039465020464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0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10.25</v>
      </c>
      <c r="N81" s="13">
        <f>IF('Données projet'!$A$36&gt;35,N80+M81-V80,IF(A81&lt;'Données projet'!$A$36,$K$205^A81,IF(A81='Données projet'!$A$36,'Données projet'!$B$36,N80+M81-V80)))</f>
        <v>499.99999999999989</v>
      </c>
      <c r="O81" s="13">
        <f>N81*VLOOKUP('Données projet'!$B$9,Paramètres!$A$1:$I$89,3,0)*VLOOKUP('Données projet'!$B$9,Paramètres!$A$1:$I$89,5,0)</f>
        <v>299</v>
      </c>
      <c r="P81" s="13">
        <f t="shared" si="87"/>
        <v>70.966784344875109</v>
      </c>
      <c r="Q81" s="20">
        <f t="shared" si="54"/>
        <v>644.35881606732414</v>
      </c>
      <c r="R81" s="59">
        <f t="shared" si="55"/>
        <v>681.02548273399077</v>
      </c>
      <c r="S81" s="59">
        <f ca="1">AVERAGE(OFFSET($R$3,0,0,'Données projet'!$E$9+1,1))-AVERAGE(OFFSET($H$3,0,0,'Données projet'!$E$9+1,1))</f>
        <v>318.84317557630413</v>
      </c>
      <c r="T81" s="59">
        <f t="shared" si="88"/>
        <v>211.80440891545263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49.393526810957127</v>
      </c>
      <c r="AA81" s="21">
        <f>EXP(-LN(2)/25)*AA80+(1-EXP(-LN(2)/25))/(LN(2)/25)*Calculateur!V81*Calculateur!X81*VLOOKUP('Données projet'!$B$9,Paramètres!$A$1:$I$89,3,0)*0.475*44/12</f>
        <v>28.0217515897296</v>
      </c>
      <c r="AB81" s="21">
        <f>EXP(-LN(2)/2)*AB80+(1-EXP(-LN(2)/2))/(LN(2)/2)*V81*Y81*VLOOKUP('Données projet'!$B$9,Paramètres!$A$1:$I$89,3,0)*0.475*44/12</f>
        <v>7.853046452819221E-6</v>
      </c>
      <c r="AC81" s="22">
        <f t="shared" si="57"/>
        <v>77.415286253733186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5.625</v>
      </c>
      <c r="AI81" s="13">
        <f>IF('Données projet'!$A$62&gt;35,AI80+AH81-AQ80,IF(A81&lt;'Données projet'!$A$62,$AF$205^A81,IF(A81='Données projet'!$A$62,'Données projet'!$B$62,AI80+AH81-AQ80)))</f>
        <v>421.49999999999994</v>
      </c>
      <c r="AJ81" s="13">
        <f>AI81*VLOOKUP('Données projet'!$B$10,Paramètres!$A$1:$I$89,3,0)*VLOOKUP('Données projet'!$B$10,Paramètres!$A$1:$I$89,5,0)</f>
        <v>241.09799999999998</v>
      </c>
      <c r="AK81" s="13">
        <f t="shared" si="89"/>
        <v>58.675707735379945</v>
      </c>
      <c r="AL81" s="20">
        <f t="shared" si="58"/>
        <v>522.10587430578664</v>
      </c>
      <c r="AM81" s="59">
        <f t="shared" si="59"/>
        <v>558.77254097245327</v>
      </c>
      <c r="AN81" s="59">
        <f ca="1">AVERAGE(OFFSET($AM$3,0,0,'Données projet'!$E$10+1,1))-AVERAGE(OFFSET($H$3,0,0,'Données projet'!$E$10+1,1))</f>
        <v>302.26866345315602</v>
      </c>
      <c r="AO81" s="59">
        <f t="shared" si="90"/>
        <v>229.97213730997649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32.852882303246012</v>
      </c>
      <c r="AV81" s="21">
        <f>EXP(-LN(2)/25)*AV80+(1-EXP(-LN(2)/25))/(LN(2)/25)*Calculateur!AQ81*Calculateur!AS81*VLOOKUP('Données projet'!$B$10,Paramètres!$A$1:$I$89,3,0)*0.475*44/12</f>
        <v>20.967557025646972</v>
      </c>
      <c r="AW81" s="21">
        <f>EXP(-LN(2)/2)*AW80+(1-EXP(-LN(2)/2))/(LN(2)/2)*AQ81*AT81*VLOOKUP('Données projet'!$B$10,Paramètres!$A$1:$I$89,3,0)*0.475*44/12</f>
        <v>8.0273003977765097E-6</v>
      </c>
      <c r="AX81" s="21">
        <f t="shared" si="60"/>
        <v>53.820447356193384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0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10.25</v>
      </c>
      <c r="N82" s="13">
        <f>IF('Données projet'!$A$36&gt;35,N81+M82-V81,IF(A82&lt;'Données projet'!$A$36,$K$205^A82,IF(A82='Données projet'!$A$36,'Données projet'!$B$36,N81+M82-V81)))</f>
        <v>510.24999999999989</v>
      </c>
      <c r="O82" s="13">
        <f>N82*VLOOKUP('Données projet'!$B$9,Paramètres!$A$1:$I$89,3,0)*VLOOKUP('Données projet'!$B$9,Paramètres!$A$1:$I$89,5,0)</f>
        <v>305.12949999999995</v>
      </c>
      <c r="P82" s="13">
        <f t="shared" si="87"/>
        <v>72.250740354085139</v>
      </c>
      <c r="Q82" s="20">
        <f t="shared" si="54"/>
        <v>657.27058528336488</v>
      </c>
      <c r="R82" s="59">
        <f t="shared" si="55"/>
        <v>693.93725195003151</v>
      </c>
      <c r="S82" s="59">
        <f ca="1">AVERAGE(OFFSET($R$3,0,0,'Données projet'!$E$9+1,1))-AVERAGE(OFFSET($H$3,0,0,'Données projet'!$E$9+1,1))</f>
        <v>318.84317557630413</v>
      </c>
      <c r="T82" s="59">
        <f t="shared" si="88"/>
        <v>211.80440891545263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48.424949877270812</v>
      </c>
      <c r="AA82" s="21">
        <f>EXP(-LN(2)/25)*AA81+(1-EXP(-LN(2)/25))/(LN(2)/25)*Calculateur!V82*Calculateur!X82*VLOOKUP('Données projet'!$B$9,Paramètres!$A$1:$I$89,3,0)*0.475*44/12</f>
        <v>27.255495318908572</v>
      </c>
      <c r="AB82" s="21">
        <f>EXP(-LN(2)/2)*AB81+(1-EXP(-LN(2)/2))/(LN(2)/2)*V82*Y82*VLOOKUP('Données projet'!$B$9,Paramètres!$A$1:$I$89,3,0)*0.475*44/12</f>
        <v>5.5529423997614343E-6</v>
      </c>
      <c r="AC82" s="22">
        <f t="shared" si="57"/>
        <v>75.680450749121789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5.625</v>
      </c>
      <c r="AI82" s="13">
        <f>IF('Données projet'!$A$62&gt;35,AI81+AH82-AQ81,IF(A82&lt;'Données projet'!$A$62,$AF$205^A82,IF(A82='Données projet'!$A$62,'Données projet'!$B$62,AI81+AH82-AQ81)))</f>
        <v>427.12499999999994</v>
      </c>
      <c r="AJ82" s="13">
        <f>AI82*VLOOKUP('Données projet'!$B$10,Paramètres!$A$1:$I$89,3,0)*VLOOKUP('Données projet'!$B$10,Paramètres!$A$1:$I$89,5,0)</f>
        <v>244.31549999999999</v>
      </c>
      <c r="AK82" s="13">
        <f t="shared" si="89"/>
        <v>59.36706608622147</v>
      </c>
      <c r="AL82" s="20">
        <f t="shared" si="58"/>
        <v>528.91380260016911</v>
      </c>
      <c r="AM82" s="59">
        <f t="shared" si="59"/>
        <v>565.58046926683573</v>
      </c>
      <c r="AN82" s="59">
        <f ca="1">AVERAGE(OFFSET($AM$3,0,0,'Données projet'!$E$10+1,1))-AVERAGE(OFFSET($H$3,0,0,'Données projet'!$E$10+1,1))</f>
        <v>302.26866345315602</v>
      </c>
      <c r="AO82" s="59">
        <f t="shared" si="90"/>
        <v>229.97213730997649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32.208657319558945</v>
      </c>
      <c r="AV82" s="21">
        <f>EXP(-LN(2)/25)*AV81+(1-EXP(-LN(2)/25))/(LN(2)/25)*Calculateur!AQ82*Calculateur!AS82*VLOOKUP('Données projet'!$B$10,Paramètres!$A$1:$I$89,3,0)*0.475*44/12</f>
        <v>20.394198076144754</v>
      </c>
      <c r="AW82" s="21">
        <f>EXP(-LN(2)/2)*AW81+(1-EXP(-LN(2)/2))/(LN(2)/2)*AQ82*AT82*VLOOKUP('Données projet'!$B$10,Paramètres!$A$1:$I$89,3,0)*0.475*44/12</f>
        <v>5.6761585458892404E-6</v>
      </c>
      <c r="AX82" s="21">
        <f t="shared" si="60"/>
        <v>52.602861071862243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0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10.25</v>
      </c>
      <c r="N83" s="13">
        <f>IF('Données projet'!$A$36&gt;35,N82+M83-V82,IF(A83&lt;'Données projet'!$A$36,$K$205^A83,IF(A83='Données projet'!$A$36,'Données projet'!$B$36,N82+M83-V82)))</f>
        <v>520.49999999999989</v>
      </c>
      <c r="O83" s="13">
        <f>N83*VLOOKUP('Données projet'!$B$9,Paramètres!$A$1:$I$89,3,0)*VLOOKUP('Données projet'!$B$9,Paramètres!$A$1:$I$89,5,0)</f>
        <v>311.25899999999996</v>
      </c>
      <c r="P83" s="13">
        <f t="shared" si="87"/>
        <v>73.531697427248474</v>
      </c>
      <c r="Q83" s="20">
        <f t="shared" si="54"/>
        <v>670.17713135245776</v>
      </c>
      <c r="R83" s="59">
        <f t="shared" si="55"/>
        <v>706.84379801912439</v>
      </c>
      <c r="S83" s="59">
        <f ca="1">AVERAGE(OFFSET($R$3,0,0,'Données projet'!$E$9+1,1))-AVERAGE(OFFSET($H$3,0,0,'Données projet'!$E$9+1,1))</f>
        <v>318.84317557630413</v>
      </c>
      <c r="T83" s="59">
        <f t="shared" si="88"/>
        <v>211.80440891545263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47.475366146480489</v>
      </c>
      <c r="AA83" s="21">
        <f>EXP(-LN(2)/25)*AA82+(1-EXP(-LN(2)/25))/(LN(2)/25)*Calculateur!V83*Calculateur!X83*VLOOKUP('Données projet'!$B$9,Paramètres!$A$1:$I$89,3,0)*0.475*44/12</f>
        <v>26.510192366108811</v>
      </c>
      <c r="AB83" s="21">
        <f>EXP(-LN(2)/2)*AB82+(1-EXP(-LN(2)/2))/(LN(2)/2)*V83*Y83*VLOOKUP('Données projet'!$B$9,Paramètres!$A$1:$I$89,3,0)*0.475*44/12</f>
        <v>3.9265232264096105E-6</v>
      </c>
      <c r="AC83" s="22">
        <f t="shared" si="57"/>
        <v>73.985562439112527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5.625</v>
      </c>
      <c r="AI83" s="13">
        <f>IF('Données projet'!$A$62&gt;35,AI82+AH83-AQ82,IF(A83&lt;'Données projet'!$A$62,$AF$205^A83,IF(A83='Données projet'!$A$62,'Données projet'!$B$62,AI82+AH83-AQ82)))</f>
        <v>432.74999999999994</v>
      </c>
      <c r="AJ83" s="13">
        <f>AI83*VLOOKUP('Données projet'!$B$10,Paramètres!$A$1:$I$89,3,0)*VLOOKUP('Données projet'!$B$10,Paramètres!$A$1:$I$89,5,0)</f>
        <v>247.53299999999996</v>
      </c>
      <c r="AK83" s="13">
        <f t="shared" si="89"/>
        <v>60.057365417030148</v>
      </c>
      <c r="AL83" s="20">
        <f t="shared" si="58"/>
        <v>535.71988643466068</v>
      </c>
      <c r="AM83" s="59">
        <f t="shared" si="59"/>
        <v>572.38655310132731</v>
      </c>
      <c r="AN83" s="59">
        <f ca="1">AVERAGE(OFFSET($AM$3,0,0,'Données projet'!$E$10+1,1))-AVERAGE(OFFSET($H$3,0,0,'Données projet'!$E$10+1,1))</f>
        <v>302.26866345315602</v>
      </c>
      <c r="AO83" s="59">
        <f t="shared" si="90"/>
        <v>229.97213730997649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31.577065194863543</v>
      </c>
      <c r="AV83" s="21">
        <f>EXP(-LN(2)/25)*AV82+(1-EXP(-LN(2)/25))/(LN(2)/25)*Calculateur!AQ83*Calculateur!AS83*VLOOKUP('Données projet'!$B$10,Paramètres!$A$1:$I$89,3,0)*0.475*44/12</f>
        <v>19.83651765726831</v>
      </c>
      <c r="AW83" s="21">
        <f>EXP(-LN(2)/2)*AW82+(1-EXP(-LN(2)/2))/(LN(2)/2)*AQ83*AT83*VLOOKUP('Données projet'!$B$10,Paramètres!$A$1:$I$89,3,0)*0.475*44/12</f>
        <v>4.0136501988882548E-6</v>
      </c>
      <c r="AX83" s="21">
        <f t="shared" si="60"/>
        <v>51.413586865782051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0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10.25</v>
      </c>
      <c r="N84" s="13">
        <f>IF('Données projet'!$A$36&gt;35,N83+M84-V83,IF(A84&lt;'Données projet'!$A$36,$K$205^A84,IF(A84='Données projet'!$A$36,'Données projet'!$B$36,N83+M84-V83)))</f>
        <v>530.74999999999989</v>
      </c>
      <c r="O84" s="13">
        <f>N84*VLOOKUP('Données projet'!$B$9,Paramètres!$A$1:$I$89,3,0)*VLOOKUP('Données projet'!$B$9,Paramètres!$A$1:$I$89,5,0)</f>
        <v>317.38849999999996</v>
      </c>
      <c r="P84" s="13">
        <f t="shared" si="87"/>
        <v>74.809721428524995</v>
      </c>
      <c r="Q84" s="20">
        <f t="shared" si="54"/>
        <v>683.07856898801435</v>
      </c>
      <c r="R84" s="59">
        <f t="shared" si="55"/>
        <v>719.74523565468098</v>
      </c>
      <c r="S84" s="59">
        <f ca="1">AVERAGE(OFFSET($R$3,0,0,'Données projet'!$E$9+1,1))-AVERAGE(OFFSET($H$3,0,0,'Données projet'!$E$9+1,1))</f>
        <v>318.84317557630413</v>
      </c>
      <c r="T84" s="59">
        <f t="shared" si="88"/>
        <v>211.80440891545263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46.544403173462079</v>
      </c>
      <c r="AA84" s="21">
        <f>EXP(-LN(2)/25)*AA83+(1-EXP(-LN(2)/25))/(LN(2)/25)*Calculateur!V84*Calculateur!X84*VLOOKUP('Données projet'!$B$9,Paramètres!$A$1:$I$89,3,0)*0.475*44/12</f>
        <v>25.785269761747138</v>
      </c>
      <c r="AB84" s="21">
        <f>EXP(-LN(2)/2)*AB83+(1-EXP(-LN(2)/2))/(LN(2)/2)*V84*Y84*VLOOKUP('Données projet'!$B$9,Paramètres!$A$1:$I$89,3,0)*0.475*44/12</f>
        <v>2.7764711998807172E-6</v>
      </c>
      <c r="AC84" s="22">
        <f t="shared" si="57"/>
        <v>72.329675711680423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5.625</v>
      </c>
      <c r="AI84" s="13">
        <f>IF('Données projet'!$A$62&gt;35,AI83+AH84-AQ83,IF(A84&lt;'Données projet'!$A$62,$AF$205^A84,IF(A84='Données projet'!$A$62,'Données projet'!$B$62,AI83+AH84-AQ83)))</f>
        <v>438.37499999999994</v>
      </c>
      <c r="AJ84" s="13">
        <f>AI84*VLOOKUP('Données projet'!$B$10,Paramètres!$A$1:$I$89,3,0)*VLOOKUP('Données projet'!$B$10,Paramètres!$A$1:$I$89,5,0)</f>
        <v>250.75049999999996</v>
      </c>
      <c r="AK84" s="13">
        <f t="shared" si="89"/>
        <v>60.746621084776628</v>
      </c>
      <c r="AL84" s="20">
        <f t="shared" si="58"/>
        <v>542.52415255598589</v>
      </c>
      <c r="AM84" s="59">
        <f t="shared" si="59"/>
        <v>579.19081922265252</v>
      </c>
      <c r="AN84" s="59">
        <f ca="1">AVERAGE(OFFSET($AM$3,0,0,'Données projet'!$E$10+1,1))-AVERAGE(OFFSET($H$3,0,0,'Données projet'!$E$10+1,1))</f>
        <v>302.26866345315602</v>
      </c>
      <c r="AO84" s="59">
        <f t="shared" si="90"/>
        <v>229.97213730997649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30.957858206500259</v>
      </c>
      <c r="AV84" s="21">
        <f>EXP(-LN(2)/25)*AV83+(1-EXP(-LN(2)/25))/(LN(2)/25)*Calculateur!AQ84*Calculateur!AS84*VLOOKUP('Données projet'!$B$10,Paramètres!$A$1:$I$89,3,0)*0.475*44/12</f>
        <v>19.294087038773181</v>
      </c>
      <c r="AW84" s="21">
        <f>EXP(-LN(2)/2)*AW83+(1-EXP(-LN(2)/2))/(LN(2)/2)*AQ84*AT84*VLOOKUP('Données projet'!$B$10,Paramètres!$A$1:$I$89,3,0)*0.475*44/12</f>
        <v>2.8380792729446202E-6</v>
      </c>
      <c r="AX84" s="21">
        <f t="shared" si="60"/>
        <v>50.251948083352715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0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541</v>
      </c>
      <c r="L85" s="12">
        <f>VLOOKUP(A85,'Données projet'!$A$35:$I$55,9,0)</f>
        <v>10.25</v>
      </c>
      <c r="M85" s="12">
        <f t="array" ref="M85">INDEX(L:L,MIN(IF(ISNUMBER(L85:L281),ROW(L85:L281),"")))</f>
        <v>10.25</v>
      </c>
      <c r="N85" s="13">
        <f>IF('Données projet'!$A$36&gt;35,N84+M85-V84,IF(A85&lt;'Données projet'!$A$36,$K$205^A85,IF(A85='Données projet'!$A$36,'Données projet'!$B$36,N84+M85-V84)))</f>
        <v>540.99999999999989</v>
      </c>
      <c r="O85" s="13">
        <f>N85*VLOOKUP('Données projet'!$B$9,Paramètres!$A$1:$I$89,3,0)*VLOOKUP('Données projet'!$B$9,Paramètres!$A$1:$I$89,5,0)</f>
        <v>323.51799999999997</v>
      </c>
      <c r="P85" s="13">
        <f t="shared" si="87"/>
        <v>76.084875532561725</v>
      </c>
      <c r="Q85" s="20">
        <f t="shared" si="54"/>
        <v>695.97500821921165</v>
      </c>
      <c r="R85" s="59">
        <f t="shared" si="55"/>
        <v>732.64167488587827</v>
      </c>
      <c r="S85" s="59">
        <f ca="1">AVERAGE(OFFSET($R$3,0,0,'Données projet'!$E$9+1,1))-AVERAGE(OFFSET($H$3,0,0,'Données projet'!$E$9+1,1))</f>
        <v>318.84317557630413</v>
      </c>
      <c r="T85" s="59">
        <f t="shared" si="88"/>
        <v>211.80440891545263</v>
      </c>
      <c r="U85" s="15">
        <f>IF(ISNA(VLOOKUP(A85,'Données projet'!$A$35:$I$55,3,0)),0,VLOOKUP(A85,'Données projet'!$A$35:$I$55,3,0))</f>
        <v>11</v>
      </c>
      <c r="V85" s="15">
        <f>IF(ISNA(VLOOKUP(A85,'Données projet'!$A$35:$I$55,4,0)),0,VLOOKUP(A85,'Données projet'!$A$35:$I$55,4,0))</f>
        <v>541</v>
      </c>
      <c r="W85" s="16">
        <f>IF(ISNA(VLOOKUP(A85,'Données projet'!$A$35:$I$55,5,0)),0%,VLOOKUP(A85,'Données projet'!$A$35:$I$55,5,0)*VLOOKUP('Données projet'!$B$9,Paramètres!$A$1:$I$89,7,0))</f>
        <v>0.40500000000000003</v>
      </c>
      <c r="X85" s="16">
        <f>IF(ISNA(VLOOKUP(A85,'Données projet'!$A$35:$I$55,6,0)),0%,VLOOKUP(A85,'Données projet'!$A$35:$I$55,6,0)*VLOOKUP('Données projet'!$B$9,Paramètres!$A$1:$I$89,7,0))</f>
        <v>4.5000000000000005E-2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219.44452501194331</v>
      </c>
      <c r="AA85" s="21">
        <f>EXP(-LN(2)/25)*AA84+(1-EXP(-LN(2)/25))/(LN(2)/25)*Calculateur!V85*Calculateur!X85*VLOOKUP('Données projet'!$B$9,Paramètres!$A$1:$I$89,3,0)*0.475*44/12</f>
        <v>44.316665966235718</v>
      </c>
      <c r="AB85" s="21">
        <f>EXP(-LN(2)/2)*AB84+(1-EXP(-LN(2)/2))/(LN(2)/2)*V85*Y85*VLOOKUP('Données projet'!$B$9,Paramètres!$A$1:$I$89,3,0)*0.475*44/12</f>
        <v>1.9632616132048053E-6</v>
      </c>
      <c r="AC85" s="22">
        <f t="shared" si="57"/>
        <v>263.76119294144064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444</v>
      </c>
      <c r="AG85" s="12">
        <f>VLOOKUP(A85,'Données projet'!$A$61:$I$81,9,0)</f>
        <v>5.625</v>
      </c>
      <c r="AH85" s="12">
        <f t="array" ref="AH85">INDEX(AG:AG,MIN(IF(ISNUMBER(AG85:AG281),ROW(AG85:AG281),"")))</f>
        <v>5.625</v>
      </c>
      <c r="AI85" s="13">
        <f>IF('Données projet'!$A$62&gt;35,AI84+AH85-AQ84,IF(A85&lt;'Données projet'!$A$62,$AF$205^A85,IF(A85='Données projet'!$A$62,'Données projet'!$B$62,AI84+AH85-AQ84)))</f>
        <v>443.99999999999994</v>
      </c>
      <c r="AJ85" s="13">
        <f>AI85*VLOOKUP('Données projet'!$B$10,Paramètres!$A$1:$I$89,3,0)*VLOOKUP('Données projet'!$B$10,Paramètres!$A$1:$I$89,5,0)</f>
        <v>253.96799999999999</v>
      </c>
      <c r="AK85" s="13">
        <f t="shared" si="89"/>
        <v>61.434848029666512</v>
      </c>
      <c r="AL85" s="20">
        <f t="shared" si="58"/>
        <v>549.32662698500246</v>
      </c>
      <c r="AM85" s="59">
        <f t="shared" si="59"/>
        <v>585.99329365166909</v>
      </c>
      <c r="AN85" s="59">
        <f ca="1">AVERAGE(OFFSET($AM$3,0,0,'Données projet'!$E$10+1,1))-AVERAGE(OFFSET($H$3,0,0,'Données projet'!$E$10+1,1))</f>
        <v>302.26866345315602</v>
      </c>
      <c r="AO85" s="59">
        <f t="shared" si="90"/>
        <v>229.97213730997649</v>
      </c>
      <c r="AP85" s="15">
        <f>IF(ISNA(VLOOKUP(A85,'Données projet'!$A$61:$I$81,3,0)),0,VLOOKUP(A85,'Données projet'!$A$61:$I$81,3,0))</f>
        <v>10</v>
      </c>
      <c r="AQ85" s="15">
        <f>IF(ISNA(VLOOKUP(A85,'Données projet'!$A$61:$I$81,4,0)),0,VLOOKUP(A85,'Données projet'!$A$61:$I$81,4,0))</f>
        <v>17</v>
      </c>
      <c r="AR85" s="16">
        <f>IF(ISNA(VLOOKUP(A85,'Données projet'!$A$61:$I$81,5,0)),0%,VLOOKUP(A85,'Données projet'!$A$61:$I$81,5,0)*VLOOKUP('Données projet'!$B$10,Paramètres!$A$1:$I$89,7,0))</f>
        <v>0.40500000000000003</v>
      </c>
      <c r="AS85" s="16">
        <f>IF(ISNA(VLOOKUP(A85,'Données projet'!$A$61:$I$81,6,0)),0%,VLOOKUP(A85,'Données projet'!$A$61:$I$81,6,0)*VLOOKUP('Données projet'!$B$10,Paramètres!$A$1:$I$89,7,0))</f>
        <v>4.5000000000000005E-2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35.575096159200918</v>
      </c>
      <c r="AV85" s="21">
        <f>EXP(-LN(2)/25)*AV84+(1-EXP(-LN(2)/25))/(LN(2)/25)*Calculateur!AQ85*Calculateur!AS85*VLOOKUP('Données projet'!$B$10,Paramètres!$A$1:$I$89,3,0)*0.475*44/12</f>
        <v>19.344681725118779</v>
      </c>
      <c r="AW85" s="21">
        <f>EXP(-LN(2)/2)*AW84+(1-EXP(-LN(2)/2))/(LN(2)/2)*AQ85*AT85*VLOOKUP('Données projet'!$B$10,Paramètres!$A$1:$I$89,3,0)*0.475*44/12</f>
        <v>2.0068250994441274E-6</v>
      </c>
      <c r="AX85" s="21">
        <f t="shared" si="60"/>
        <v>54.919779891144799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0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318.84317557630413</v>
      </c>
      <c r="T86" s="59">
        <f t="shared" si="88"/>
        <v>211.80440891545263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215.14135172440297</v>
      </c>
      <c r="AA86" s="21">
        <f>EXP(-LN(2)/25)*AA85+(1-EXP(-LN(2)/25))/(LN(2)/25)*Calculateur!V86*Calculateur!X86*VLOOKUP('Données projet'!$B$9,Paramètres!$A$1:$I$89,3,0)*0.475*44/12</f>
        <v>43.104824404876823</v>
      </c>
      <c r="AB86" s="21">
        <f>EXP(-LN(2)/2)*AB85+(1-EXP(-LN(2)/2))/(LN(2)/2)*V86*Y86*VLOOKUP('Données projet'!$B$9,Paramètres!$A$1:$I$89,3,0)*0.475*44/12</f>
        <v>1.3882355999403586E-6</v>
      </c>
      <c r="AC86" s="22">
        <f t="shared" si="57"/>
        <v>258.24617751751538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426.99999999999994</v>
      </c>
      <c r="AJ86" s="13">
        <f>AI86*VLOOKUP('Données projet'!$B$10,Paramètres!$A$1:$I$89,3,0)*VLOOKUP('Données projet'!$B$10,Paramètres!$A$1:$I$89,5,0)</f>
        <v>244.24399999999997</v>
      </c>
      <c r="AK86" s="13">
        <f t="shared" si="89"/>
        <v>59.351714130365565</v>
      </c>
      <c r="AL86" s="20">
        <f t="shared" si="58"/>
        <v>528.76253544371991</v>
      </c>
      <c r="AM86" s="59">
        <f t="shared" si="59"/>
        <v>565.42920211038654</v>
      </c>
      <c r="AN86" s="59">
        <f ca="1">AVERAGE(OFFSET($AM$3,0,0,'Données projet'!$E$10+1,1))-AVERAGE(OFFSET($H$3,0,0,'Données projet'!$E$10+1,1))</f>
        <v>302.26866345315602</v>
      </c>
      <c r="AO86" s="59">
        <f t="shared" si="90"/>
        <v>229.97213730997649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34.877490222185081</v>
      </c>
      <c r="AV86" s="21">
        <f>EXP(-LN(2)/25)*AV85+(1-EXP(-LN(2)/25))/(LN(2)/25)*Calculateur!AQ86*Calculateur!AS86*VLOOKUP('Données projet'!$B$10,Paramètres!$A$1:$I$89,3,0)*0.475*44/12</f>
        <v>18.815700386052807</v>
      </c>
      <c r="AW86" s="21">
        <f>EXP(-LN(2)/2)*AW85+(1-EXP(-LN(2)/2))/(LN(2)/2)*AQ86*AT86*VLOOKUP('Données projet'!$B$10,Paramètres!$A$1:$I$89,3,0)*0.475*44/12</f>
        <v>1.4190396364723101E-6</v>
      </c>
      <c r="AX86" s="21">
        <f t="shared" si="60"/>
        <v>53.693192027277519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0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318.84317557630413</v>
      </c>
      <c r="T87" s="59">
        <f t="shared" si="88"/>
        <v>211.80440891545263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210.92256104035476</v>
      </c>
      <c r="AA87" s="21">
        <f>EXP(-LN(2)/25)*AA86+(1-EXP(-LN(2)/25))/(LN(2)/25)*Calculateur!V87*Calculateur!X87*VLOOKUP('Données projet'!$B$9,Paramètres!$A$1:$I$89,3,0)*0.475*44/12</f>
        <v>41.926120714741266</v>
      </c>
      <c r="AB87" s="21">
        <f>EXP(-LN(2)/2)*AB86+(1-EXP(-LN(2)/2))/(LN(2)/2)*V87*Y87*VLOOKUP('Données projet'!$B$9,Paramètres!$A$1:$I$89,3,0)*0.475*44/12</f>
        <v>9.8163080660240263E-7</v>
      </c>
      <c r="AC87" s="22">
        <f t="shared" si="57"/>
        <v>252.84868273672686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426.99999999999994</v>
      </c>
      <c r="AJ87" s="13">
        <f>AI87*VLOOKUP('Données projet'!$B$10,Paramètres!$A$1:$I$89,3,0)*VLOOKUP('Données projet'!$B$10,Paramètres!$A$1:$I$89,5,0)</f>
        <v>244.24399999999997</v>
      </c>
      <c r="AK87" s="13">
        <f t="shared" si="89"/>
        <v>59.351714130365565</v>
      </c>
      <c r="AL87" s="20">
        <f t="shared" si="58"/>
        <v>528.76253544371991</v>
      </c>
      <c r="AM87" s="59">
        <f t="shared" si="59"/>
        <v>565.42920211038654</v>
      </c>
      <c r="AN87" s="59">
        <f ca="1">AVERAGE(OFFSET($AM$3,0,0,'Données projet'!$E$10+1,1))-AVERAGE(OFFSET($H$3,0,0,'Données projet'!$E$10+1,1))</f>
        <v>302.26866345315602</v>
      </c>
      <c r="AO87" s="59">
        <f t="shared" si="90"/>
        <v>229.97213730997649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34.193563912096515</v>
      </c>
      <c r="AV87" s="21">
        <f>EXP(-LN(2)/25)*AV86+(1-EXP(-LN(2)/25))/(LN(2)/25)*Calculateur!AQ87*Calculateur!AS87*VLOOKUP('Données projet'!$B$10,Paramètres!$A$1:$I$89,3,0)*0.475*44/12</f>
        <v>18.301184069521515</v>
      </c>
      <c r="AW87" s="21">
        <f>EXP(-LN(2)/2)*AW86+(1-EXP(-LN(2)/2))/(LN(2)/2)*AQ87*AT87*VLOOKUP('Données projet'!$B$10,Paramètres!$A$1:$I$89,3,0)*0.475*44/12</f>
        <v>1.0034125497220637E-6</v>
      </c>
      <c r="AX87" s="21">
        <f t="shared" si="60"/>
        <v>52.494748985030583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0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318.84317557630413</v>
      </c>
      <c r="T88" s="59">
        <f t="shared" si="88"/>
        <v>211.80440891545263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206.78649826841252</v>
      </c>
      <c r="AA88" s="21">
        <f>EXP(-LN(2)/25)*AA87+(1-EXP(-LN(2)/25))/(LN(2)/25)*Calculateur!V88*Calculateur!X88*VLOOKUP('Données projet'!$B$9,Paramètres!$A$1:$I$89,3,0)*0.475*44/12</f>
        <v>40.7796487389978</v>
      </c>
      <c r="AB88" s="21">
        <f>EXP(-LN(2)/2)*AB87+(1-EXP(-LN(2)/2))/(LN(2)/2)*V88*Y88*VLOOKUP('Données projet'!$B$9,Paramètres!$A$1:$I$89,3,0)*0.475*44/12</f>
        <v>6.9411779997017929E-7</v>
      </c>
      <c r="AC88" s="22">
        <f t="shared" si="57"/>
        <v>247.56614770152811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426.99999999999994</v>
      </c>
      <c r="AJ88" s="13">
        <f>AI88*VLOOKUP('Données projet'!$B$10,Paramètres!$A$1:$I$89,3,0)*VLOOKUP('Données projet'!$B$10,Paramètres!$A$1:$I$89,5,0)</f>
        <v>244.24399999999997</v>
      </c>
      <c r="AK88" s="13">
        <f t="shared" si="89"/>
        <v>59.351714130365565</v>
      </c>
      <c r="AL88" s="20">
        <f t="shared" si="58"/>
        <v>528.76253544371991</v>
      </c>
      <c r="AM88" s="59">
        <f t="shared" si="59"/>
        <v>565.42920211038654</v>
      </c>
      <c r="AN88" s="59">
        <f ca="1">AVERAGE(OFFSET($AM$3,0,0,'Données projet'!$E$10+1,1))-AVERAGE(OFFSET($H$3,0,0,'Données projet'!$E$10+1,1))</f>
        <v>302.26866345315602</v>
      </c>
      <c r="AO88" s="59">
        <f t="shared" si="90"/>
        <v>229.97213730997649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33.523048979794929</v>
      </c>
      <c r="AV88" s="21">
        <f>EXP(-LN(2)/25)*AV87+(1-EXP(-LN(2)/25))/(LN(2)/25)*Calculateur!AQ88*Calculateur!AS88*VLOOKUP('Données projet'!$B$10,Paramètres!$A$1:$I$89,3,0)*0.475*44/12</f>
        <v>17.800737228723008</v>
      </c>
      <c r="AW88" s="21">
        <f>EXP(-LN(2)/2)*AW87+(1-EXP(-LN(2)/2))/(LN(2)/2)*AQ88*AT88*VLOOKUP('Données projet'!$B$10,Paramètres!$A$1:$I$89,3,0)*0.475*44/12</f>
        <v>7.0951981823615505E-7</v>
      </c>
      <c r="AX88" s="21">
        <f t="shared" si="60"/>
        <v>51.323786918037754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0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318.84317557630413</v>
      </c>
      <c r="T89" s="59">
        <f t="shared" si="88"/>
        <v>211.80440891545263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202.73154116467884</v>
      </c>
      <c r="AA89" s="21">
        <f>EXP(-LN(2)/25)*AA88+(1-EXP(-LN(2)/25))/(LN(2)/25)*Calculateur!V89*Calculateur!X89*VLOOKUP('Données projet'!$B$9,Paramètres!$A$1:$I$89,3,0)*0.475*44/12</f>
        <v>39.664527099721383</v>
      </c>
      <c r="AB89" s="21">
        <f>EXP(-LN(2)/2)*AB88+(1-EXP(-LN(2)/2))/(LN(2)/2)*V89*Y89*VLOOKUP('Données projet'!$B$9,Paramètres!$A$1:$I$89,3,0)*0.475*44/12</f>
        <v>4.9081540330120131E-7</v>
      </c>
      <c r="AC89" s="22">
        <f t="shared" si="57"/>
        <v>242.39606875521565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426.99999999999994</v>
      </c>
      <c r="AJ89" s="13">
        <f>AI89*VLOOKUP('Données projet'!$B$10,Paramètres!$A$1:$I$89,3,0)*VLOOKUP('Données projet'!$B$10,Paramètres!$A$1:$I$89,5,0)</f>
        <v>244.24399999999997</v>
      </c>
      <c r="AK89" s="13">
        <f t="shared" si="89"/>
        <v>59.351714130365565</v>
      </c>
      <c r="AL89" s="20">
        <f t="shared" si="58"/>
        <v>528.76253544371991</v>
      </c>
      <c r="AM89" s="59">
        <f t="shared" si="59"/>
        <v>565.42920211038654</v>
      </c>
      <c r="AN89" s="59">
        <f ca="1">AVERAGE(OFFSET($AM$3,0,0,'Données projet'!$E$10+1,1))-AVERAGE(OFFSET($H$3,0,0,'Données projet'!$E$10+1,1))</f>
        <v>302.26866345315602</v>
      </c>
      <c r="AO89" s="59">
        <f t="shared" si="90"/>
        <v>229.97213730997649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32.865682436342048</v>
      </c>
      <c r="AV89" s="21">
        <f>EXP(-LN(2)/25)*AV88+(1-EXP(-LN(2)/25))/(LN(2)/25)*Calculateur!AQ89*Calculateur!AS89*VLOOKUP('Données projet'!$B$10,Paramètres!$A$1:$I$89,3,0)*0.475*44/12</f>
        <v>17.31397513310349</v>
      </c>
      <c r="AW89" s="21">
        <f>EXP(-LN(2)/2)*AW88+(1-EXP(-LN(2)/2))/(LN(2)/2)*AQ89*AT89*VLOOKUP('Données projet'!$B$10,Paramètres!$A$1:$I$89,3,0)*0.475*44/12</f>
        <v>5.0170627486103185E-7</v>
      </c>
      <c r="AX89" s="21">
        <f t="shared" si="60"/>
        <v>50.179658071151813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0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318.84317557630413</v>
      </c>
      <c r="T90" s="59">
        <f t="shared" si="88"/>
        <v>211.80440891545263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198.75609929646978</v>
      </c>
      <c r="AA90" s="21">
        <f>EXP(-LN(2)/25)*AA89+(1-EXP(-LN(2)/25))/(LN(2)/25)*Calculateur!V90*Calculateur!X90*VLOOKUP('Données projet'!$B$9,Paramètres!$A$1:$I$89,3,0)*0.475*44/12</f>
        <v>38.579898520312675</v>
      </c>
      <c r="AB90" s="21">
        <f>EXP(-LN(2)/2)*AB89+(1-EXP(-LN(2)/2))/(LN(2)/2)*V90*Y90*VLOOKUP('Données projet'!$B$9,Paramètres!$A$1:$I$89,3,0)*0.475*44/12</f>
        <v>3.4705889998508964E-7</v>
      </c>
      <c r="AC90" s="22">
        <f t="shared" si="57"/>
        <v>237.33599816384134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426.99999999999994</v>
      </c>
      <c r="AJ90" s="13">
        <f>AI90*VLOOKUP('Données projet'!$B$10,Paramètres!$A$1:$I$89,3,0)*VLOOKUP('Données projet'!$B$10,Paramètres!$A$1:$I$89,5,0)</f>
        <v>244.24399999999997</v>
      </c>
      <c r="AK90" s="13">
        <f t="shared" si="89"/>
        <v>59.351714130365565</v>
      </c>
      <c r="AL90" s="20">
        <f t="shared" si="58"/>
        <v>528.76253544371991</v>
      </c>
      <c r="AM90" s="59">
        <f t="shared" si="59"/>
        <v>565.42920211038654</v>
      </c>
      <c r="AN90" s="59">
        <f ca="1">AVERAGE(OFFSET($AM$3,0,0,'Données projet'!$E$10+1,1))-AVERAGE(OFFSET($H$3,0,0,'Données projet'!$E$10+1,1))</f>
        <v>302.26866345315602</v>
      </c>
      <c r="AO90" s="59">
        <f t="shared" si="90"/>
        <v>229.97213730997649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32.221206449852282</v>
      </c>
      <c r="AV90" s="21">
        <f>EXP(-LN(2)/25)*AV89+(1-EXP(-LN(2)/25))/(LN(2)/25)*Calculateur!AQ90*Calculateur!AS90*VLOOKUP('Données projet'!$B$10,Paramètres!$A$1:$I$89,3,0)*0.475*44/12</f>
        <v>16.840523572586395</v>
      </c>
      <c r="AW90" s="21">
        <f>EXP(-LN(2)/2)*AW89+(1-EXP(-LN(2)/2))/(LN(2)/2)*AQ90*AT90*VLOOKUP('Données projet'!$B$10,Paramètres!$A$1:$I$89,3,0)*0.475*44/12</f>
        <v>3.5475990911807753E-7</v>
      </c>
      <c r="AX90" s="21">
        <f t="shared" si="60"/>
        <v>49.061730377198593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0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318.84317557630413</v>
      </c>
      <c r="T91" s="59">
        <f t="shared" si="88"/>
        <v>211.80440891545263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194.8586134185162</v>
      </c>
      <c r="AA91" s="21">
        <f>EXP(-LN(2)/25)*AA90+(1-EXP(-LN(2)/25))/(LN(2)/25)*Calculateur!V91*Calculateur!X91*VLOOKUP('Données projet'!$B$9,Paramètres!$A$1:$I$89,3,0)*0.475*44/12</f>
        <v>37.524929166446036</v>
      </c>
      <c r="AB91" s="21">
        <f>EXP(-LN(2)/2)*AB90+(1-EXP(-LN(2)/2))/(LN(2)/2)*V91*Y91*VLOOKUP('Données projet'!$B$9,Paramètres!$A$1:$I$89,3,0)*0.475*44/12</f>
        <v>2.4540770165060066E-7</v>
      </c>
      <c r="AC91" s="22">
        <f t="shared" si="57"/>
        <v>232.38354283036995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426.99999999999994</v>
      </c>
      <c r="AJ91" s="13">
        <f>AI91*VLOOKUP('Données projet'!$B$10,Paramètres!$A$1:$I$89,3,0)*VLOOKUP('Données projet'!$B$10,Paramètres!$A$1:$I$89,5,0)</f>
        <v>244.24399999999997</v>
      </c>
      <c r="AK91" s="13">
        <f t="shared" si="89"/>
        <v>59.351714130365565</v>
      </c>
      <c r="AL91" s="20">
        <f t="shared" si="58"/>
        <v>528.76253544371991</v>
      </c>
      <c r="AM91" s="59">
        <f t="shared" si="59"/>
        <v>565.42920211038654</v>
      </c>
      <c r="AN91" s="59">
        <f ca="1">AVERAGE(OFFSET($AM$3,0,0,'Données projet'!$E$10+1,1))-AVERAGE(OFFSET($H$3,0,0,'Données projet'!$E$10+1,1))</f>
        <v>302.26866345315602</v>
      </c>
      <c r="AO91" s="59">
        <f t="shared" si="90"/>
        <v>229.97213730997649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31.589368244366042</v>
      </c>
      <c r="AV91" s="21">
        <f>EXP(-LN(2)/25)*AV90+(1-EXP(-LN(2)/25))/(LN(2)/25)*Calculateur!AQ91*Calculateur!AS91*VLOOKUP('Données projet'!$B$10,Paramètres!$A$1:$I$89,3,0)*0.475*44/12</f>
        <v>16.380018569889376</v>
      </c>
      <c r="AW91" s="21">
        <f>EXP(-LN(2)/2)*AW90+(1-EXP(-LN(2)/2))/(LN(2)/2)*AQ91*AT91*VLOOKUP('Données projet'!$B$10,Paramètres!$A$1:$I$89,3,0)*0.475*44/12</f>
        <v>2.5085313743051593E-7</v>
      </c>
      <c r="AX91" s="21">
        <f t="shared" si="60"/>
        <v>47.969387065108556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0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318.84317557630413</v>
      </c>
      <c r="T92" s="59">
        <f t="shared" si="88"/>
        <v>211.80440891545263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191.03755486139761</v>
      </c>
      <c r="AA92" s="21">
        <f>EXP(-LN(2)/25)*AA91+(1-EXP(-LN(2)/25))/(LN(2)/25)*Calculateur!V92*Calculateur!X92*VLOOKUP('Données projet'!$B$9,Paramètres!$A$1:$I$89,3,0)*0.475*44/12</f>
        <v>36.498808005039308</v>
      </c>
      <c r="AB92" s="21">
        <f>EXP(-LN(2)/2)*AB91+(1-EXP(-LN(2)/2))/(LN(2)/2)*V92*Y92*VLOOKUP('Données projet'!$B$9,Paramètres!$A$1:$I$89,3,0)*0.475*44/12</f>
        <v>1.7352944999254482E-7</v>
      </c>
      <c r="AC92" s="22">
        <f t="shared" si="57"/>
        <v>227.53636303996637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426.99999999999994</v>
      </c>
      <c r="AJ92" s="13">
        <f>AI92*VLOOKUP('Données projet'!$B$10,Paramètres!$A$1:$I$89,3,0)*VLOOKUP('Données projet'!$B$10,Paramètres!$A$1:$I$89,5,0)</f>
        <v>244.24399999999997</v>
      </c>
      <c r="AK92" s="13">
        <f t="shared" si="89"/>
        <v>59.351714130365565</v>
      </c>
      <c r="AL92" s="20">
        <f t="shared" si="58"/>
        <v>528.76253544371991</v>
      </c>
      <c r="AM92" s="59">
        <f t="shared" si="59"/>
        <v>565.42920211038654</v>
      </c>
      <c r="AN92" s="59">
        <f ca="1">AVERAGE(OFFSET($AM$3,0,0,'Données projet'!$E$10+1,1))-AVERAGE(OFFSET($H$3,0,0,'Données projet'!$E$10+1,1))</f>
        <v>302.26866345315602</v>
      </c>
      <c r="AO92" s="59">
        <f t="shared" si="90"/>
        <v>229.97213730997649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30.969920000706136</v>
      </c>
      <c r="AV92" s="21">
        <f>EXP(-LN(2)/25)*AV91+(1-EXP(-LN(2)/25))/(LN(2)/25)*Calculateur!AQ92*Calculateur!AS92*VLOOKUP('Données projet'!$B$10,Paramètres!$A$1:$I$89,3,0)*0.475*44/12</f>
        <v>15.932106100708012</v>
      </c>
      <c r="AW92" s="21">
        <f>EXP(-LN(2)/2)*AW91+(1-EXP(-LN(2)/2))/(LN(2)/2)*AQ92*AT92*VLOOKUP('Données projet'!$B$10,Paramètres!$A$1:$I$89,3,0)*0.475*44/12</f>
        <v>1.7737995455903876E-7</v>
      </c>
      <c r="AX92" s="21">
        <f t="shared" si="60"/>
        <v>46.902026278794104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0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318.84317557630413</v>
      </c>
      <c r="T93" s="59">
        <f t="shared" si="88"/>
        <v>211.80440891545263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187.29142493196852</v>
      </c>
      <c r="AA93" s="21">
        <f>EXP(-LN(2)/25)*AA92+(1-EXP(-LN(2)/25))/(LN(2)/25)*Calculateur!V93*Calculateur!X93*VLOOKUP('Données projet'!$B$9,Paramètres!$A$1:$I$89,3,0)*0.475*44/12</f>
        <v>35.500746180752614</v>
      </c>
      <c r="AB93" s="21">
        <f>EXP(-LN(2)/2)*AB92+(1-EXP(-LN(2)/2))/(LN(2)/2)*V93*Y93*VLOOKUP('Données projet'!$B$9,Paramètres!$A$1:$I$89,3,0)*0.475*44/12</f>
        <v>1.2270385082530033E-7</v>
      </c>
      <c r="AC93" s="22">
        <f t="shared" si="57"/>
        <v>222.79217123542497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426.99999999999994</v>
      </c>
      <c r="AJ93" s="13">
        <f>AI93*VLOOKUP('Données projet'!$B$10,Paramètres!$A$1:$I$89,3,0)*VLOOKUP('Données projet'!$B$10,Paramètres!$A$1:$I$89,5,0)</f>
        <v>244.24399999999997</v>
      </c>
      <c r="AK93" s="13">
        <f t="shared" si="89"/>
        <v>59.351714130365565</v>
      </c>
      <c r="AL93" s="20">
        <f t="shared" si="58"/>
        <v>528.76253544371991</v>
      </c>
      <c r="AM93" s="59">
        <f t="shared" si="59"/>
        <v>565.42920211038654</v>
      </c>
      <c r="AN93" s="59">
        <f ca="1">AVERAGE(OFFSET($AM$3,0,0,'Données projet'!$E$10+1,1))-AVERAGE(OFFSET($H$3,0,0,'Données projet'!$E$10+1,1))</f>
        <v>302.26866345315602</v>
      </c>
      <c r="AO93" s="59">
        <f t="shared" si="90"/>
        <v>229.97213730997649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30.362618759278277</v>
      </c>
      <c r="AV93" s="21">
        <f>EXP(-LN(2)/25)*AV92+(1-EXP(-LN(2)/25))/(LN(2)/25)*Calculateur!AQ93*Calculateur!AS93*VLOOKUP('Données projet'!$B$10,Paramètres!$A$1:$I$89,3,0)*0.475*44/12</f>
        <v>15.496441821551105</v>
      </c>
      <c r="AW93" s="21">
        <f>EXP(-LN(2)/2)*AW92+(1-EXP(-LN(2)/2))/(LN(2)/2)*AQ93*AT93*VLOOKUP('Données projet'!$B$10,Paramètres!$A$1:$I$89,3,0)*0.475*44/12</f>
        <v>1.2542656871525796E-7</v>
      </c>
      <c r="AX93" s="21">
        <f t="shared" si="60"/>
        <v>45.859060706255946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0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318.84317557630413</v>
      </c>
      <c r="T94" s="59">
        <f t="shared" si="88"/>
        <v>211.80440891545263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183.61875432554191</v>
      </c>
      <c r="AA94" s="21">
        <f>EXP(-LN(2)/25)*AA93+(1-EXP(-LN(2)/25))/(LN(2)/25)*Calculateur!V94*Calculateur!X94*VLOOKUP('Données projet'!$B$9,Paramètres!$A$1:$I$89,3,0)*0.475*44/12</f>
        <v>34.529976409536829</v>
      </c>
      <c r="AB94" s="21">
        <f>EXP(-LN(2)/2)*AB93+(1-EXP(-LN(2)/2))/(LN(2)/2)*V94*Y94*VLOOKUP('Données projet'!$B$9,Paramètres!$A$1:$I$89,3,0)*0.475*44/12</f>
        <v>8.6764724996272411E-8</v>
      </c>
      <c r="AC94" s="22">
        <f t="shared" si="57"/>
        <v>218.14873082184346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426.99999999999994</v>
      </c>
      <c r="AJ94" s="13">
        <f>AI94*VLOOKUP('Données projet'!$B$10,Paramètres!$A$1:$I$89,3,0)*VLOOKUP('Données projet'!$B$10,Paramètres!$A$1:$I$89,5,0)</f>
        <v>244.24399999999997</v>
      </c>
      <c r="AK94" s="13">
        <f t="shared" si="89"/>
        <v>59.351714130365565</v>
      </c>
      <c r="AL94" s="20">
        <f t="shared" si="58"/>
        <v>528.76253544371991</v>
      </c>
      <c r="AM94" s="59">
        <f t="shared" si="59"/>
        <v>565.42920211038654</v>
      </c>
      <c r="AN94" s="59">
        <f ca="1">AVERAGE(OFFSET($AM$3,0,0,'Données projet'!$E$10+1,1))-AVERAGE(OFFSET($H$3,0,0,'Données projet'!$E$10+1,1))</f>
        <v>302.26866345315602</v>
      </c>
      <c r="AO94" s="59">
        <f t="shared" si="90"/>
        <v>229.97213730997649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29.767226324777639</v>
      </c>
      <c r="AV94" s="21">
        <f>EXP(-LN(2)/25)*AV93+(1-EXP(-LN(2)/25))/(LN(2)/25)*Calculateur!AQ94*Calculateur!AS94*VLOOKUP('Données projet'!$B$10,Paramètres!$A$1:$I$89,3,0)*0.475*44/12</f>
        <v>15.072690805018333</v>
      </c>
      <c r="AW94" s="21">
        <f>EXP(-LN(2)/2)*AW93+(1-EXP(-LN(2)/2))/(LN(2)/2)*AQ94*AT94*VLOOKUP('Données projet'!$B$10,Paramètres!$A$1:$I$89,3,0)*0.475*44/12</f>
        <v>8.8689977279519382E-8</v>
      </c>
      <c r="AX94" s="21">
        <f t="shared" si="60"/>
        <v>44.839917218485951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0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318.84317557630413</v>
      </c>
      <c r="T95" s="59">
        <f t="shared" si="88"/>
        <v>211.80440891545263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180.01810254959946</v>
      </c>
      <c r="AA95" s="21">
        <f>EXP(-LN(2)/25)*AA94+(1-EXP(-LN(2)/25))/(LN(2)/25)*Calculateur!V95*Calculateur!X95*VLOOKUP('Données projet'!$B$9,Paramètres!$A$1:$I$89,3,0)*0.475*44/12</f>
        <v>33.585752388765506</v>
      </c>
      <c r="AB95" s="21">
        <f>EXP(-LN(2)/2)*AB94+(1-EXP(-LN(2)/2))/(LN(2)/2)*V95*Y95*VLOOKUP('Données projet'!$B$9,Paramètres!$A$1:$I$89,3,0)*0.475*44/12</f>
        <v>6.1351925412650164E-8</v>
      </c>
      <c r="AC95" s="22">
        <f t="shared" si="57"/>
        <v>213.6038549997169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426.99999999999994</v>
      </c>
      <c r="AJ95" s="13">
        <f>AI95*VLOOKUP('Données projet'!$B$10,Paramètres!$A$1:$I$89,3,0)*VLOOKUP('Données projet'!$B$10,Paramètres!$A$1:$I$89,5,0)</f>
        <v>244.24399999999997</v>
      </c>
      <c r="AK95" s="13">
        <f t="shared" si="89"/>
        <v>59.351714130365565</v>
      </c>
      <c r="AL95" s="20">
        <f t="shared" si="58"/>
        <v>528.76253544371991</v>
      </c>
      <c r="AM95" s="59">
        <f t="shared" si="59"/>
        <v>565.42920211038654</v>
      </c>
      <c r="AN95" s="59">
        <f ca="1">AVERAGE(OFFSET($AM$3,0,0,'Données projet'!$E$10+1,1))-AVERAGE(OFFSET($H$3,0,0,'Données projet'!$E$10+1,1))</f>
        <v>302.26866345315602</v>
      </c>
      <c r="AO95" s="59">
        <f t="shared" si="90"/>
        <v>229.97213730997649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29.18350917276403</v>
      </c>
      <c r="AV95" s="21">
        <f>EXP(-LN(2)/25)*AV94+(1-EXP(-LN(2)/25))/(LN(2)/25)*Calculateur!AQ95*Calculateur!AS95*VLOOKUP('Données projet'!$B$10,Paramètres!$A$1:$I$89,3,0)*0.475*44/12</f>
        <v>14.660527282316746</v>
      </c>
      <c r="AW95" s="21">
        <f>EXP(-LN(2)/2)*AW94+(1-EXP(-LN(2)/2))/(LN(2)/2)*AQ95*AT95*VLOOKUP('Données projet'!$B$10,Paramètres!$A$1:$I$89,3,0)*0.475*44/12</f>
        <v>6.2713284357628982E-8</v>
      </c>
      <c r="AX95" s="21">
        <f t="shared" si="60"/>
        <v>43.844036517794059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0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318.84317557630413</v>
      </c>
      <c r="T96" s="59">
        <f t="shared" si="88"/>
        <v>211.80440891545263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176.48805735880251</v>
      </c>
      <c r="AA96" s="21">
        <f>EXP(-LN(2)/25)*AA95+(1-EXP(-LN(2)/25))/(LN(2)/25)*Calculateur!V96*Calculateur!X96*VLOOKUP('Données projet'!$B$9,Paramètres!$A$1:$I$89,3,0)*0.475*44/12</f>
        <v>32.667348223496759</v>
      </c>
      <c r="AB96" s="21">
        <f>EXP(-LN(2)/2)*AB95+(1-EXP(-LN(2)/2))/(LN(2)/2)*V96*Y96*VLOOKUP('Données projet'!$B$9,Paramètres!$A$1:$I$89,3,0)*0.475*44/12</f>
        <v>4.3382362498136206E-8</v>
      </c>
      <c r="AC96" s="22">
        <f t="shared" si="57"/>
        <v>209.15540562568162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426.99999999999994</v>
      </c>
      <c r="AJ96" s="13">
        <f>AI96*VLOOKUP('Données projet'!$B$10,Paramètres!$A$1:$I$89,3,0)*VLOOKUP('Données projet'!$B$10,Paramètres!$A$1:$I$89,5,0)</f>
        <v>244.24399999999997</v>
      </c>
      <c r="AK96" s="13">
        <f t="shared" si="89"/>
        <v>59.351714130365565</v>
      </c>
      <c r="AL96" s="20">
        <f t="shared" si="58"/>
        <v>528.76253544371991</v>
      </c>
      <c r="AM96" s="59">
        <f t="shared" si="59"/>
        <v>565.42920211038654</v>
      </c>
      <c r="AN96" s="59">
        <f ca="1">AVERAGE(OFFSET($AM$3,0,0,'Données projet'!$E$10+1,1))-AVERAGE(OFFSET($H$3,0,0,'Données projet'!$E$10+1,1))</f>
        <v>302.26866345315602</v>
      </c>
      <c r="AO96" s="59">
        <f t="shared" si="90"/>
        <v>229.97213730997649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28.611238358069102</v>
      </c>
      <c r="AV96" s="21">
        <f>EXP(-LN(2)/25)*AV95+(1-EXP(-LN(2)/25))/(LN(2)/25)*Calculateur!AQ96*Calculateur!AS96*VLOOKUP('Données projet'!$B$10,Paramètres!$A$1:$I$89,3,0)*0.475*44/12</f>
        <v>14.259634392818173</v>
      </c>
      <c r="AW96" s="21">
        <f>EXP(-LN(2)/2)*AW95+(1-EXP(-LN(2)/2))/(LN(2)/2)*AQ96*AT96*VLOOKUP('Données projet'!$B$10,Paramètres!$A$1:$I$89,3,0)*0.475*44/12</f>
        <v>4.4344988639759691E-8</v>
      </c>
      <c r="AX96" s="21">
        <f t="shared" si="60"/>
        <v>42.870872795232259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0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318.84317557630413</v>
      </c>
      <c r="T97" s="59">
        <f t="shared" si="88"/>
        <v>211.80440891545263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173.02723420108211</v>
      </c>
      <c r="AA97" s="21">
        <f>EXP(-LN(2)/25)*AA96+(1-EXP(-LN(2)/25))/(LN(2)/25)*Calculateur!V97*Calculateur!X97*VLOOKUP('Données projet'!$B$9,Paramètres!$A$1:$I$89,3,0)*0.475*44/12</f>
        <v>31.774057868424059</v>
      </c>
      <c r="AB97" s="21">
        <f>EXP(-LN(2)/2)*AB96+(1-EXP(-LN(2)/2))/(LN(2)/2)*V97*Y97*VLOOKUP('Données projet'!$B$9,Paramètres!$A$1:$I$89,3,0)*0.475*44/12</f>
        <v>3.0675962706325082E-8</v>
      </c>
      <c r="AC97" s="22">
        <f t="shared" si="57"/>
        <v>204.80129210018211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426.99999999999994</v>
      </c>
      <c r="AJ97" s="13">
        <f>AI97*VLOOKUP('Données projet'!$B$10,Paramètres!$A$1:$I$89,3,0)*VLOOKUP('Données projet'!$B$10,Paramètres!$A$1:$I$89,5,0)</f>
        <v>244.24399999999997</v>
      </c>
      <c r="AK97" s="13">
        <f t="shared" si="89"/>
        <v>59.351714130365565</v>
      </c>
      <c r="AL97" s="20">
        <f t="shared" si="58"/>
        <v>528.76253544371991</v>
      </c>
      <c r="AM97" s="59">
        <f t="shared" si="59"/>
        <v>565.42920211038654</v>
      </c>
      <c r="AN97" s="59">
        <f ca="1">AVERAGE(OFFSET($AM$3,0,0,'Données projet'!$E$10+1,1))-AVERAGE(OFFSET($H$3,0,0,'Données projet'!$E$10+1,1))</f>
        <v>302.26866345315602</v>
      </c>
      <c r="AO97" s="59">
        <f t="shared" si="90"/>
        <v>229.97213730997649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28.050189424999608</v>
      </c>
      <c r="AV97" s="21">
        <f>EXP(-LN(2)/25)*AV96+(1-EXP(-LN(2)/25))/(LN(2)/25)*Calculateur!AQ97*Calculateur!AS97*VLOOKUP('Données projet'!$B$10,Paramètres!$A$1:$I$89,3,0)*0.475*44/12</f>
        <v>13.869703940464978</v>
      </c>
      <c r="AW97" s="21">
        <f>EXP(-LN(2)/2)*AW96+(1-EXP(-LN(2)/2))/(LN(2)/2)*AQ97*AT97*VLOOKUP('Données projet'!$B$10,Paramètres!$A$1:$I$89,3,0)*0.475*44/12</f>
        <v>3.1356642178814491E-8</v>
      </c>
      <c r="AX97" s="21">
        <f t="shared" si="60"/>
        <v>41.91989339682123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0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318.84317557630413</v>
      </c>
      <c r="T98" s="59">
        <f t="shared" si="88"/>
        <v>211.80440891545263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169.63427567459092</v>
      </c>
      <c r="AA98" s="21">
        <f>EXP(-LN(2)/25)*AA97+(1-EXP(-LN(2)/25))/(LN(2)/25)*Calculateur!V98*Calculateur!X98*VLOOKUP('Données projet'!$B$9,Paramètres!$A$1:$I$89,3,0)*0.475*44/12</f>
        <v>30.905194585086921</v>
      </c>
      <c r="AB98" s="21">
        <f>EXP(-LN(2)/2)*AB97+(1-EXP(-LN(2)/2))/(LN(2)/2)*V98*Y98*VLOOKUP('Données projet'!$B$9,Paramètres!$A$1:$I$89,3,0)*0.475*44/12</f>
        <v>2.1691181249068103E-8</v>
      </c>
      <c r="AC98" s="22">
        <f t="shared" si="57"/>
        <v>200.53947028136903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426.99999999999994</v>
      </c>
      <c r="AJ98" s="13">
        <f>AI98*VLOOKUP('Données projet'!$B$10,Paramètres!$A$1:$I$89,3,0)*VLOOKUP('Données projet'!$B$10,Paramètres!$A$1:$I$89,5,0)</f>
        <v>244.24399999999997</v>
      </c>
      <c r="AK98" s="13">
        <f t="shared" si="89"/>
        <v>59.351714130365565</v>
      </c>
      <c r="AL98" s="20">
        <f t="shared" si="58"/>
        <v>528.76253544371991</v>
      </c>
      <c r="AM98" s="59">
        <f t="shared" si="59"/>
        <v>565.42920211038654</v>
      </c>
      <c r="AN98" s="59">
        <f ca="1">AVERAGE(OFFSET($AM$3,0,0,'Données projet'!$E$10+1,1))-AVERAGE(OFFSET($H$3,0,0,'Données projet'!$E$10+1,1))</f>
        <v>302.26866345315602</v>
      </c>
      <c r="AO98" s="59">
        <f t="shared" si="90"/>
        <v>229.97213730997649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27.500142319301549</v>
      </c>
      <c r="AV98" s="21">
        <f>EXP(-LN(2)/25)*AV97+(1-EXP(-LN(2)/25))/(LN(2)/25)*Calculateur!AQ98*Calculateur!AS98*VLOOKUP('Données projet'!$B$10,Paramètres!$A$1:$I$89,3,0)*0.475*44/12</f>
        <v>13.490436156836934</v>
      </c>
      <c r="AW98" s="21">
        <f>EXP(-LN(2)/2)*AW97+(1-EXP(-LN(2)/2))/(LN(2)/2)*AQ98*AT98*VLOOKUP('Données projet'!$B$10,Paramètres!$A$1:$I$89,3,0)*0.475*44/12</f>
        <v>2.2172494319879845E-8</v>
      </c>
      <c r="AX98" s="21">
        <f t="shared" si="60"/>
        <v>40.990578498310974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0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318.84317557630413</v>
      </c>
      <c r="T99" s="59">
        <f t="shared" si="88"/>
        <v>211.80440891545263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166.30785099530388</v>
      </c>
      <c r="AA99" s="21">
        <f>EXP(-LN(2)/25)*AA98+(1-EXP(-LN(2)/25))/(LN(2)/25)*Calculateur!V99*Calculateur!X99*VLOOKUP('Données projet'!$B$9,Paramètres!$A$1:$I$89,3,0)*0.475*44/12</f>
        <v>30.060090413924172</v>
      </c>
      <c r="AB99" s="21">
        <f>EXP(-LN(2)/2)*AB98+(1-EXP(-LN(2)/2))/(LN(2)/2)*V99*Y99*VLOOKUP('Données projet'!$B$9,Paramètres!$A$1:$I$89,3,0)*0.475*44/12</f>
        <v>1.5337981353162541E-8</v>
      </c>
      <c r="AC99" s="22">
        <f t="shared" si="57"/>
        <v>196.36794142456603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426.99999999999994</v>
      </c>
      <c r="AJ99" s="13">
        <f>AI99*VLOOKUP('Données projet'!$B$10,Paramètres!$A$1:$I$89,3,0)*VLOOKUP('Données projet'!$B$10,Paramètres!$A$1:$I$89,5,0)</f>
        <v>244.24399999999997</v>
      </c>
      <c r="AK99" s="13">
        <f t="shared" si="89"/>
        <v>59.351714130365565</v>
      </c>
      <c r="AL99" s="20">
        <f t="shared" si="58"/>
        <v>528.76253544371991</v>
      </c>
      <c r="AM99" s="59">
        <f t="shared" si="59"/>
        <v>565.42920211038654</v>
      </c>
      <c r="AN99" s="59">
        <f ca="1">AVERAGE(OFFSET($AM$3,0,0,'Données projet'!$E$10+1,1))-AVERAGE(OFFSET($H$3,0,0,'Données projet'!$E$10+1,1))</f>
        <v>302.26866345315602</v>
      </c>
      <c r="AO99" s="59">
        <f t="shared" si="90"/>
        <v>229.97213730997649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26.960881301850623</v>
      </c>
      <c r="AV99" s="21">
        <f>EXP(-LN(2)/25)*AV98+(1-EXP(-LN(2)/25))/(LN(2)/25)*Calculateur!AQ99*Calculateur!AS99*VLOOKUP('Données projet'!$B$10,Paramètres!$A$1:$I$89,3,0)*0.475*44/12</f>
        <v>13.121539470697023</v>
      </c>
      <c r="AW99" s="21">
        <f>EXP(-LN(2)/2)*AW98+(1-EXP(-LN(2)/2))/(LN(2)/2)*AQ99*AT99*VLOOKUP('Données projet'!$B$10,Paramètres!$A$1:$I$89,3,0)*0.475*44/12</f>
        <v>1.5678321089407245E-8</v>
      </c>
      <c r="AX99" s="21">
        <f t="shared" si="60"/>
        <v>40.082420788225974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0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318.84317557630413</v>
      </c>
      <c r="T100" s="59">
        <f t="shared" si="88"/>
        <v>211.80440891545263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163.04665547505894</v>
      </c>
      <c r="AA100" s="21">
        <f>EXP(-LN(2)/25)*AA99+(1-EXP(-LN(2)/25))/(LN(2)/25)*Calculateur!V100*Calculateur!X100*VLOOKUP('Données projet'!$B$9,Paramètres!$A$1:$I$89,3,0)*0.475*44/12</f>
        <v>29.238095660763964</v>
      </c>
      <c r="AB100" s="21">
        <f>EXP(-LN(2)/2)*AB99+(1-EXP(-LN(2)/2))/(LN(2)/2)*V100*Y100*VLOOKUP('Données projet'!$B$9,Paramètres!$A$1:$I$89,3,0)*0.475*44/12</f>
        <v>1.0845590624534051E-8</v>
      </c>
      <c r="AC100" s="22">
        <f t="shared" si="57"/>
        <v>192.2847511466685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426.99999999999994</v>
      </c>
      <c r="AJ100" s="13">
        <f>AI100*VLOOKUP('Données projet'!$B$10,Paramètres!$A$1:$I$89,3,0)*VLOOKUP('Données projet'!$B$10,Paramètres!$A$1:$I$89,5,0)</f>
        <v>244.24399999999997</v>
      </c>
      <c r="AK100" s="13">
        <f t="shared" si="89"/>
        <v>59.351714130365565</v>
      </c>
      <c r="AL100" s="20">
        <f t="shared" si="58"/>
        <v>528.76253544371991</v>
      </c>
      <c r="AM100" s="59">
        <f t="shared" si="59"/>
        <v>565.42920211038654</v>
      </c>
      <c r="AN100" s="59">
        <f ca="1">AVERAGE(OFFSET($AM$3,0,0,'Données projet'!$E$10+1,1))-AVERAGE(OFFSET($H$3,0,0,'Données projet'!$E$10+1,1))</f>
        <v>302.26866345315602</v>
      </c>
      <c r="AO100" s="59">
        <f t="shared" si="90"/>
        <v>229.97213730997649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26.432194864035164</v>
      </c>
      <c r="AV100" s="21">
        <f>EXP(-LN(2)/25)*AV99+(1-EXP(-LN(2)/25))/(LN(2)/25)*Calculateur!AQ100*Calculateur!AS100*VLOOKUP('Données projet'!$B$10,Paramètres!$A$1:$I$89,3,0)*0.475*44/12</f>
        <v>12.762730283839042</v>
      </c>
      <c r="AW100" s="21">
        <f>EXP(-LN(2)/2)*AW99+(1-EXP(-LN(2)/2))/(LN(2)/2)*AQ100*AT100*VLOOKUP('Données projet'!$B$10,Paramètres!$A$1:$I$89,3,0)*0.475*44/12</f>
        <v>1.1086247159939923E-8</v>
      </c>
      <c r="AX100" s="21">
        <f t="shared" si="60"/>
        <v>39.194925158960459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0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318.84317557630413</v>
      </c>
      <c r="T101" s="59">
        <f t="shared" si="88"/>
        <v>211.80440891545263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159.84941000983315</v>
      </c>
      <c r="AA101" s="21">
        <f>EXP(-LN(2)/25)*AA100+(1-EXP(-LN(2)/25))/(LN(2)/25)*Calculateur!V101*Calculateur!X101*VLOOKUP('Données projet'!$B$9,Paramètres!$A$1:$I$89,3,0)*0.475*44/12</f>
        <v>28.438578397355748</v>
      </c>
      <c r="AB101" s="21">
        <f>EXP(-LN(2)/2)*AB100+(1-EXP(-LN(2)/2))/(LN(2)/2)*V101*Y101*VLOOKUP('Données projet'!$B$9,Paramètres!$A$1:$I$89,3,0)*0.475*44/12</f>
        <v>7.6689906765812705E-9</v>
      </c>
      <c r="AC101" s="22">
        <f t="shared" si="57"/>
        <v>188.28798841485789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426.99999999999994</v>
      </c>
      <c r="AJ101" s="13">
        <f>AI101*VLOOKUP('Données projet'!$B$10,Paramètres!$A$1:$I$89,3,0)*VLOOKUP('Données projet'!$B$10,Paramètres!$A$1:$I$89,5,0)</f>
        <v>244.24399999999997</v>
      </c>
      <c r="AK101" s="13">
        <f t="shared" si="89"/>
        <v>59.351714130365565</v>
      </c>
      <c r="AL101" s="20">
        <f t="shared" si="58"/>
        <v>528.76253544371991</v>
      </c>
      <c r="AM101" s="59">
        <f t="shared" si="59"/>
        <v>565.42920211038654</v>
      </c>
      <c r="AN101" s="59">
        <f ca="1">AVERAGE(OFFSET($AM$3,0,0,'Données projet'!$E$10+1,1))-AVERAGE(OFFSET($H$3,0,0,'Données projet'!$E$10+1,1))</f>
        <v>302.26866345315602</v>
      </c>
      <c r="AO101" s="59">
        <f t="shared" si="90"/>
        <v>229.97213730997649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25.913875644798381</v>
      </c>
      <c r="AV101" s="21">
        <f>EXP(-LN(2)/25)*AV100+(1-EXP(-LN(2)/25))/(LN(2)/25)*Calculateur!AQ101*Calculateur!AS101*VLOOKUP('Données projet'!$B$10,Paramètres!$A$1:$I$89,3,0)*0.475*44/12</f>
        <v>12.413732753064648</v>
      </c>
      <c r="AW101" s="21">
        <f>EXP(-LN(2)/2)*AW100+(1-EXP(-LN(2)/2))/(LN(2)/2)*AQ101*AT101*VLOOKUP('Données projet'!$B$10,Paramètres!$A$1:$I$89,3,0)*0.475*44/12</f>
        <v>7.8391605447036227E-9</v>
      </c>
      <c r="AX101" s="21">
        <f t="shared" si="60"/>
        <v>38.327608405702193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0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318.84317557630413</v>
      </c>
      <c r="T102" s="59">
        <f t="shared" si="88"/>
        <v>211.80440891545263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156.71486057805325</v>
      </c>
      <c r="AA102" s="21">
        <f>EXP(-LN(2)/25)*AA101+(1-EXP(-LN(2)/25))/(LN(2)/25)*Calculateur!V102*Calculateur!X102*VLOOKUP('Données projet'!$B$9,Paramètres!$A$1:$I$89,3,0)*0.475*44/12</f>
        <v>27.660923975560216</v>
      </c>
      <c r="AB102" s="21">
        <f>EXP(-LN(2)/2)*AB101+(1-EXP(-LN(2)/2))/(LN(2)/2)*V102*Y102*VLOOKUP('Données projet'!$B$9,Paramètres!$A$1:$I$89,3,0)*0.475*44/12</f>
        <v>5.4227953122670257E-9</v>
      </c>
      <c r="AC102" s="22">
        <f t="shared" si="57"/>
        <v>184.37578455903628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426.99999999999994</v>
      </c>
      <c r="AJ102" s="13">
        <f>AI102*VLOOKUP('Données projet'!$B$10,Paramètres!$A$1:$I$89,3,0)*VLOOKUP('Données projet'!$B$10,Paramètres!$A$1:$I$89,5,0)</f>
        <v>244.24399999999997</v>
      </c>
      <c r="AK102" s="13">
        <f t="shared" si="89"/>
        <v>59.351714130365565</v>
      </c>
      <c r="AL102" s="20">
        <f t="shared" si="58"/>
        <v>528.76253544371991</v>
      </c>
      <c r="AM102" s="59">
        <f t="shared" si="59"/>
        <v>565.42920211038654</v>
      </c>
      <c r="AN102" s="59">
        <f ca="1">AVERAGE(OFFSET($AM$3,0,0,'Données projet'!$E$10+1,1))-AVERAGE(OFFSET($H$3,0,0,'Données projet'!$E$10+1,1))</f>
        <v>302.26866345315602</v>
      </c>
      <c r="AO102" s="59">
        <f t="shared" si="90"/>
        <v>229.97213730997649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25.405720349307323</v>
      </c>
      <c r="AV102" s="21">
        <f>EXP(-LN(2)/25)*AV101+(1-EXP(-LN(2)/25))/(LN(2)/25)*Calculateur!AQ102*Calculateur!AS102*VLOOKUP('Données projet'!$B$10,Paramètres!$A$1:$I$89,3,0)*0.475*44/12</f>
        <v>12.074278578122263</v>
      </c>
      <c r="AW102" s="21">
        <f>EXP(-LN(2)/2)*AW101+(1-EXP(-LN(2)/2))/(LN(2)/2)*AQ102*AT102*VLOOKUP('Données projet'!$B$10,Paramètres!$A$1:$I$89,3,0)*0.475*44/12</f>
        <v>5.5431235799699614E-9</v>
      </c>
      <c r="AX102" s="21">
        <f t="shared" si="60"/>
        <v>37.479998932972705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0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318.84317557630413</v>
      </c>
      <c r="T103" s="59">
        <f t="shared" si="88"/>
        <v>211.80440891545263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153.64177774874418</v>
      </c>
      <c r="AA103" s="21">
        <f>EXP(-LN(2)/25)*AA102+(1-EXP(-LN(2)/25))/(LN(2)/25)*Calculateur!V103*Calculateur!X103*VLOOKUP('Données projet'!$B$9,Paramètres!$A$1:$I$89,3,0)*0.475*44/12</f>
        <v>26.904534554823751</v>
      </c>
      <c r="AB103" s="21">
        <f>EXP(-LN(2)/2)*AB102+(1-EXP(-LN(2)/2))/(LN(2)/2)*V103*Y103*VLOOKUP('Données projet'!$B$9,Paramètres!$A$1:$I$89,3,0)*0.475*44/12</f>
        <v>3.8344953382906353E-9</v>
      </c>
      <c r="AC103" s="22">
        <f t="shared" si="57"/>
        <v>180.54631230740242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426.99999999999994</v>
      </c>
      <c r="AJ103" s="13">
        <f>AI103*VLOOKUP('Données projet'!$B$10,Paramètres!$A$1:$I$89,3,0)*VLOOKUP('Données projet'!$B$10,Paramètres!$A$1:$I$89,5,0)</f>
        <v>244.24399999999997</v>
      </c>
      <c r="AK103" s="13">
        <f t="shared" si="89"/>
        <v>59.351714130365565</v>
      </c>
      <c r="AL103" s="20">
        <f t="shared" si="58"/>
        <v>528.76253544371991</v>
      </c>
      <c r="AM103" s="59">
        <f t="shared" si="59"/>
        <v>565.42920211038654</v>
      </c>
      <c r="AN103" s="59">
        <f ca="1">AVERAGE(OFFSET($AM$3,0,0,'Données projet'!$E$10+1,1))-AVERAGE(OFFSET($H$3,0,0,'Données projet'!$E$10+1,1))</f>
        <v>302.26866345315602</v>
      </c>
      <c r="AO103" s="59">
        <f t="shared" si="90"/>
        <v>229.97213730997649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24.907529669216721</v>
      </c>
      <c r="AV103" s="21">
        <f>EXP(-LN(2)/25)*AV102+(1-EXP(-LN(2)/25))/(LN(2)/25)*Calculateur!AQ103*Calculateur!AS103*VLOOKUP('Données projet'!$B$10,Paramètres!$A$1:$I$89,3,0)*0.475*44/12</f>
        <v>11.744106795444795</v>
      </c>
      <c r="AW103" s="21">
        <f>EXP(-LN(2)/2)*AW102+(1-EXP(-LN(2)/2))/(LN(2)/2)*AQ103*AT103*VLOOKUP('Données projet'!$B$10,Paramètres!$A$1:$I$89,3,0)*0.475*44/12</f>
        <v>3.9195802723518114E-9</v>
      </c>
      <c r="AX103" s="21">
        <f t="shared" si="60"/>
        <v>36.651636468581096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0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318.84317557630413</v>
      </c>
      <c r="T104" s="59">
        <f t="shared" si="88"/>
        <v>211.80440891545263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150.6289561993224</v>
      </c>
      <c r="AA104" s="21">
        <f>EXP(-LN(2)/25)*AA103+(1-EXP(-LN(2)/25))/(LN(2)/25)*Calculateur!V104*Calculateur!X104*VLOOKUP('Données projet'!$B$9,Paramètres!$A$1:$I$89,3,0)*0.475*44/12</f>
        <v>26.168828642574116</v>
      </c>
      <c r="AB104" s="21">
        <f>EXP(-LN(2)/2)*AB103+(1-EXP(-LN(2)/2))/(LN(2)/2)*V104*Y104*VLOOKUP('Données projet'!$B$9,Paramètres!$A$1:$I$89,3,0)*0.475*44/12</f>
        <v>2.7113976561335129E-9</v>
      </c>
      <c r="AC104" s="22">
        <f t="shared" si="57"/>
        <v>176.79778484460792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426.99999999999994</v>
      </c>
      <c r="AJ104" s="13">
        <f>AI104*VLOOKUP('Données projet'!$B$10,Paramètres!$A$1:$I$89,3,0)*VLOOKUP('Données projet'!$B$10,Paramètres!$A$1:$I$89,5,0)</f>
        <v>244.24399999999997</v>
      </c>
      <c r="AK104" s="13">
        <f t="shared" si="89"/>
        <v>59.351714130365565</v>
      </c>
      <c r="AL104" s="20">
        <f t="shared" si="58"/>
        <v>528.76253544371991</v>
      </c>
      <c r="AM104" s="59">
        <f t="shared" si="59"/>
        <v>565.42920211038654</v>
      </c>
      <c r="AN104" s="59">
        <f ca="1">AVERAGE(OFFSET($AM$3,0,0,'Données projet'!$E$10+1,1))-AVERAGE(OFFSET($H$3,0,0,'Données projet'!$E$10+1,1))</f>
        <v>302.26866345315602</v>
      </c>
      <c r="AO104" s="59">
        <f t="shared" si="90"/>
        <v>229.97213730997649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24.419108204496386</v>
      </c>
      <c r="AV104" s="21">
        <f>EXP(-LN(2)/25)*AV103+(1-EXP(-LN(2)/25))/(LN(2)/25)*Calculateur!AQ104*Calculateur!AS104*VLOOKUP('Données projet'!$B$10,Paramètres!$A$1:$I$89,3,0)*0.475*44/12</f>
        <v>11.422963577527621</v>
      </c>
      <c r="AW104" s="21">
        <f>EXP(-LN(2)/2)*AW103+(1-EXP(-LN(2)/2))/(LN(2)/2)*AQ104*AT104*VLOOKUP('Données projet'!$B$10,Paramètres!$A$1:$I$89,3,0)*0.475*44/12</f>
        <v>2.7715617899849807E-9</v>
      </c>
      <c r="AX104" s="21">
        <f t="shared" si="60"/>
        <v>35.842071784795571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0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318.84317557630413</v>
      </c>
      <c r="T105" s="59">
        <f t="shared" si="88"/>
        <v>211.80440891545263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147.6752142428451</v>
      </c>
      <c r="AA105" s="21">
        <f>EXP(-LN(2)/25)*AA104+(1-EXP(-LN(2)/25))/(LN(2)/25)*Calculateur!V105*Calculateur!X105*VLOOKUP('Données projet'!$B$9,Paramètres!$A$1:$I$89,3,0)*0.475*44/12</f>
        <v>25.453240647184039</v>
      </c>
      <c r="AB105" s="21">
        <f>EXP(-LN(2)/2)*AB104+(1-EXP(-LN(2)/2))/(LN(2)/2)*V105*Y105*VLOOKUP('Données projet'!$B$9,Paramètres!$A$1:$I$89,3,0)*0.475*44/12</f>
        <v>1.9172476691453176E-9</v>
      </c>
      <c r="AC105" s="22">
        <f t="shared" si="57"/>
        <v>173.12845489194638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426.99999999999994</v>
      </c>
      <c r="AJ105" s="13">
        <f>AI105*VLOOKUP('Données projet'!$B$10,Paramètres!$A$1:$I$89,3,0)*VLOOKUP('Données projet'!$B$10,Paramètres!$A$1:$I$89,5,0)</f>
        <v>244.24399999999997</v>
      </c>
      <c r="AK105" s="13">
        <f t="shared" si="89"/>
        <v>59.351714130365565</v>
      </c>
      <c r="AL105" s="20">
        <f t="shared" si="58"/>
        <v>528.76253544371991</v>
      </c>
      <c r="AM105" s="59">
        <f t="shared" si="59"/>
        <v>565.42920211038654</v>
      </c>
      <c r="AN105" s="59">
        <f ca="1">AVERAGE(OFFSET($AM$3,0,0,'Données projet'!$E$10+1,1))-AVERAGE(OFFSET($H$3,0,0,'Données projet'!$E$10+1,1))</f>
        <v>302.26866345315602</v>
      </c>
      <c r="AO105" s="59">
        <f t="shared" si="90"/>
        <v>229.97213730997649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23.940264386791537</v>
      </c>
      <c r="AV105" s="21">
        <f>EXP(-LN(2)/25)*AV104+(1-EXP(-LN(2)/25))/(LN(2)/25)*Calculateur!AQ105*Calculateur!AS105*VLOOKUP('Données projet'!$B$10,Paramètres!$A$1:$I$89,3,0)*0.475*44/12</f>
        <v>11.110602037792582</v>
      </c>
      <c r="AW105" s="21">
        <f>EXP(-LN(2)/2)*AW104+(1-EXP(-LN(2)/2))/(LN(2)/2)*AQ105*AT105*VLOOKUP('Données projet'!$B$10,Paramètres!$A$1:$I$89,3,0)*0.475*44/12</f>
        <v>1.9597901361759057E-9</v>
      </c>
      <c r="AX105" s="21">
        <f t="shared" si="60"/>
        <v>35.050866426543905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0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318.84317557630413</v>
      </c>
      <c r="T106" s="59">
        <f t="shared" si="88"/>
        <v>211.80440891545263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144.77939336452962</v>
      </c>
      <c r="AA106" s="21">
        <f>EXP(-LN(2)/25)*AA105+(1-EXP(-LN(2)/25))/(LN(2)/25)*Calculateur!V106*Calculateur!X106*VLOOKUP('Données projet'!$B$9,Paramètres!$A$1:$I$89,3,0)*0.475*44/12</f>
        <v>24.757220443159039</v>
      </c>
      <c r="AB106" s="21">
        <f>EXP(-LN(2)/2)*AB105+(1-EXP(-LN(2)/2))/(LN(2)/2)*V106*Y106*VLOOKUP('Données projet'!$B$9,Paramètres!$A$1:$I$89,3,0)*0.475*44/12</f>
        <v>1.3556988280667564E-9</v>
      </c>
      <c r="AC106" s="22">
        <f t="shared" si="57"/>
        <v>169.53661380904435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426.99999999999994</v>
      </c>
      <c r="AJ106" s="13">
        <f>AI106*VLOOKUP('Données projet'!$B$10,Paramètres!$A$1:$I$89,3,0)*VLOOKUP('Données projet'!$B$10,Paramètres!$A$1:$I$89,5,0)</f>
        <v>244.24399999999997</v>
      </c>
      <c r="AK106" s="13">
        <f t="shared" si="89"/>
        <v>59.351714130365565</v>
      </c>
      <c r="AL106" s="20">
        <f t="shared" si="58"/>
        <v>528.76253544371991</v>
      </c>
      <c r="AM106" s="59">
        <f t="shared" si="59"/>
        <v>565.42920211038654</v>
      </c>
      <c r="AN106" s="59">
        <f ca="1">AVERAGE(OFFSET($AM$3,0,0,'Données projet'!$E$10+1,1))-AVERAGE(OFFSET($H$3,0,0,'Données projet'!$E$10+1,1))</f>
        <v>302.26866345315602</v>
      </c>
      <c r="AO106" s="59">
        <f t="shared" si="90"/>
        <v>229.97213730997649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23.470810404285992</v>
      </c>
      <c r="AV106" s="21">
        <f>EXP(-LN(2)/25)*AV105+(1-EXP(-LN(2)/25))/(LN(2)/25)*Calculateur!AQ106*Calculateur!AS106*VLOOKUP('Données projet'!$B$10,Paramètres!$A$1:$I$89,3,0)*0.475*44/12</f>
        <v>10.806782040787976</v>
      </c>
      <c r="AW106" s="21">
        <f>EXP(-LN(2)/2)*AW105+(1-EXP(-LN(2)/2))/(LN(2)/2)*AQ106*AT106*VLOOKUP('Données projet'!$B$10,Paramètres!$A$1:$I$89,3,0)*0.475*44/12</f>
        <v>1.3857808949924903E-9</v>
      </c>
      <c r="AX106" s="21">
        <f t="shared" si="60"/>
        <v>34.277592446459742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0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318.84317557630413</v>
      </c>
      <c r="T107" s="59">
        <f t="shared" si="88"/>
        <v>211.80440891545263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141.94035776736158</v>
      </c>
      <c r="AA107" s="21">
        <f>EXP(-LN(2)/25)*AA106+(1-EXP(-LN(2)/25))/(LN(2)/25)*Calculateur!V107*Calculateur!X107*VLOOKUP('Données projet'!$B$9,Paramètres!$A$1:$I$89,3,0)*0.475*44/12</f>
        <v>24.080232948215215</v>
      </c>
      <c r="AB107" s="21">
        <f>EXP(-LN(2)/2)*AB106+(1-EXP(-LN(2)/2))/(LN(2)/2)*V107*Y107*VLOOKUP('Données projet'!$B$9,Paramètres!$A$1:$I$89,3,0)*0.475*44/12</f>
        <v>9.5862383457265882E-10</v>
      </c>
      <c r="AC107" s="22">
        <f t="shared" si="57"/>
        <v>166.02059071653542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426.99999999999994</v>
      </c>
      <c r="AJ107" s="13">
        <f>AI107*VLOOKUP('Données projet'!$B$10,Paramètres!$A$1:$I$89,3,0)*VLOOKUP('Données projet'!$B$10,Paramètres!$A$1:$I$89,5,0)</f>
        <v>244.24399999999997</v>
      </c>
      <c r="AK107" s="13">
        <f t="shared" si="89"/>
        <v>59.351714130365565</v>
      </c>
      <c r="AL107" s="20">
        <f t="shared" si="58"/>
        <v>528.76253544371991</v>
      </c>
      <c r="AM107" s="59">
        <f t="shared" si="59"/>
        <v>565.42920211038654</v>
      </c>
      <c r="AN107" s="59">
        <f ca="1">AVERAGE(OFFSET($AM$3,0,0,'Données projet'!$E$10+1,1))-AVERAGE(OFFSET($H$3,0,0,'Données projet'!$E$10+1,1))</f>
        <v>302.26866345315602</v>
      </c>
      <c r="AO107" s="59">
        <f t="shared" si="90"/>
        <v>229.97213730997649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23.010562128038725</v>
      </c>
      <c r="AV107" s="21">
        <f>EXP(-LN(2)/25)*AV106+(1-EXP(-LN(2)/25))/(LN(2)/25)*Calculateur!AQ107*Calculateur!AS107*VLOOKUP('Données projet'!$B$10,Paramètres!$A$1:$I$89,3,0)*0.475*44/12</f>
        <v>10.51127001757866</v>
      </c>
      <c r="AW107" s="21">
        <f>EXP(-LN(2)/2)*AW106+(1-EXP(-LN(2)/2))/(LN(2)/2)*AQ107*AT107*VLOOKUP('Données projet'!$B$10,Paramètres!$A$1:$I$89,3,0)*0.475*44/12</f>
        <v>9.7989506808795284E-10</v>
      </c>
      <c r="AX107" s="21">
        <f t="shared" si="60"/>
        <v>33.521832146597276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0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318.84317557630413</v>
      </c>
      <c r="T108" s="59">
        <f t="shared" si="88"/>
        <v>211.80440891545263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139.15699392661327</v>
      </c>
      <c r="AA108" s="21">
        <f>EXP(-LN(2)/25)*AA107+(1-EXP(-LN(2)/25))/(LN(2)/25)*Calculateur!V108*Calculateur!X108*VLOOKUP('Données projet'!$B$9,Paramètres!$A$1:$I$89,3,0)*0.475*44/12</f>
        <v>23.421757711921856</v>
      </c>
      <c r="AB108" s="21">
        <f>EXP(-LN(2)/2)*AB107+(1-EXP(-LN(2)/2))/(LN(2)/2)*V108*Y108*VLOOKUP('Données projet'!$B$9,Paramètres!$A$1:$I$89,3,0)*0.475*44/12</f>
        <v>6.7784941403337821E-10</v>
      </c>
      <c r="AC108" s="22">
        <f t="shared" si="57"/>
        <v>162.57875163921298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426.99999999999994</v>
      </c>
      <c r="AJ108" s="13">
        <f>AI108*VLOOKUP('Données projet'!$B$10,Paramètres!$A$1:$I$89,3,0)*VLOOKUP('Données projet'!$B$10,Paramètres!$A$1:$I$89,5,0)</f>
        <v>244.24399999999997</v>
      </c>
      <c r="AK108" s="13">
        <f t="shared" si="89"/>
        <v>59.351714130365565</v>
      </c>
      <c r="AL108" s="20">
        <f t="shared" si="58"/>
        <v>528.76253544371991</v>
      </c>
      <c r="AM108" s="59">
        <f t="shared" si="59"/>
        <v>565.42920211038654</v>
      </c>
      <c r="AN108" s="59">
        <f ca="1">AVERAGE(OFFSET($AM$3,0,0,'Données projet'!$E$10+1,1))-AVERAGE(OFFSET($H$3,0,0,'Données projet'!$E$10+1,1))</f>
        <v>302.26866345315602</v>
      </c>
      <c r="AO108" s="59">
        <f t="shared" si="90"/>
        <v>229.97213730997649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22.559339039764936</v>
      </c>
      <c r="AV108" s="21">
        <f>EXP(-LN(2)/25)*AV107+(1-EXP(-LN(2)/25))/(LN(2)/25)*Calculateur!AQ108*Calculateur!AS108*VLOOKUP('Données projet'!$B$10,Paramètres!$A$1:$I$89,3,0)*0.475*44/12</f>
        <v>10.223838786184306</v>
      </c>
      <c r="AW108" s="21">
        <f>EXP(-LN(2)/2)*AW107+(1-EXP(-LN(2)/2))/(LN(2)/2)*AQ108*AT108*VLOOKUP('Données projet'!$B$10,Paramètres!$A$1:$I$89,3,0)*0.475*44/12</f>
        <v>6.9289044749624517E-10</v>
      </c>
      <c r="AX108" s="21">
        <f t="shared" si="60"/>
        <v>32.783177826642131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0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318.84317557630413</v>
      </c>
      <c r="T109" s="59">
        <f t="shared" si="88"/>
        <v>211.80440891545263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136.42821015309772</v>
      </c>
      <c r="AA109" s="21">
        <f>EXP(-LN(2)/25)*AA108+(1-EXP(-LN(2)/25))/(LN(2)/25)*Calculateur!V109*Calculateur!X109*VLOOKUP('Données projet'!$B$9,Paramètres!$A$1:$I$89,3,0)*0.475*44/12</f>
        <v>22.781288515592646</v>
      </c>
      <c r="AB109" s="21">
        <f>EXP(-LN(2)/2)*AB108+(1-EXP(-LN(2)/2))/(LN(2)/2)*V109*Y109*VLOOKUP('Données projet'!$B$9,Paramètres!$A$1:$I$89,3,0)*0.475*44/12</f>
        <v>4.7931191728632941E-10</v>
      </c>
      <c r="AC109" s="22">
        <f t="shared" si="57"/>
        <v>159.20949866916968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426.99999999999994</v>
      </c>
      <c r="AJ109" s="13">
        <f>AI109*VLOOKUP('Données projet'!$B$10,Paramètres!$A$1:$I$89,3,0)*VLOOKUP('Données projet'!$B$10,Paramètres!$A$1:$I$89,5,0)</f>
        <v>244.24399999999997</v>
      </c>
      <c r="AK109" s="13">
        <f t="shared" si="89"/>
        <v>59.351714130365565</v>
      </c>
      <c r="AL109" s="20">
        <f t="shared" si="58"/>
        <v>528.76253544371991</v>
      </c>
      <c r="AM109" s="59">
        <f t="shared" si="59"/>
        <v>565.42920211038654</v>
      </c>
      <c r="AN109" s="59">
        <f ca="1">AVERAGE(OFFSET($AM$3,0,0,'Données projet'!$E$10+1,1))-AVERAGE(OFFSET($H$3,0,0,'Données projet'!$E$10+1,1))</f>
        <v>302.26866345315602</v>
      </c>
      <c r="AO109" s="59">
        <f t="shared" si="90"/>
        <v>229.97213730997649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22.116964161033287</v>
      </c>
      <c r="AV109" s="21">
        <f>EXP(-LN(2)/25)*AV108+(1-EXP(-LN(2)/25))/(LN(2)/25)*Calculateur!AQ109*Calculateur!AS109*VLOOKUP('Données projet'!$B$10,Paramètres!$A$1:$I$89,3,0)*0.475*44/12</f>
        <v>9.9442673769277814</v>
      </c>
      <c r="AW109" s="21">
        <f>EXP(-LN(2)/2)*AW108+(1-EXP(-LN(2)/2))/(LN(2)/2)*AQ109*AT109*VLOOKUP('Données projet'!$B$10,Paramètres!$A$1:$I$89,3,0)*0.475*44/12</f>
        <v>4.8994753404397642E-10</v>
      </c>
      <c r="AX109" s="21">
        <f t="shared" si="60"/>
        <v>32.061231538451018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0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318.84317557630413</v>
      </c>
      <c r="T110" s="59">
        <f t="shared" si="88"/>
        <v>211.80440891545263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133.75293616498706</v>
      </c>
      <c r="AA110" s="21">
        <f>EXP(-LN(2)/25)*AA109+(1-EXP(-LN(2)/25))/(LN(2)/25)*Calculateur!V110*Calculateur!X110*VLOOKUP('Données projet'!$B$9,Paramètres!$A$1:$I$89,3,0)*0.475*44/12</f>
        <v>22.158332983117869</v>
      </c>
      <c r="AB110" s="21">
        <f>EXP(-LN(2)/2)*AB109+(1-EXP(-LN(2)/2))/(LN(2)/2)*V110*Y110*VLOOKUP('Données projet'!$B$9,Paramètres!$A$1:$I$89,3,0)*0.475*44/12</f>
        <v>3.3892470701668911E-10</v>
      </c>
      <c r="AC110" s="22">
        <f t="shared" si="57"/>
        <v>155.91126914844386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426.99999999999994</v>
      </c>
      <c r="AJ110" s="13">
        <f>AI110*VLOOKUP('Données projet'!$B$10,Paramètres!$A$1:$I$89,3,0)*VLOOKUP('Données projet'!$B$10,Paramètres!$A$1:$I$89,5,0)</f>
        <v>244.24399999999997</v>
      </c>
      <c r="AK110" s="13">
        <f t="shared" si="89"/>
        <v>59.351714130365565</v>
      </c>
      <c r="AL110" s="20">
        <f t="shared" si="58"/>
        <v>528.76253544371991</v>
      </c>
      <c r="AM110" s="59">
        <f t="shared" si="59"/>
        <v>565.42920211038654</v>
      </c>
      <c r="AN110" s="59">
        <f ca="1">AVERAGE(OFFSET($AM$3,0,0,'Données projet'!$E$10+1,1))-AVERAGE(OFFSET($H$3,0,0,'Données projet'!$E$10+1,1))</f>
        <v>302.26866345315602</v>
      </c>
      <c r="AO110" s="59">
        <f t="shared" si="90"/>
        <v>229.97213730997649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21.683263983851536</v>
      </c>
      <c r="AV110" s="21">
        <f>EXP(-LN(2)/25)*AV109+(1-EXP(-LN(2)/25))/(LN(2)/25)*Calculateur!AQ110*Calculateur!AS110*VLOOKUP('Données projet'!$B$10,Paramètres!$A$1:$I$89,3,0)*0.475*44/12</f>
        <v>9.6723408625593983</v>
      </c>
      <c r="AW110" s="21">
        <f>EXP(-LN(2)/2)*AW109+(1-EXP(-LN(2)/2))/(LN(2)/2)*AQ110*AT110*VLOOKUP('Données projet'!$B$10,Paramètres!$A$1:$I$89,3,0)*0.475*44/12</f>
        <v>3.4644522374812258E-10</v>
      </c>
      <c r="AX110" s="21">
        <f t="shared" si="60"/>
        <v>31.35560484675738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0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318.84317557630413</v>
      </c>
      <c r="T111" s="59">
        <f t="shared" si="88"/>
        <v>211.80440891545263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131.13012266802724</v>
      </c>
      <c r="AA111" s="21">
        <f>EXP(-LN(2)/25)*AA110+(1-EXP(-LN(2)/25))/(LN(2)/25)*Calculateur!V111*Calculateur!X111*VLOOKUP('Données projet'!$B$9,Paramètres!$A$1:$I$89,3,0)*0.475*44/12</f>
        <v>21.552412202438422</v>
      </c>
      <c r="AB111" s="21">
        <f>EXP(-LN(2)/2)*AB110+(1-EXP(-LN(2)/2))/(LN(2)/2)*V111*Y111*VLOOKUP('Données projet'!$B$9,Paramètres!$A$1:$I$89,3,0)*0.475*44/12</f>
        <v>2.396559586431647E-10</v>
      </c>
      <c r="AC111" s="22">
        <f t="shared" si="57"/>
        <v>152.68253487070533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426.99999999999994</v>
      </c>
      <c r="AJ111" s="13">
        <f>AI111*VLOOKUP('Données projet'!$B$10,Paramètres!$A$1:$I$89,3,0)*VLOOKUP('Données projet'!$B$10,Paramètres!$A$1:$I$89,5,0)</f>
        <v>244.24399999999997</v>
      </c>
      <c r="AK111" s="13">
        <f t="shared" si="89"/>
        <v>59.351714130365565</v>
      </c>
      <c r="AL111" s="20">
        <f t="shared" si="58"/>
        <v>528.76253544371991</v>
      </c>
      <c r="AM111" s="59">
        <f t="shared" si="59"/>
        <v>565.42920211038654</v>
      </c>
      <c r="AN111" s="59">
        <f ca="1">AVERAGE(OFFSET($AM$3,0,0,'Données projet'!$E$10+1,1))-AVERAGE(OFFSET($H$3,0,0,'Données projet'!$E$10+1,1))</f>
        <v>302.26866345315602</v>
      </c>
      <c r="AO111" s="59">
        <f t="shared" si="90"/>
        <v>229.97213730997649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21.258068402613329</v>
      </c>
      <c r="AV111" s="21">
        <f>EXP(-LN(2)/25)*AV110+(1-EXP(-LN(2)/25))/(LN(2)/25)*Calculateur!AQ111*Calculateur!AS111*VLOOKUP('Données projet'!$B$10,Paramètres!$A$1:$I$89,3,0)*0.475*44/12</f>
        <v>9.4078501930264125</v>
      </c>
      <c r="AW111" s="21">
        <f>EXP(-LN(2)/2)*AW110+(1-EXP(-LN(2)/2))/(LN(2)/2)*AQ111*AT111*VLOOKUP('Données projet'!$B$10,Paramètres!$A$1:$I$89,3,0)*0.475*44/12</f>
        <v>2.4497376702198821E-10</v>
      </c>
      <c r="AX111" s="21">
        <f t="shared" si="60"/>
        <v>30.665918595884715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0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318.84317557630413</v>
      </c>
      <c r="T112" s="59">
        <f t="shared" si="88"/>
        <v>211.80440891545263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128.55874094398453</v>
      </c>
      <c r="AA112" s="21">
        <f>EXP(-LN(2)/25)*AA111+(1-EXP(-LN(2)/25))/(LN(2)/25)*Calculateur!V112*Calculateur!X112*VLOOKUP('Données projet'!$B$9,Paramètres!$A$1:$I$89,3,0)*0.475*44/12</f>
        <v>20.963060357370644</v>
      </c>
      <c r="AB112" s="21">
        <f>EXP(-LN(2)/2)*AB111+(1-EXP(-LN(2)/2))/(LN(2)/2)*V112*Y112*VLOOKUP('Données projet'!$B$9,Paramètres!$A$1:$I$89,3,0)*0.475*44/12</f>
        <v>1.6946235350834455E-10</v>
      </c>
      <c r="AC112" s="22">
        <f t="shared" si="57"/>
        <v>149.52180130152462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426.99999999999994</v>
      </c>
      <c r="AJ112" s="13">
        <f>AI112*VLOOKUP('Données projet'!$B$10,Paramètres!$A$1:$I$89,3,0)*VLOOKUP('Données projet'!$B$10,Paramètres!$A$1:$I$89,5,0)</f>
        <v>244.24399999999997</v>
      </c>
      <c r="AK112" s="13">
        <f t="shared" si="89"/>
        <v>59.351714130365565</v>
      </c>
      <c r="AL112" s="20">
        <f t="shared" si="58"/>
        <v>528.76253544371991</v>
      </c>
      <c r="AM112" s="59">
        <f t="shared" si="59"/>
        <v>565.42920211038654</v>
      </c>
      <c r="AN112" s="59">
        <f ca="1">AVERAGE(OFFSET($AM$3,0,0,'Données projet'!$E$10+1,1))-AVERAGE(OFFSET($H$3,0,0,'Données projet'!$E$10+1,1))</f>
        <v>302.26866345315602</v>
      </c>
      <c r="AO112" s="59">
        <f t="shared" si="90"/>
        <v>229.97213730997649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20.841210647379508</v>
      </c>
      <c r="AV112" s="21">
        <f>EXP(-LN(2)/25)*AV111+(1-EXP(-LN(2)/25))/(LN(2)/25)*Calculateur!AQ112*Calculateur!AS112*VLOOKUP('Données projet'!$B$10,Paramètres!$A$1:$I$89,3,0)*0.475*44/12</f>
        <v>9.1505920347607663</v>
      </c>
      <c r="AW112" s="21">
        <f>EXP(-LN(2)/2)*AW111+(1-EXP(-LN(2)/2))/(LN(2)/2)*AQ112*AT112*VLOOKUP('Données projet'!$B$10,Paramètres!$A$1:$I$89,3,0)*0.475*44/12</f>
        <v>1.7322261187406129E-10</v>
      </c>
      <c r="AX112" s="21">
        <f t="shared" si="60"/>
        <v>29.991802682313498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0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318.84317557630413</v>
      </c>
      <c r="T113" s="59">
        <f t="shared" si="88"/>
        <v>211.80440891545263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126.03778244716231</v>
      </c>
      <c r="AA113" s="21">
        <f>EXP(-LN(2)/25)*AA112+(1-EXP(-LN(2)/25))/(LN(2)/25)*Calculateur!V113*Calculateur!X113*VLOOKUP('Données projet'!$B$9,Paramètres!$A$1:$I$89,3,0)*0.475*44/12</f>
        <v>20.389824369498911</v>
      </c>
      <c r="AB113" s="21">
        <f>EXP(-LN(2)/2)*AB112+(1-EXP(-LN(2)/2))/(LN(2)/2)*V113*Y113*VLOOKUP('Données projet'!$B$9,Paramètres!$A$1:$I$89,3,0)*0.475*44/12</f>
        <v>1.1982797932158235E-10</v>
      </c>
      <c r="AC113" s="22">
        <f t="shared" si="57"/>
        <v>146.42760681678106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426.99999999999994</v>
      </c>
      <c r="AJ113" s="13">
        <f>AI113*VLOOKUP('Données projet'!$B$10,Paramètres!$A$1:$I$89,3,0)*VLOOKUP('Données projet'!$B$10,Paramètres!$A$1:$I$89,5,0)</f>
        <v>244.24399999999997</v>
      </c>
      <c r="AK113" s="13">
        <f t="shared" si="89"/>
        <v>59.351714130365565</v>
      </c>
      <c r="AL113" s="20">
        <f t="shared" si="58"/>
        <v>528.76253544371991</v>
      </c>
      <c r="AM113" s="59">
        <f t="shared" si="59"/>
        <v>565.42920211038654</v>
      </c>
      <c r="AN113" s="59">
        <f ca="1">AVERAGE(OFFSET($AM$3,0,0,'Données projet'!$E$10+1,1))-AVERAGE(OFFSET($H$3,0,0,'Données projet'!$E$10+1,1))</f>
        <v>302.26866345315602</v>
      </c>
      <c r="AO113" s="59">
        <f t="shared" si="90"/>
        <v>229.97213730997649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20.432527218467698</v>
      </c>
      <c r="AV113" s="21">
        <f>EXP(-LN(2)/25)*AV112+(1-EXP(-LN(2)/25))/(LN(2)/25)*Calculateur!AQ113*Calculateur!AS113*VLOOKUP('Données projet'!$B$10,Paramètres!$A$1:$I$89,3,0)*0.475*44/12</f>
        <v>8.9003686143615113</v>
      </c>
      <c r="AW113" s="21">
        <f>EXP(-LN(2)/2)*AW112+(1-EXP(-LN(2)/2))/(LN(2)/2)*AQ113*AT113*VLOOKUP('Données projet'!$B$10,Paramètres!$A$1:$I$89,3,0)*0.475*44/12</f>
        <v>1.2248688351099411E-10</v>
      </c>
      <c r="AX113" s="21">
        <f t="shared" si="60"/>
        <v>29.332895832951696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0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318.84317557630413</v>
      </c>
      <c r="T114" s="59">
        <f t="shared" si="88"/>
        <v>211.80440891545263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123.56625840882994</v>
      </c>
      <c r="AA114" s="21">
        <f>EXP(-LN(2)/25)*AA113+(1-EXP(-LN(2)/25))/(LN(2)/25)*Calculateur!V114*Calculateur!X114*VLOOKUP('Données projet'!$B$9,Paramètres!$A$1:$I$89,3,0)*0.475*44/12</f>
        <v>19.832263549860702</v>
      </c>
      <c r="AB114" s="21">
        <f>EXP(-LN(2)/2)*AB113+(1-EXP(-LN(2)/2))/(LN(2)/2)*V114*Y114*VLOOKUP('Données projet'!$B$9,Paramètres!$A$1:$I$89,3,0)*0.475*44/12</f>
        <v>8.4731176754172277E-11</v>
      </c>
      <c r="AC114" s="22">
        <f t="shared" si="57"/>
        <v>143.39852195877538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426.99999999999994</v>
      </c>
      <c r="AJ114" s="13">
        <f>AI114*VLOOKUP('Données projet'!$B$10,Paramètres!$A$1:$I$89,3,0)*VLOOKUP('Données projet'!$B$10,Paramètres!$A$1:$I$89,5,0)</f>
        <v>244.24399999999997</v>
      </c>
      <c r="AK114" s="13">
        <f t="shared" si="89"/>
        <v>59.351714130365565</v>
      </c>
      <c r="AL114" s="20">
        <f t="shared" si="58"/>
        <v>528.76253544371991</v>
      </c>
      <c r="AM114" s="59">
        <f t="shared" si="59"/>
        <v>565.42920211038654</v>
      </c>
      <c r="AN114" s="59">
        <f ca="1">AVERAGE(OFFSET($AM$3,0,0,'Données projet'!$E$10+1,1))-AVERAGE(OFFSET($H$3,0,0,'Données projet'!$E$10+1,1))</f>
        <v>302.26866345315602</v>
      </c>
      <c r="AO114" s="59">
        <f t="shared" si="90"/>
        <v>229.97213730997649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20.031857822324568</v>
      </c>
      <c r="AV114" s="21">
        <f>EXP(-LN(2)/25)*AV113+(1-EXP(-LN(2)/25))/(LN(2)/25)*Calculateur!AQ114*Calculateur!AS114*VLOOKUP('Données projet'!$B$10,Paramètres!$A$1:$I$89,3,0)*0.475*44/12</f>
        <v>8.6569875665517522</v>
      </c>
      <c r="AW114" s="21">
        <f>EXP(-LN(2)/2)*AW113+(1-EXP(-LN(2)/2))/(LN(2)/2)*AQ114*AT114*VLOOKUP('Données projet'!$B$10,Paramètres!$A$1:$I$89,3,0)*0.475*44/12</f>
        <v>8.6611305937030646E-11</v>
      </c>
      <c r="AX114" s="21">
        <f t="shared" si="60"/>
        <v>28.688845388962932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0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318.84317557630413</v>
      </c>
      <c r="T115" s="59">
        <f t="shared" si="88"/>
        <v>211.80440891545263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121.14319944940844</v>
      </c>
      <c r="AA115" s="21">
        <f>EXP(-LN(2)/25)*AA114+(1-EXP(-LN(2)/25))/(LN(2)/25)*Calculateur!V115*Calculateur!X115*VLOOKUP('Données projet'!$B$9,Paramètres!$A$1:$I$89,3,0)*0.475*44/12</f>
        <v>19.289949260156348</v>
      </c>
      <c r="AB115" s="21">
        <f>EXP(-LN(2)/2)*AB114+(1-EXP(-LN(2)/2))/(LN(2)/2)*V115*Y115*VLOOKUP('Données projet'!$B$9,Paramètres!$A$1:$I$89,3,0)*0.475*44/12</f>
        <v>5.9913989660791176E-11</v>
      </c>
      <c r="AC115" s="22">
        <f t="shared" si="57"/>
        <v>140.4331487096247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426.99999999999994</v>
      </c>
      <c r="AJ115" s="13">
        <f>AI115*VLOOKUP('Données projet'!$B$10,Paramètres!$A$1:$I$89,3,0)*VLOOKUP('Données projet'!$B$10,Paramètres!$A$1:$I$89,5,0)</f>
        <v>244.24399999999997</v>
      </c>
      <c r="AK115" s="13">
        <f t="shared" si="89"/>
        <v>59.351714130365565</v>
      </c>
      <c r="AL115" s="20">
        <f t="shared" si="58"/>
        <v>528.76253544371991</v>
      </c>
      <c r="AM115" s="59">
        <f t="shared" si="59"/>
        <v>565.42920211038654</v>
      </c>
      <c r="AN115" s="59">
        <f ca="1">AVERAGE(OFFSET($AM$3,0,0,'Données projet'!$E$10+1,1))-AVERAGE(OFFSET($H$3,0,0,'Données projet'!$E$10+1,1))</f>
        <v>302.26866345315602</v>
      </c>
      <c r="AO115" s="59">
        <f t="shared" si="90"/>
        <v>229.97213730997649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19.639045308655604</v>
      </c>
      <c r="AV115" s="21">
        <f>EXP(-LN(2)/25)*AV114+(1-EXP(-LN(2)/25))/(LN(2)/25)*Calculateur!AQ115*Calculateur!AS115*VLOOKUP('Données projet'!$B$10,Paramètres!$A$1:$I$89,3,0)*0.475*44/12</f>
        <v>8.4202617862932048</v>
      </c>
      <c r="AW115" s="21">
        <f>EXP(-LN(2)/2)*AW114+(1-EXP(-LN(2)/2))/(LN(2)/2)*AQ115*AT115*VLOOKUP('Données projet'!$B$10,Paramètres!$A$1:$I$89,3,0)*0.475*44/12</f>
        <v>6.1243441755497053E-11</v>
      </c>
      <c r="AX115" s="21">
        <f t="shared" si="60"/>
        <v>28.059307095010048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0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318.84317557630413</v>
      </c>
      <c r="T116" s="59">
        <f t="shared" si="88"/>
        <v>211.80440891545263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118.76765519826117</v>
      </c>
      <c r="AA116" s="21">
        <f>EXP(-LN(2)/25)*AA115+(1-EXP(-LN(2)/25))/(LN(2)/25)*Calculateur!V116*Calculateur!X116*VLOOKUP('Données projet'!$B$9,Paramètres!$A$1:$I$89,3,0)*0.475*44/12</f>
        <v>18.762464583223029</v>
      </c>
      <c r="AB116" s="21">
        <f>EXP(-LN(2)/2)*AB115+(1-EXP(-LN(2)/2))/(LN(2)/2)*V116*Y116*VLOOKUP('Données projet'!$B$9,Paramètres!$A$1:$I$89,3,0)*0.475*44/12</f>
        <v>4.2365588377086138E-11</v>
      </c>
      <c r="AC116" s="22">
        <f t="shared" si="57"/>
        <v>137.53011978152657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426.99999999999994</v>
      </c>
      <c r="AJ116" s="13">
        <f>AI116*VLOOKUP('Données projet'!$B$10,Paramètres!$A$1:$I$89,3,0)*VLOOKUP('Données projet'!$B$10,Paramètres!$A$1:$I$89,5,0)</f>
        <v>244.24399999999997</v>
      </c>
      <c r="AK116" s="13">
        <f t="shared" si="89"/>
        <v>59.351714130365565</v>
      </c>
      <c r="AL116" s="20">
        <f t="shared" si="58"/>
        <v>528.76253544371991</v>
      </c>
      <c r="AM116" s="59">
        <f t="shared" si="59"/>
        <v>565.42920211038654</v>
      </c>
      <c r="AN116" s="59">
        <f ca="1">AVERAGE(OFFSET($AM$3,0,0,'Données projet'!$E$10+1,1))-AVERAGE(OFFSET($H$3,0,0,'Données projet'!$E$10+1,1))</f>
        <v>302.26866345315602</v>
      </c>
      <c r="AO116" s="59">
        <f t="shared" si="90"/>
        <v>229.97213730997649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19.253935608787714</v>
      </c>
      <c r="AV116" s="21">
        <f>EXP(-LN(2)/25)*AV115+(1-EXP(-LN(2)/25))/(LN(2)/25)*Calculateur!AQ116*Calculateur!AS116*VLOOKUP('Données projet'!$B$10,Paramètres!$A$1:$I$89,3,0)*0.475*44/12</f>
        <v>8.1900092849446953</v>
      </c>
      <c r="AW116" s="21">
        <f>EXP(-LN(2)/2)*AW115+(1-EXP(-LN(2)/2))/(LN(2)/2)*AQ116*AT116*VLOOKUP('Données projet'!$B$10,Paramètres!$A$1:$I$89,3,0)*0.475*44/12</f>
        <v>4.3305652968515323E-11</v>
      </c>
      <c r="AX116" s="21">
        <f t="shared" si="60"/>
        <v>27.443944893775711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0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318.84317557630413</v>
      </c>
      <c r="T117" s="59">
        <f t="shared" si="88"/>
        <v>211.80440891545263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116.43869392093997</v>
      </c>
      <c r="AA117" s="21">
        <f>EXP(-LN(2)/25)*AA116+(1-EXP(-LN(2)/25))/(LN(2)/25)*Calculateur!V117*Calculateur!X117*VLOOKUP('Données projet'!$B$9,Paramètres!$A$1:$I$89,3,0)*0.475*44/12</f>
        <v>18.249404002519665</v>
      </c>
      <c r="AB117" s="21">
        <f>EXP(-LN(2)/2)*AB116+(1-EXP(-LN(2)/2))/(LN(2)/2)*V117*Y117*VLOOKUP('Données projet'!$B$9,Paramètres!$A$1:$I$89,3,0)*0.475*44/12</f>
        <v>2.9956994830395588E-11</v>
      </c>
      <c r="AC117" s="22">
        <f t="shared" si="57"/>
        <v>134.68809792348958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426.99999999999994</v>
      </c>
      <c r="AJ117" s="13">
        <f>AI117*VLOOKUP('Données projet'!$B$10,Paramètres!$A$1:$I$89,3,0)*VLOOKUP('Données projet'!$B$10,Paramètres!$A$1:$I$89,5,0)</f>
        <v>244.24399999999997</v>
      </c>
      <c r="AK117" s="13">
        <f t="shared" si="89"/>
        <v>59.351714130365565</v>
      </c>
      <c r="AL117" s="20">
        <f t="shared" si="58"/>
        <v>528.76253544371991</v>
      </c>
      <c r="AM117" s="59">
        <f t="shared" si="59"/>
        <v>565.42920211038654</v>
      </c>
      <c r="AN117" s="59">
        <f ca="1">AVERAGE(OFFSET($AM$3,0,0,'Données projet'!$E$10+1,1))-AVERAGE(OFFSET($H$3,0,0,'Données projet'!$E$10+1,1))</f>
        <v>302.26866345315602</v>
      </c>
      <c r="AO117" s="59">
        <f t="shared" si="90"/>
        <v>229.97213730997649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18.876377675240509</v>
      </c>
      <c r="AV117" s="21">
        <f>EXP(-LN(2)/25)*AV116+(1-EXP(-LN(2)/25))/(LN(2)/25)*Calculateur!AQ117*Calculateur!AS117*VLOOKUP('Données projet'!$B$10,Paramètres!$A$1:$I$89,3,0)*0.475*44/12</f>
        <v>7.966053050354013</v>
      </c>
      <c r="AW117" s="21">
        <f>EXP(-LN(2)/2)*AW116+(1-EXP(-LN(2)/2))/(LN(2)/2)*AQ117*AT117*VLOOKUP('Données projet'!$B$10,Paramètres!$A$1:$I$89,3,0)*0.475*44/12</f>
        <v>3.0621720877748526E-11</v>
      </c>
      <c r="AX117" s="21">
        <f t="shared" si="60"/>
        <v>26.842430725625142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0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318.84317557630413</v>
      </c>
      <c r="T118" s="59">
        <f t="shared" si="88"/>
        <v>211.80440891545263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114.15540215374092</v>
      </c>
      <c r="AA118" s="21">
        <f>EXP(-LN(2)/25)*AA117+(1-EXP(-LN(2)/25))/(LN(2)/25)*Calculateur!V118*Calculateur!X118*VLOOKUP('Données projet'!$B$9,Paramètres!$A$1:$I$89,3,0)*0.475*44/12</f>
        <v>17.750373090376318</v>
      </c>
      <c r="AB118" s="21">
        <f>EXP(-LN(2)/2)*AB117+(1-EXP(-LN(2)/2))/(LN(2)/2)*V118*Y118*VLOOKUP('Données projet'!$B$9,Paramètres!$A$1:$I$89,3,0)*0.475*44/12</f>
        <v>2.1182794188543069E-11</v>
      </c>
      <c r="AC118" s="22">
        <f t="shared" si="57"/>
        <v>131.90577524413843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426.99999999999994</v>
      </c>
      <c r="AJ118" s="13">
        <f>AI118*VLOOKUP('Données projet'!$B$10,Paramètres!$A$1:$I$89,3,0)*VLOOKUP('Données projet'!$B$10,Paramètres!$A$1:$I$89,5,0)</f>
        <v>244.24399999999997</v>
      </c>
      <c r="AK118" s="13">
        <f t="shared" si="89"/>
        <v>59.351714130365565</v>
      </c>
      <c r="AL118" s="20">
        <f t="shared" si="58"/>
        <v>528.76253544371991</v>
      </c>
      <c r="AM118" s="59">
        <f t="shared" si="59"/>
        <v>565.42920211038654</v>
      </c>
      <c r="AN118" s="59">
        <f ca="1">AVERAGE(OFFSET($AM$3,0,0,'Données projet'!$E$10+1,1))-AVERAGE(OFFSET($H$3,0,0,'Données projet'!$E$10+1,1))</f>
        <v>302.26866345315602</v>
      </c>
      <c r="AO118" s="59">
        <f t="shared" si="90"/>
        <v>229.97213730997649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18.506223422482567</v>
      </c>
      <c r="AV118" s="21">
        <f>EXP(-LN(2)/25)*AV117+(1-EXP(-LN(2)/25))/(LN(2)/25)*Calculateur!AQ118*Calculateur!AS118*VLOOKUP('Données projet'!$B$10,Paramètres!$A$1:$I$89,3,0)*0.475*44/12</f>
        <v>7.7482209107755589</v>
      </c>
      <c r="AW118" s="21">
        <f>EXP(-LN(2)/2)*AW117+(1-EXP(-LN(2)/2))/(LN(2)/2)*AQ118*AT118*VLOOKUP('Données projet'!$B$10,Paramètres!$A$1:$I$89,3,0)*0.475*44/12</f>
        <v>2.1652826484257662E-11</v>
      </c>
      <c r="AX118" s="21">
        <f t="shared" si="60"/>
        <v>26.254444333279778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0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318.84317557630413</v>
      </c>
      <c r="T119" s="59">
        <f t="shared" si="88"/>
        <v>211.80440891545263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111.9168843454262</v>
      </c>
      <c r="AA119" s="21">
        <f>EXP(-LN(2)/25)*AA118+(1-EXP(-LN(2)/25))/(LN(2)/25)*Calculateur!V119*Calculateur!X119*VLOOKUP('Données projet'!$B$9,Paramètres!$A$1:$I$89,3,0)*0.475*44/12</f>
        <v>17.264988204768425</v>
      </c>
      <c r="AB119" s="21">
        <f>EXP(-LN(2)/2)*AB118+(1-EXP(-LN(2)/2))/(LN(2)/2)*V119*Y119*VLOOKUP('Données projet'!$B$9,Paramètres!$A$1:$I$89,3,0)*0.475*44/12</f>
        <v>1.4978497415197794E-11</v>
      </c>
      <c r="AC119" s="22">
        <f t="shared" si="57"/>
        <v>129.18187255020959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426.99999999999994</v>
      </c>
      <c r="AJ119" s="13">
        <f>AI119*VLOOKUP('Données projet'!$B$10,Paramètres!$A$1:$I$89,3,0)*VLOOKUP('Données projet'!$B$10,Paramètres!$A$1:$I$89,5,0)</f>
        <v>244.24399999999997</v>
      </c>
      <c r="AK119" s="13">
        <f t="shared" si="89"/>
        <v>59.351714130365565</v>
      </c>
      <c r="AL119" s="20">
        <f t="shared" si="58"/>
        <v>528.76253544371991</v>
      </c>
      <c r="AM119" s="59">
        <f t="shared" si="59"/>
        <v>565.42920211038654</v>
      </c>
      <c r="AN119" s="59">
        <f ca="1">AVERAGE(OFFSET($AM$3,0,0,'Données projet'!$E$10+1,1))-AVERAGE(OFFSET($H$3,0,0,'Données projet'!$E$10+1,1))</f>
        <v>302.26866345315602</v>
      </c>
      <c r="AO119" s="59">
        <f t="shared" si="90"/>
        <v>229.97213730997649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18.143327668849405</v>
      </c>
      <c r="AV119" s="21">
        <f>EXP(-LN(2)/25)*AV118+(1-EXP(-LN(2)/25))/(LN(2)/25)*Calculateur!AQ119*Calculateur!AS119*VLOOKUP('Données projet'!$B$10,Paramètres!$A$1:$I$89,3,0)*0.475*44/12</f>
        <v>7.5363454025091725</v>
      </c>
      <c r="AW119" s="21">
        <f>EXP(-LN(2)/2)*AW118+(1-EXP(-LN(2)/2))/(LN(2)/2)*AQ119*AT119*VLOOKUP('Données projet'!$B$10,Paramètres!$A$1:$I$89,3,0)*0.475*44/12</f>
        <v>1.5310860438874263E-11</v>
      </c>
      <c r="AX119" s="21">
        <f t="shared" si="60"/>
        <v>25.679673071373891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0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318.84317557630413</v>
      </c>
      <c r="T120" s="59">
        <f t="shared" si="88"/>
        <v>211.80440891545263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109.72226250597147</v>
      </c>
      <c r="AA120" s="21">
        <f>EXP(-LN(2)/25)*AA119+(1-EXP(-LN(2)/25))/(LN(2)/25)*Calculateur!V120*Calculateur!X120*VLOOKUP('Données projet'!$B$9,Paramètres!$A$1:$I$89,3,0)*0.475*44/12</f>
        <v>16.792876194382764</v>
      </c>
      <c r="AB120" s="21">
        <f>EXP(-LN(2)/2)*AB119+(1-EXP(-LN(2)/2))/(LN(2)/2)*V120*Y120*VLOOKUP('Données projet'!$B$9,Paramètres!$A$1:$I$89,3,0)*0.475*44/12</f>
        <v>1.0591397094271535E-11</v>
      </c>
      <c r="AC120" s="22">
        <f t="shared" si="57"/>
        <v>126.51513870036483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426.99999999999994</v>
      </c>
      <c r="AJ120" s="13">
        <f>AI120*VLOOKUP('Données projet'!$B$10,Paramètres!$A$1:$I$89,3,0)*VLOOKUP('Données projet'!$B$10,Paramètres!$A$1:$I$89,5,0)</f>
        <v>244.24399999999997</v>
      </c>
      <c r="AK120" s="13">
        <f t="shared" si="89"/>
        <v>59.351714130365565</v>
      </c>
      <c r="AL120" s="20">
        <f t="shared" si="58"/>
        <v>528.76253544371991</v>
      </c>
      <c r="AM120" s="59">
        <f t="shared" si="59"/>
        <v>565.42920211038654</v>
      </c>
      <c r="AN120" s="59">
        <f ca="1">AVERAGE(OFFSET($AM$3,0,0,'Données projet'!$E$10+1,1))-AVERAGE(OFFSET($H$3,0,0,'Données projet'!$E$10+1,1))</f>
        <v>302.26866345315602</v>
      </c>
      <c r="AO120" s="59">
        <f t="shared" si="90"/>
        <v>229.97213730997649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17.787548079600437</v>
      </c>
      <c r="AV120" s="21">
        <f>EXP(-LN(2)/25)*AV119+(1-EXP(-LN(2)/25))/(LN(2)/25)*Calculateur!AQ120*Calculateur!AS120*VLOOKUP('Données projet'!$B$10,Paramètres!$A$1:$I$89,3,0)*0.475*44/12</f>
        <v>7.3302636411583793</v>
      </c>
      <c r="AW120" s="21">
        <f>EXP(-LN(2)/2)*AW119+(1-EXP(-LN(2)/2))/(LN(2)/2)*AQ120*AT120*VLOOKUP('Données projet'!$B$10,Paramètres!$A$1:$I$89,3,0)*0.475*44/12</f>
        <v>1.0826413242128831E-11</v>
      </c>
      <c r="AX120" s="21">
        <f t="shared" si="60"/>
        <v>25.117811720769641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0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318.84317557630413</v>
      </c>
      <c r="T121" s="59">
        <f t="shared" si="88"/>
        <v>211.80440891545263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107.57067586220131</v>
      </c>
      <c r="AA121" s="21">
        <f>EXP(-LN(2)/25)*AA120+(1-EXP(-LN(2)/25))/(LN(2)/25)*Calculateur!V121*Calculateur!X121*VLOOKUP('Données projet'!$B$9,Paramètres!$A$1:$I$89,3,0)*0.475*44/12</f>
        <v>16.33367411174839</v>
      </c>
      <c r="AB121" s="21">
        <f>EXP(-LN(2)/2)*AB120+(1-EXP(-LN(2)/2))/(LN(2)/2)*V121*Y121*VLOOKUP('Données projet'!$B$9,Paramètres!$A$1:$I$89,3,0)*0.475*44/12</f>
        <v>7.489248707598897E-12</v>
      </c>
      <c r="AC121" s="22">
        <f t="shared" si="57"/>
        <v>123.9043499739572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426.99999999999994</v>
      </c>
      <c r="AJ121" s="13">
        <f>AI121*VLOOKUP('Données projet'!$B$10,Paramètres!$A$1:$I$89,3,0)*VLOOKUP('Données projet'!$B$10,Paramètres!$A$1:$I$89,5,0)</f>
        <v>244.24399999999997</v>
      </c>
      <c r="AK121" s="13">
        <f t="shared" si="89"/>
        <v>59.351714130365565</v>
      </c>
      <c r="AL121" s="20">
        <f t="shared" si="58"/>
        <v>528.76253544371991</v>
      </c>
      <c r="AM121" s="59">
        <f t="shared" si="59"/>
        <v>565.42920211038654</v>
      </c>
      <c r="AN121" s="59">
        <f ca="1">AVERAGE(OFFSET($AM$3,0,0,'Données projet'!$E$10+1,1))-AVERAGE(OFFSET($H$3,0,0,'Données projet'!$E$10+1,1))</f>
        <v>302.26866345315602</v>
      </c>
      <c r="AO121" s="59">
        <f t="shared" si="90"/>
        <v>229.97213730997649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17.438745111092519</v>
      </c>
      <c r="AV121" s="21">
        <f>EXP(-LN(2)/25)*AV120+(1-EXP(-LN(2)/25))/(LN(2)/25)*Calculateur!AQ121*Calculateur!AS121*VLOOKUP('Données projet'!$B$10,Paramètres!$A$1:$I$89,3,0)*0.475*44/12</f>
        <v>7.1298171964090917</v>
      </c>
      <c r="AW121" s="21">
        <f>EXP(-LN(2)/2)*AW120+(1-EXP(-LN(2)/2))/(LN(2)/2)*AQ121*AT121*VLOOKUP('Données projet'!$B$10,Paramètres!$A$1:$I$89,3,0)*0.475*44/12</f>
        <v>7.6554302194371316E-12</v>
      </c>
      <c r="AX121" s="21">
        <f t="shared" si="60"/>
        <v>24.568562307509268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0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318.84317557630413</v>
      </c>
      <c r="T122" s="59">
        <f t="shared" si="88"/>
        <v>211.80440891545263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105.46128052017721</v>
      </c>
      <c r="AA122" s="21">
        <f>EXP(-LN(2)/25)*AA121+(1-EXP(-LN(2)/25))/(LN(2)/25)*Calculateur!V122*Calculateur!X122*VLOOKUP('Données projet'!$B$9,Paramètres!$A$1:$I$89,3,0)*0.475*44/12</f>
        <v>15.88702893421204</v>
      </c>
      <c r="AB122" s="21">
        <f>EXP(-LN(2)/2)*AB121+(1-EXP(-LN(2)/2))/(LN(2)/2)*V122*Y122*VLOOKUP('Données projet'!$B$9,Paramètres!$A$1:$I$89,3,0)*0.475*44/12</f>
        <v>5.2956985471357673E-12</v>
      </c>
      <c r="AC122" s="22">
        <f t="shared" si="57"/>
        <v>121.34830945439455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426.99999999999994</v>
      </c>
      <c r="AJ122" s="13">
        <f>AI122*VLOOKUP('Données projet'!$B$10,Paramètres!$A$1:$I$89,3,0)*VLOOKUP('Données projet'!$B$10,Paramètres!$A$1:$I$89,5,0)</f>
        <v>244.24399999999997</v>
      </c>
      <c r="AK122" s="13">
        <f t="shared" si="89"/>
        <v>59.351714130365565</v>
      </c>
      <c r="AL122" s="20">
        <f t="shared" si="58"/>
        <v>528.76253544371991</v>
      </c>
      <c r="AM122" s="59">
        <f t="shared" si="59"/>
        <v>565.42920211038654</v>
      </c>
      <c r="AN122" s="59">
        <f ca="1">AVERAGE(OFFSET($AM$3,0,0,'Données projet'!$E$10+1,1))-AVERAGE(OFFSET($H$3,0,0,'Données projet'!$E$10+1,1))</f>
        <v>302.26866345315602</v>
      </c>
      <c r="AO122" s="59">
        <f t="shared" si="90"/>
        <v>229.97213730997649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17.096781956048236</v>
      </c>
      <c r="AV122" s="21">
        <f>EXP(-LN(2)/25)*AV121+(1-EXP(-LN(2)/25))/(LN(2)/25)*Calculateur!AQ122*Calculateur!AS122*VLOOKUP('Données projet'!$B$10,Paramètres!$A$1:$I$89,3,0)*0.475*44/12</f>
        <v>6.9348519702324944</v>
      </c>
      <c r="AW122" s="21">
        <f>EXP(-LN(2)/2)*AW121+(1-EXP(-LN(2)/2))/(LN(2)/2)*AQ122*AT122*VLOOKUP('Données projet'!$B$10,Paramètres!$A$1:$I$89,3,0)*0.475*44/12</f>
        <v>5.4132066210644154E-12</v>
      </c>
      <c r="AX122" s="21">
        <f t="shared" si="60"/>
        <v>24.031633926286144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0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318.84317557630413</v>
      </c>
      <c r="T123" s="59">
        <f t="shared" si="88"/>
        <v>211.80440891545263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103.39324913420609</v>
      </c>
      <c r="AA123" s="21">
        <f>EXP(-LN(2)/25)*AA122+(1-EXP(-LN(2)/25))/(LN(2)/25)*Calculateur!V123*Calculateur!X123*VLOOKUP('Données projet'!$B$9,Paramètres!$A$1:$I$89,3,0)*0.475*44/12</f>
        <v>15.452597292543471</v>
      </c>
      <c r="AB123" s="21">
        <f>EXP(-LN(2)/2)*AB122+(1-EXP(-LN(2)/2))/(LN(2)/2)*V123*Y123*VLOOKUP('Données projet'!$B$9,Paramètres!$A$1:$I$89,3,0)*0.475*44/12</f>
        <v>3.7446243537994485E-12</v>
      </c>
      <c r="AC123" s="22">
        <f t="shared" si="57"/>
        <v>118.84584642675331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426.99999999999994</v>
      </c>
      <c r="AJ123" s="13">
        <f>AI123*VLOOKUP('Données projet'!$B$10,Paramètres!$A$1:$I$89,3,0)*VLOOKUP('Données projet'!$B$10,Paramètres!$A$1:$I$89,5,0)</f>
        <v>244.24399999999997</v>
      </c>
      <c r="AK123" s="13">
        <f t="shared" si="89"/>
        <v>59.351714130365565</v>
      </c>
      <c r="AL123" s="20">
        <f t="shared" si="58"/>
        <v>528.76253544371991</v>
      </c>
      <c r="AM123" s="59">
        <f t="shared" si="59"/>
        <v>565.42920211038654</v>
      </c>
      <c r="AN123" s="59">
        <f ca="1">AVERAGE(OFFSET($AM$3,0,0,'Données projet'!$E$10+1,1))-AVERAGE(OFFSET($H$3,0,0,'Données projet'!$E$10+1,1))</f>
        <v>302.26866345315602</v>
      </c>
      <c r="AO123" s="59">
        <f t="shared" si="90"/>
        <v>229.97213730997649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16.761524489897443</v>
      </c>
      <c r="AV123" s="21">
        <f>EXP(-LN(2)/25)*AV122+(1-EXP(-LN(2)/25))/(LN(2)/25)*Calculateur!AQ123*Calculateur!AS123*VLOOKUP('Données projet'!$B$10,Paramètres!$A$1:$I$89,3,0)*0.475*44/12</f>
        <v>6.7452180784184712</v>
      </c>
      <c r="AW123" s="21">
        <f>EXP(-LN(2)/2)*AW122+(1-EXP(-LN(2)/2))/(LN(2)/2)*AQ123*AT123*VLOOKUP('Données projet'!$B$10,Paramètres!$A$1:$I$89,3,0)*0.475*44/12</f>
        <v>3.8277151097185658E-12</v>
      </c>
      <c r="AX123" s="21">
        <f t="shared" si="60"/>
        <v>23.506742568319741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0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318.84317557630413</v>
      </c>
      <c r="T124" s="59">
        <f t="shared" si="88"/>
        <v>211.80440891545263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101.36577058233925</v>
      </c>
      <c r="AA124" s="21">
        <f>EXP(-LN(2)/25)*AA123+(1-EXP(-LN(2)/25))/(LN(2)/25)*Calculateur!V124*Calculateur!X124*VLOOKUP('Données projet'!$B$9,Paramètres!$A$1:$I$89,3,0)*0.475*44/12</f>
        <v>15.030045206962095</v>
      </c>
      <c r="AB124" s="21">
        <f>EXP(-LN(2)/2)*AB123+(1-EXP(-LN(2)/2))/(LN(2)/2)*V124*Y124*VLOOKUP('Données projet'!$B$9,Paramètres!$A$1:$I$89,3,0)*0.475*44/12</f>
        <v>2.6478492735678836E-12</v>
      </c>
      <c r="AC124" s="22">
        <f t="shared" si="57"/>
        <v>116.395815789304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426.99999999999994</v>
      </c>
      <c r="AJ124" s="13">
        <f>AI124*VLOOKUP('Données projet'!$B$10,Paramètres!$A$1:$I$89,3,0)*VLOOKUP('Données projet'!$B$10,Paramètres!$A$1:$I$89,5,0)</f>
        <v>244.24399999999997</v>
      </c>
      <c r="AK124" s="13">
        <f t="shared" si="89"/>
        <v>59.351714130365565</v>
      </c>
      <c r="AL124" s="20">
        <f t="shared" si="58"/>
        <v>528.76253544371991</v>
      </c>
      <c r="AM124" s="59">
        <f t="shared" si="59"/>
        <v>565.42920211038654</v>
      </c>
      <c r="AN124" s="59">
        <f ca="1">AVERAGE(OFFSET($AM$3,0,0,'Données projet'!$E$10+1,1))-AVERAGE(OFFSET($H$3,0,0,'Données projet'!$E$10+1,1))</f>
        <v>302.26866345315602</v>
      </c>
      <c r="AO124" s="59">
        <f t="shared" si="90"/>
        <v>229.97213730997649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16.432841218171003</v>
      </c>
      <c r="AV124" s="21">
        <f>EXP(-LN(2)/25)*AV123+(1-EXP(-LN(2)/25))/(LN(2)/25)*Calculateur!AQ124*Calculateur!AS124*VLOOKUP('Données projet'!$B$10,Paramètres!$A$1:$I$89,3,0)*0.475*44/12</f>
        <v>6.5607697353485159</v>
      </c>
      <c r="AW124" s="21">
        <f>EXP(-LN(2)/2)*AW123+(1-EXP(-LN(2)/2))/(LN(2)/2)*AQ124*AT124*VLOOKUP('Données projet'!$B$10,Paramètres!$A$1:$I$89,3,0)*0.475*44/12</f>
        <v>2.7066033105322077E-12</v>
      </c>
      <c r="AX124" s="21">
        <f t="shared" si="60"/>
        <v>22.993610953522225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0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318.84317557630413</v>
      </c>
      <c r="T125" s="59">
        <f t="shared" si="88"/>
        <v>211.80440891545263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99.378049648234722</v>
      </c>
      <c r="AA125" s="21">
        <f>EXP(-LN(2)/25)*AA124+(1-EXP(-LN(2)/25))/(LN(2)/25)*Calculateur!V125*Calculateur!X125*VLOOKUP('Données projet'!$B$9,Paramètres!$A$1:$I$89,3,0)*0.475*44/12</f>
        <v>14.619047830381991</v>
      </c>
      <c r="AB125" s="21">
        <f>EXP(-LN(2)/2)*AB124+(1-EXP(-LN(2)/2))/(LN(2)/2)*V125*Y125*VLOOKUP('Données projet'!$B$9,Paramètres!$A$1:$I$89,3,0)*0.475*44/12</f>
        <v>1.8723121768997242E-12</v>
      </c>
      <c r="AC125" s="22">
        <f t="shared" si="57"/>
        <v>113.99709747861858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426.99999999999994</v>
      </c>
      <c r="AJ125" s="13">
        <f>AI125*VLOOKUP('Données projet'!$B$10,Paramètres!$A$1:$I$89,3,0)*VLOOKUP('Données projet'!$B$10,Paramètres!$A$1:$I$89,5,0)</f>
        <v>244.24399999999997</v>
      </c>
      <c r="AK125" s="13">
        <f t="shared" si="89"/>
        <v>59.351714130365565</v>
      </c>
      <c r="AL125" s="20">
        <f t="shared" si="58"/>
        <v>528.76253544371991</v>
      </c>
      <c r="AM125" s="59">
        <f t="shared" si="59"/>
        <v>565.42920211038654</v>
      </c>
      <c r="AN125" s="59">
        <f ca="1">AVERAGE(OFFSET($AM$3,0,0,'Données projet'!$E$10+1,1))-AVERAGE(OFFSET($H$3,0,0,'Données projet'!$E$10+1,1))</f>
        <v>302.26866345315602</v>
      </c>
      <c r="AO125" s="59">
        <f t="shared" si="90"/>
        <v>229.97213730997649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16.11060322492612</v>
      </c>
      <c r="AV125" s="21">
        <f>EXP(-LN(2)/25)*AV124+(1-EXP(-LN(2)/25))/(LN(2)/25)*Calculateur!AQ125*Calculateur!AS125*VLOOKUP('Données projet'!$B$10,Paramètres!$A$1:$I$89,3,0)*0.475*44/12</f>
        <v>6.3813651419195256</v>
      </c>
      <c r="AW125" s="21">
        <f>EXP(-LN(2)/2)*AW124+(1-EXP(-LN(2)/2))/(LN(2)/2)*AQ125*AT125*VLOOKUP('Données projet'!$B$10,Paramètres!$A$1:$I$89,3,0)*0.475*44/12</f>
        <v>1.9138575548592829E-12</v>
      </c>
      <c r="AX125" s="21">
        <f t="shared" si="60"/>
        <v>22.491968366847562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0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318.84317557630413</v>
      </c>
      <c r="T126" s="59">
        <f t="shared" si="88"/>
        <v>211.80440891545263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97.429306709257929</v>
      </c>
      <c r="AA126" s="21">
        <f>EXP(-LN(2)/25)*AA125+(1-EXP(-LN(2)/25))/(LN(2)/25)*Calculateur!V126*Calculateur!X126*VLOOKUP('Données projet'!$B$9,Paramètres!$A$1:$I$89,3,0)*0.475*44/12</f>
        <v>14.219289198677883</v>
      </c>
      <c r="AB126" s="21">
        <f>EXP(-LN(2)/2)*AB125+(1-EXP(-LN(2)/2))/(LN(2)/2)*V126*Y126*VLOOKUP('Données projet'!$B$9,Paramètres!$A$1:$I$89,3,0)*0.475*44/12</f>
        <v>1.3239246367839418E-12</v>
      </c>
      <c r="AC126" s="22">
        <f t="shared" si="57"/>
        <v>111.64859590793714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426.99999999999994</v>
      </c>
      <c r="AJ126" s="13">
        <f>AI126*VLOOKUP('Données projet'!$B$10,Paramètres!$A$1:$I$89,3,0)*VLOOKUP('Données projet'!$B$10,Paramètres!$A$1:$I$89,5,0)</f>
        <v>244.24399999999997</v>
      </c>
      <c r="AK126" s="13">
        <f t="shared" si="89"/>
        <v>59.351714130365565</v>
      </c>
      <c r="AL126" s="20">
        <f t="shared" si="58"/>
        <v>528.76253544371991</v>
      </c>
      <c r="AM126" s="59">
        <f t="shared" si="59"/>
        <v>565.42920211038654</v>
      </c>
      <c r="AN126" s="59">
        <f ca="1">AVERAGE(OFFSET($AM$3,0,0,'Données projet'!$E$10+1,1))-AVERAGE(OFFSET($H$3,0,0,'Données projet'!$E$10+1,1))</f>
        <v>302.26866345315602</v>
      </c>
      <c r="AO126" s="59">
        <f t="shared" si="90"/>
        <v>229.97213730997649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15.794684122183</v>
      </c>
      <c r="AV126" s="21">
        <f>EXP(-LN(2)/25)*AV125+(1-EXP(-LN(2)/25))/(LN(2)/25)*Calculateur!AQ126*Calculateur!AS126*VLOOKUP('Données projet'!$B$10,Paramètres!$A$1:$I$89,3,0)*0.475*44/12</f>
        <v>6.2068663765323286</v>
      </c>
      <c r="AW126" s="21">
        <f>EXP(-LN(2)/2)*AW125+(1-EXP(-LN(2)/2))/(LN(2)/2)*AQ126*AT126*VLOOKUP('Données projet'!$B$10,Paramètres!$A$1:$I$89,3,0)*0.475*44/12</f>
        <v>1.3533016552661038E-12</v>
      </c>
      <c r="AX126" s="21">
        <f t="shared" si="60"/>
        <v>22.001550498716682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0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318.84317557630413</v>
      </c>
      <c r="T127" s="59">
        <f t="shared" si="88"/>
        <v>211.80440891545263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95.518777430698648</v>
      </c>
      <c r="AA127" s="21">
        <f>EXP(-LN(2)/25)*AA126+(1-EXP(-LN(2)/25))/(LN(2)/25)*Calculateur!V127*Calculateur!X127*VLOOKUP('Données projet'!$B$9,Paramètres!$A$1:$I$89,3,0)*0.475*44/12</f>
        <v>13.830461987780115</v>
      </c>
      <c r="AB127" s="21">
        <f>EXP(-LN(2)/2)*AB126+(1-EXP(-LN(2)/2))/(LN(2)/2)*V127*Y127*VLOOKUP('Données projet'!$B$9,Paramètres!$A$1:$I$89,3,0)*0.475*44/12</f>
        <v>9.3615608844986212E-13</v>
      </c>
      <c r="AC127" s="22">
        <f t="shared" si="57"/>
        <v>109.3492394184797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426.99999999999994</v>
      </c>
      <c r="AJ127" s="13">
        <f>AI127*VLOOKUP('Données projet'!$B$10,Paramètres!$A$1:$I$89,3,0)*VLOOKUP('Données projet'!$B$10,Paramètres!$A$1:$I$89,5,0)</f>
        <v>244.24399999999997</v>
      </c>
      <c r="AK127" s="13">
        <f t="shared" si="89"/>
        <v>59.351714130365565</v>
      </c>
      <c r="AL127" s="20">
        <f t="shared" si="58"/>
        <v>528.76253544371991</v>
      </c>
      <c r="AM127" s="59">
        <f t="shared" si="59"/>
        <v>565.42920211038654</v>
      </c>
      <c r="AN127" s="59">
        <f ca="1">AVERAGE(OFFSET($AM$3,0,0,'Données projet'!$E$10+1,1))-AVERAGE(OFFSET($H$3,0,0,'Données projet'!$E$10+1,1))</f>
        <v>302.26866345315602</v>
      </c>
      <c r="AO127" s="59">
        <f t="shared" si="90"/>
        <v>229.97213730997649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15.484960000353047</v>
      </c>
      <c r="AV127" s="21">
        <f>EXP(-LN(2)/25)*AV126+(1-EXP(-LN(2)/25))/(LN(2)/25)*Calculateur!AQ127*Calculateur!AS127*VLOOKUP('Données projet'!$B$10,Paramètres!$A$1:$I$89,3,0)*0.475*44/12</f>
        <v>6.0371392890611357</v>
      </c>
      <c r="AW127" s="21">
        <f>EXP(-LN(2)/2)*AW126+(1-EXP(-LN(2)/2))/(LN(2)/2)*AQ127*AT127*VLOOKUP('Données projet'!$B$10,Paramètres!$A$1:$I$89,3,0)*0.475*44/12</f>
        <v>9.5692877742964145E-13</v>
      </c>
      <c r="AX127" s="21">
        <f t="shared" si="60"/>
        <v>21.522099289415138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0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318.84317557630413</v>
      </c>
      <c r="T128" s="59">
        <f t="shared" si="88"/>
        <v>211.80440891545263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93.645712465984118</v>
      </c>
      <c r="AA128" s="21">
        <f>EXP(-LN(2)/25)*AA127+(1-EXP(-LN(2)/25))/(LN(2)/25)*Calculateur!V128*Calculateur!X128*VLOOKUP('Données projet'!$B$9,Paramètres!$A$1:$I$89,3,0)*0.475*44/12</f>
        <v>13.452267277411883</v>
      </c>
      <c r="AB128" s="21">
        <f>EXP(-LN(2)/2)*AB127+(1-EXP(-LN(2)/2))/(LN(2)/2)*V128*Y128*VLOOKUP('Données projet'!$B$9,Paramètres!$A$1:$I$89,3,0)*0.475*44/12</f>
        <v>6.6196231839197091E-13</v>
      </c>
      <c r="AC128" s="22">
        <f t="shared" si="57"/>
        <v>107.09797974339666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426.99999999999994</v>
      </c>
      <c r="AJ128" s="13">
        <f>AI128*VLOOKUP('Données projet'!$B$10,Paramètres!$A$1:$I$89,3,0)*VLOOKUP('Données projet'!$B$10,Paramètres!$A$1:$I$89,5,0)</f>
        <v>244.24399999999997</v>
      </c>
      <c r="AK128" s="13">
        <f t="shared" si="89"/>
        <v>59.351714130365565</v>
      </c>
      <c r="AL128" s="20">
        <f t="shared" si="58"/>
        <v>528.76253544371991</v>
      </c>
      <c r="AM128" s="59">
        <f t="shared" si="59"/>
        <v>565.42920211038654</v>
      </c>
      <c r="AN128" s="59">
        <f ca="1">AVERAGE(OFFSET($AM$3,0,0,'Données projet'!$E$10+1,1))-AVERAGE(OFFSET($H$3,0,0,'Données projet'!$E$10+1,1))</f>
        <v>302.26866345315602</v>
      </c>
      <c r="AO128" s="59">
        <f t="shared" si="90"/>
        <v>229.97213730997649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15.181309379639117</v>
      </c>
      <c r="AV128" s="21">
        <f>EXP(-LN(2)/25)*AV127+(1-EXP(-LN(2)/25))/(LN(2)/25)*Calculateur!AQ128*Calculateur!AS128*VLOOKUP('Données projet'!$B$10,Paramètres!$A$1:$I$89,3,0)*0.475*44/12</f>
        <v>5.8720533977224019</v>
      </c>
      <c r="AW128" s="21">
        <f>EXP(-LN(2)/2)*AW127+(1-EXP(-LN(2)/2))/(LN(2)/2)*AQ128*AT128*VLOOKUP('Données projet'!$B$10,Paramètres!$A$1:$I$89,3,0)*0.475*44/12</f>
        <v>6.7665082763305192E-13</v>
      </c>
      <c r="AX128" s="21">
        <f t="shared" si="60"/>
        <v>21.053362777362196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0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318.84317557630413</v>
      </c>
      <c r="T129" s="59">
        <f t="shared" si="88"/>
        <v>211.80440891545263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91.809377162770815</v>
      </c>
      <c r="AA129" s="21">
        <f>EXP(-LN(2)/25)*AA128+(1-EXP(-LN(2)/25))/(LN(2)/25)*Calculateur!V129*Calculateur!X129*VLOOKUP('Données projet'!$B$9,Paramètres!$A$1:$I$89,3,0)*0.475*44/12</f>
        <v>13.084414321287065</v>
      </c>
      <c r="AB129" s="21">
        <f>EXP(-LN(2)/2)*AB128+(1-EXP(-LN(2)/2))/(LN(2)/2)*V129*Y129*VLOOKUP('Données projet'!$B$9,Paramètres!$A$1:$I$89,3,0)*0.475*44/12</f>
        <v>4.6807804422493106E-13</v>
      </c>
      <c r="AC129" s="22">
        <f t="shared" si="57"/>
        <v>104.89379148405835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426.99999999999994</v>
      </c>
      <c r="AJ129" s="13">
        <f>AI129*VLOOKUP('Données projet'!$B$10,Paramètres!$A$1:$I$89,3,0)*VLOOKUP('Données projet'!$B$10,Paramètres!$A$1:$I$89,5,0)</f>
        <v>244.24399999999997</v>
      </c>
      <c r="AK129" s="13">
        <f t="shared" si="89"/>
        <v>59.351714130365565</v>
      </c>
      <c r="AL129" s="20">
        <f t="shared" si="58"/>
        <v>528.76253544371991</v>
      </c>
      <c r="AM129" s="59">
        <f t="shared" si="59"/>
        <v>565.42920211038654</v>
      </c>
      <c r="AN129" s="59">
        <f ca="1">AVERAGE(OFFSET($AM$3,0,0,'Données projet'!$E$10+1,1))-AVERAGE(OFFSET($H$3,0,0,'Données projet'!$E$10+1,1))</f>
        <v>302.26866345315602</v>
      </c>
      <c r="AO129" s="59">
        <f t="shared" si="90"/>
        <v>229.97213730997649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14.883613162388798</v>
      </c>
      <c r="AV129" s="21">
        <f>EXP(-LN(2)/25)*AV128+(1-EXP(-LN(2)/25))/(LN(2)/25)*Calculateur!AQ129*Calculateur!AS129*VLOOKUP('Données projet'!$B$10,Paramètres!$A$1:$I$89,3,0)*0.475*44/12</f>
        <v>5.7114817887638152</v>
      </c>
      <c r="AW129" s="21">
        <f>EXP(-LN(2)/2)*AW128+(1-EXP(-LN(2)/2))/(LN(2)/2)*AQ129*AT129*VLOOKUP('Données projet'!$B$10,Paramètres!$A$1:$I$89,3,0)*0.475*44/12</f>
        <v>4.7846438871482072E-13</v>
      </c>
      <c r="AX129" s="21">
        <f t="shared" si="60"/>
        <v>20.595094951153094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0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318.84317557630413</v>
      </c>
      <c r="T130" s="59">
        <f t="shared" si="88"/>
        <v>211.80440891545263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90.009051274799589</v>
      </c>
      <c r="AA130" s="21">
        <f>EXP(-LN(2)/25)*AA129+(1-EXP(-LN(2)/25))/(LN(2)/25)*Calculateur!V130*Calculateur!X130*VLOOKUP('Données projet'!$B$9,Paramètres!$A$1:$I$89,3,0)*0.475*44/12</f>
        <v>12.726620323592027</v>
      </c>
      <c r="AB130" s="21">
        <f>EXP(-LN(2)/2)*AB129+(1-EXP(-LN(2)/2))/(LN(2)/2)*V130*Y130*VLOOKUP('Données projet'!$B$9,Paramètres!$A$1:$I$89,3,0)*0.475*44/12</f>
        <v>3.3098115919598546E-13</v>
      </c>
      <c r="AC130" s="22">
        <f t="shared" si="57"/>
        <v>102.73567159839195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426.99999999999994</v>
      </c>
      <c r="AJ130" s="13">
        <f>AI130*VLOOKUP('Données projet'!$B$10,Paramètres!$A$1:$I$89,3,0)*VLOOKUP('Données projet'!$B$10,Paramètres!$A$1:$I$89,5,0)</f>
        <v>244.24399999999997</v>
      </c>
      <c r="AK130" s="13">
        <f t="shared" si="89"/>
        <v>59.351714130365565</v>
      </c>
      <c r="AL130" s="20">
        <f t="shared" si="58"/>
        <v>528.76253544371991</v>
      </c>
      <c r="AM130" s="59">
        <f t="shared" si="59"/>
        <v>565.42920211038654</v>
      </c>
      <c r="AN130" s="59">
        <f ca="1">AVERAGE(OFFSET($AM$3,0,0,'Données projet'!$E$10+1,1))-AVERAGE(OFFSET($H$3,0,0,'Données projet'!$E$10+1,1))</f>
        <v>302.26866345315602</v>
      </c>
      <c r="AO130" s="59">
        <f t="shared" si="90"/>
        <v>229.97213730997649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14.591754586381994</v>
      </c>
      <c r="AV130" s="21">
        <f>EXP(-LN(2)/25)*AV129+(1-EXP(-LN(2)/25))/(LN(2)/25)*Calculateur!AQ130*Calculateur!AS130*VLOOKUP('Données projet'!$B$10,Paramètres!$A$1:$I$89,3,0)*0.475*44/12</f>
        <v>5.5553010188962952</v>
      </c>
      <c r="AW130" s="21">
        <f>EXP(-LN(2)/2)*AW129+(1-EXP(-LN(2)/2))/(LN(2)/2)*AQ130*AT130*VLOOKUP('Données projet'!$B$10,Paramètres!$A$1:$I$89,3,0)*0.475*44/12</f>
        <v>3.3832541381652596E-13</v>
      </c>
      <c r="AX130" s="21">
        <f t="shared" si="60"/>
        <v>20.147055605278627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0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318.84317557630413</v>
      </c>
      <c r="T131" s="59">
        <f t="shared" si="88"/>
        <v>211.80440891545263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88.244028679401112</v>
      </c>
      <c r="AA131" s="21">
        <f>EXP(-LN(2)/25)*AA130+(1-EXP(-LN(2)/25))/(LN(2)/25)*Calculateur!V131*Calculateur!X131*VLOOKUP('Données projet'!$B$9,Paramètres!$A$1:$I$89,3,0)*0.475*44/12</f>
        <v>12.378610221579526</v>
      </c>
      <c r="AB131" s="21">
        <f>EXP(-LN(2)/2)*AB130+(1-EXP(-LN(2)/2))/(LN(2)/2)*V131*Y131*VLOOKUP('Données projet'!$B$9,Paramètres!$A$1:$I$89,3,0)*0.475*44/12</f>
        <v>2.3403902211246553E-13</v>
      </c>
      <c r="AC131" s="22">
        <f t="shared" si="57"/>
        <v>100.62263890098086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426.99999999999994</v>
      </c>
      <c r="AJ131" s="13">
        <f>AI131*VLOOKUP('Données projet'!$B$10,Paramètres!$A$1:$I$89,3,0)*VLOOKUP('Données projet'!$B$10,Paramètres!$A$1:$I$89,5,0)</f>
        <v>244.24399999999997</v>
      </c>
      <c r="AK131" s="13">
        <f t="shared" si="89"/>
        <v>59.351714130365565</v>
      </c>
      <c r="AL131" s="20">
        <f t="shared" si="58"/>
        <v>528.76253544371991</v>
      </c>
      <c r="AM131" s="59">
        <f t="shared" si="59"/>
        <v>565.42920211038654</v>
      </c>
      <c r="AN131" s="59">
        <f ca="1">AVERAGE(OFFSET($AM$3,0,0,'Données projet'!$E$10+1,1))-AVERAGE(OFFSET($H$3,0,0,'Données projet'!$E$10+1,1))</f>
        <v>302.26866345315602</v>
      </c>
      <c r="AO131" s="59">
        <f t="shared" si="90"/>
        <v>229.97213730997649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14.30561917903453</v>
      </c>
      <c r="AV131" s="21">
        <f>EXP(-LN(2)/25)*AV130+(1-EXP(-LN(2)/25))/(LN(2)/25)*Calculateur!AQ131*Calculateur!AS131*VLOOKUP('Données projet'!$B$10,Paramètres!$A$1:$I$89,3,0)*0.475*44/12</f>
        <v>5.4033910203939923</v>
      </c>
      <c r="AW131" s="21">
        <f>EXP(-LN(2)/2)*AW130+(1-EXP(-LN(2)/2))/(LN(2)/2)*AQ131*AT131*VLOOKUP('Données projet'!$B$10,Paramètres!$A$1:$I$89,3,0)*0.475*44/12</f>
        <v>2.3923219435741036E-13</v>
      </c>
      <c r="AX131" s="21">
        <f t="shared" si="60"/>
        <v>19.709010199428761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0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318.84317557630413</v>
      </c>
      <c r="T132" s="59">
        <f t="shared" si="88"/>
        <v>211.80440891545263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86.513617100540912</v>
      </c>
      <c r="AA132" s="21">
        <f>EXP(-LN(2)/25)*AA131+(1-EXP(-LN(2)/25))/(LN(2)/25)*Calculateur!V132*Calculateur!X132*VLOOKUP('Données projet'!$B$9,Paramètres!$A$1:$I$89,3,0)*0.475*44/12</f>
        <v>12.040116474107615</v>
      </c>
      <c r="AB132" s="21">
        <f>EXP(-LN(2)/2)*AB131+(1-EXP(-LN(2)/2))/(LN(2)/2)*V132*Y132*VLOOKUP('Données projet'!$B$9,Paramètres!$A$1:$I$89,3,0)*0.475*44/12</f>
        <v>1.6549057959799273E-13</v>
      </c>
      <c r="AC132" s="22">
        <f t="shared" ref="AC132:AC153" si="111">SUM(Z132:AB132)</f>
        <v>98.553733574648703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426.99999999999994</v>
      </c>
      <c r="AJ132" s="13">
        <f>AI132*VLOOKUP('Données projet'!$B$10,Paramètres!$A$1:$I$89,3,0)*VLOOKUP('Données projet'!$B$10,Paramètres!$A$1:$I$89,5,0)</f>
        <v>244.24399999999997</v>
      </c>
      <c r="AK132" s="13">
        <f t="shared" si="89"/>
        <v>59.351714130365565</v>
      </c>
      <c r="AL132" s="20">
        <f t="shared" ref="AL132:AL153" si="112">(AJ132+AK132)*0.475*44/12</f>
        <v>528.76253544371991</v>
      </c>
      <c r="AM132" s="59">
        <f t="shared" ref="AM132:AM195" si="113">AL132+(AD132+AE132)*44/12</f>
        <v>565.42920211038654</v>
      </c>
      <c r="AN132" s="59">
        <f ca="1">AVERAGE(OFFSET($AM$3,0,0,'Données projet'!$E$10+1,1))-AVERAGE(OFFSET($H$3,0,0,'Données projet'!$E$10+1,1))</f>
        <v>302.26866345315602</v>
      </c>
      <c r="AO132" s="59">
        <f t="shared" si="90"/>
        <v>229.97213730997649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14.025094712499783</v>
      </c>
      <c r="AV132" s="21">
        <f>EXP(-LN(2)/25)*AV131+(1-EXP(-LN(2)/25))/(LN(2)/25)*Calculateur!AQ132*Calculateur!AS132*VLOOKUP('Données projet'!$B$10,Paramètres!$A$1:$I$89,3,0)*0.475*44/12</f>
        <v>5.2556350087893344</v>
      </c>
      <c r="AW132" s="21">
        <f>EXP(-LN(2)/2)*AW131+(1-EXP(-LN(2)/2))/(LN(2)/2)*AQ132*AT132*VLOOKUP('Données projet'!$B$10,Paramètres!$A$1:$I$89,3,0)*0.475*44/12</f>
        <v>1.6916270690826298E-13</v>
      </c>
      <c r="AX132" s="21">
        <f t="shared" ref="AX132:AX153" si="114">SUM(AU132:AW132)</f>
        <v>19.280729721289287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0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318.84317557630413</v>
      </c>
      <c r="T133" s="59">
        <f t="shared" ref="T133:T196" si="142">$T$3</f>
        <v>211.80440891545263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84.81713783729532</v>
      </c>
      <c r="AA133" s="21">
        <f>EXP(-LN(2)/25)*AA132+(1-EXP(-LN(2)/25))/(LN(2)/25)*Calculateur!V133*Calculateur!X133*VLOOKUP('Données projet'!$B$9,Paramètres!$A$1:$I$89,3,0)*0.475*44/12</f>
        <v>11.710878855960935</v>
      </c>
      <c r="AB133" s="21">
        <f>EXP(-LN(2)/2)*AB132+(1-EXP(-LN(2)/2))/(LN(2)/2)*V133*Y133*VLOOKUP('Données projet'!$B$9,Paramètres!$A$1:$I$89,3,0)*0.475*44/12</f>
        <v>1.1701951105623277E-13</v>
      </c>
      <c r="AC133" s="22">
        <f t="shared" si="111"/>
        <v>96.528016693256376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426.99999999999994</v>
      </c>
      <c r="AJ133" s="13">
        <f>AI133*VLOOKUP('Données projet'!$B$10,Paramètres!$A$1:$I$89,3,0)*VLOOKUP('Données projet'!$B$10,Paramètres!$A$1:$I$89,5,0)</f>
        <v>244.24399999999997</v>
      </c>
      <c r="AK133" s="13">
        <f t="shared" ref="AK133:AK153" si="143">EXP(-1.0587+0.8836*LN(AJ133)+0.284)</f>
        <v>59.351714130365565</v>
      </c>
      <c r="AL133" s="20">
        <f t="shared" si="112"/>
        <v>528.76253544371991</v>
      </c>
      <c r="AM133" s="59">
        <f t="shared" si="113"/>
        <v>565.42920211038654</v>
      </c>
      <c r="AN133" s="59">
        <f ca="1">AVERAGE(OFFSET($AM$3,0,0,'Données projet'!$E$10+1,1))-AVERAGE(OFFSET($H$3,0,0,'Données projet'!$E$10+1,1))</f>
        <v>302.26866345315602</v>
      </c>
      <c r="AO133" s="59">
        <f t="shared" ref="AO133:AO196" si="144">$AO$3</f>
        <v>229.97213730997649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13.750071159650753</v>
      </c>
      <c r="AV133" s="21">
        <f>EXP(-LN(2)/25)*AV132+(1-EXP(-LN(2)/25))/(LN(2)/25)*Calculateur!AQ133*Calculateur!AS133*VLOOKUP('Données projet'!$B$10,Paramètres!$A$1:$I$89,3,0)*0.475*44/12</f>
        <v>5.1119193930921565</v>
      </c>
      <c r="AW133" s="21">
        <f>EXP(-LN(2)/2)*AW132+(1-EXP(-LN(2)/2))/(LN(2)/2)*AQ133*AT133*VLOOKUP('Données projet'!$B$10,Paramètres!$A$1:$I$89,3,0)*0.475*44/12</f>
        <v>1.1961609717870518E-13</v>
      </c>
      <c r="AX133" s="21">
        <f t="shared" si="114"/>
        <v>18.86199055274303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0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318.84317557630413</v>
      </c>
      <c r="T134" s="59">
        <f t="shared" si="142"/>
        <v>211.80440891545263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83.153925497651798</v>
      </c>
      <c r="AA134" s="21">
        <f>EXP(-LN(2)/25)*AA133+(1-EXP(-LN(2)/25))/(LN(2)/25)*Calculateur!V134*Calculateur!X134*VLOOKUP('Données projet'!$B$9,Paramètres!$A$1:$I$89,3,0)*0.475*44/12</f>
        <v>11.39064425779633</v>
      </c>
      <c r="AB134" s="21">
        <f>EXP(-LN(2)/2)*AB133+(1-EXP(-LN(2)/2))/(LN(2)/2)*V134*Y134*VLOOKUP('Données projet'!$B$9,Paramètres!$A$1:$I$89,3,0)*0.475*44/12</f>
        <v>8.2745289798996364E-14</v>
      </c>
      <c r="AC134" s="22">
        <f t="shared" si="111"/>
        <v>94.544569755448208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426.99999999999994</v>
      </c>
      <c r="AJ134" s="13">
        <f>AI134*VLOOKUP('Données projet'!$B$10,Paramètres!$A$1:$I$89,3,0)*VLOOKUP('Données projet'!$B$10,Paramètres!$A$1:$I$89,5,0)</f>
        <v>244.24399999999997</v>
      </c>
      <c r="AK134" s="13">
        <f t="shared" si="143"/>
        <v>59.351714130365565</v>
      </c>
      <c r="AL134" s="20">
        <f t="shared" si="112"/>
        <v>528.76253544371991</v>
      </c>
      <c r="AM134" s="59">
        <f t="shared" si="113"/>
        <v>565.42920211038654</v>
      </c>
      <c r="AN134" s="59">
        <f ca="1">AVERAGE(OFFSET($AM$3,0,0,'Données projet'!$E$10+1,1))-AVERAGE(OFFSET($H$3,0,0,'Données projet'!$E$10+1,1))</f>
        <v>302.26866345315602</v>
      </c>
      <c r="AO134" s="59">
        <f t="shared" si="144"/>
        <v>229.97213730997649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13.48044065092529</v>
      </c>
      <c r="AV134" s="21">
        <f>EXP(-LN(2)/25)*AV133+(1-EXP(-LN(2)/25))/(LN(2)/25)*Calculateur!AQ134*Calculateur!AS134*VLOOKUP('Données projet'!$B$10,Paramètres!$A$1:$I$89,3,0)*0.475*44/12</f>
        <v>4.9721336884638943</v>
      </c>
      <c r="AW134" s="21">
        <f>EXP(-LN(2)/2)*AW133+(1-EXP(-LN(2)/2))/(LN(2)/2)*AQ134*AT134*VLOOKUP('Données projet'!$B$10,Paramètres!$A$1:$I$89,3,0)*0.475*44/12</f>
        <v>8.458135345413149E-14</v>
      </c>
      <c r="AX134" s="21">
        <f t="shared" si="114"/>
        <v>18.452574339389269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0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318.84317557630413</v>
      </c>
      <c r="T135" s="59">
        <f t="shared" si="142"/>
        <v>211.80440891545263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81.523327737529328</v>
      </c>
      <c r="AA135" s="21">
        <f>EXP(-LN(2)/25)*AA134+(1-EXP(-LN(2)/25))/(LN(2)/25)*Calculateur!V135*Calculateur!X135*VLOOKUP('Données projet'!$B$9,Paramètres!$A$1:$I$89,3,0)*0.475*44/12</f>
        <v>11.079166491558942</v>
      </c>
      <c r="AB135" s="21">
        <f>EXP(-LN(2)/2)*AB134+(1-EXP(-LN(2)/2))/(LN(2)/2)*V135*Y135*VLOOKUP('Données projet'!$B$9,Paramètres!$A$1:$I$89,3,0)*0.475*44/12</f>
        <v>5.8509755528116383E-14</v>
      </c>
      <c r="AC135" s="22">
        <f t="shared" si="111"/>
        <v>92.602494229088322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426.99999999999994</v>
      </c>
      <c r="AJ135" s="13">
        <f>AI135*VLOOKUP('Données projet'!$B$10,Paramètres!$A$1:$I$89,3,0)*VLOOKUP('Données projet'!$B$10,Paramètres!$A$1:$I$89,5,0)</f>
        <v>244.24399999999997</v>
      </c>
      <c r="AK135" s="13">
        <f t="shared" si="143"/>
        <v>59.351714130365565</v>
      </c>
      <c r="AL135" s="20">
        <f t="shared" si="112"/>
        <v>528.76253544371991</v>
      </c>
      <c r="AM135" s="59">
        <f t="shared" si="113"/>
        <v>565.42920211038654</v>
      </c>
      <c r="AN135" s="59">
        <f ca="1">AVERAGE(OFFSET($AM$3,0,0,'Données projet'!$E$10+1,1))-AVERAGE(OFFSET($H$3,0,0,'Données projet'!$E$10+1,1))</f>
        <v>302.26866345315602</v>
      </c>
      <c r="AO135" s="59">
        <f t="shared" si="144"/>
        <v>229.97213730997649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13.216097432017563</v>
      </c>
      <c r="AV135" s="21">
        <f>EXP(-LN(2)/25)*AV134+(1-EXP(-LN(2)/25))/(LN(2)/25)*Calculateur!AQ135*Calculateur!AS135*VLOOKUP('Données projet'!$B$10,Paramètres!$A$1:$I$89,3,0)*0.475*44/12</f>
        <v>4.8361704312797027</v>
      </c>
      <c r="AW135" s="21">
        <f>EXP(-LN(2)/2)*AW134+(1-EXP(-LN(2)/2))/(LN(2)/2)*AQ135*AT135*VLOOKUP('Données projet'!$B$10,Paramètres!$A$1:$I$89,3,0)*0.475*44/12</f>
        <v>5.980804858935259E-14</v>
      </c>
      <c r="AX135" s="21">
        <f t="shared" si="114"/>
        <v>18.052267863297327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0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318.84317557630413</v>
      </c>
      <c r="T136" s="59">
        <f t="shared" si="142"/>
        <v>211.80440891545263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79.924705004916433</v>
      </c>
      <c r="AA136" s="21">
        <f>EXP(-LN(2)/25)*AA135+(1-EXP(-LN(2)/25))/(LN(2)/25)*Calculateur!V136*Calculateur!X136*VLOOKUP('Données projet'!$B$9,Paramètres!$A$1:$I$89,3,0)*0.475*44/12</f>
        <v>10.776206101219218</v>
      </c>
      <c r="AB136" s="21">
        <f>EXP(-LN(2)/2)*AB135+(1-EXP(-LN(2)/2))/(LN(2)/2)*V136*Y136*VLOOKUP('Données projet'!$B$9,Paramètres!$A$1:$I$89,3,0)*0.475*44/12</f>
        <v>4.1372644899498182E-14</v>
      </c>
      <c r="AC136" s="22">
        <f t="shared" si="111"/>
        <v>90.700911106135692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426.99999999999994</v>
      </c>
      <c r="AJ136" s="13">
        <f>AI136*VLOOKUP('Données projet'!$B$10,Paramètres!$A$1:$I$89,3,0)*VLOOKUP('Données projet'!$B$10,Paramètres!$A$1:$I$89,5,0)</f>
        <v>244.24399999999997</v>
      </c>
      <c r="AK136" s="13">
        <f t="shared" si="143"/>
        <v>59.351714130365565</v>
      </c>
      <c r="AL136" s="20">
        <f t="shared" si="112"/>
        <v>528.76253544371991</v>
      </c>
      <c r="AM136" s="59">
        <f t="shared" si="113"/>
        <v>565.42920211038654</v>
      </c>
      <c r="AN136" s="59">
        <f ca="1">AVERAGE(OFFSET($AM$3,0,0,'Données projet'!$E$10+1,1))-AVERAGE(OFFSET($H$3,0,0,'Données projet'!$E$10+1,1))</f>
        <v>302.26866345315602</v>
      </c>
      <c r="AO136" s="59">
        <f t="shared" si="144"/>
        <v>229.97213730997649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12.956937822399171</v>
      </c>
      <c r="AV136" s="21">
        <f>EXP(-LN(2)/25)*AV135+(1-EXP(-LN(2)/25))/(LN(2)/25)*Calculateur!AQ136*Calculateur!AS136*VLOOKUP('Données projet'!$B$10,Paramètres!$A$1:$I$89,3,0)*0.475*44/12</f>
        <v>4.7039250965132098</v>
      </c>
      <c r="AW136" s="21">
        <f>EXP(-LN(2)/2)*AW135+(1-EXP(-LN(2)/2))/(LN(2)/2)*AQ136*AT136*VLOOKUP('Données projet'!$B$10,Paramètres!$A$1:$I$89,3,0)*0.475*44/12</f>
        <v>4.2290676727065745E-14</v>
      </c>
      <c r="AX136" s="21">
        <f t="shared" si="114"/>
        <v>17.660862918912422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0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318.84317557630413</v>
      </c>
      <c r="T137" s="59">
        <f t="shared" si="142"/>
        <v>211.80440891545263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78.357430289026482</v>
      </c>
      <c r="AA137" s="21">
        <f>EXP(-LN(2)/25)*AA136+(1-EXP(-LN(2)/25))/(LN(2)/25)*Calculateur!V137*Calculateur!X137*VLOOKUP('Données projet'!$B$9,Paramètres!$A$1:$I$89,3,0)*0.475*44/12</f>
        <v>10.481530178685329</v>
      </c>
      <c r="AB137" s="21">
        <f>EXP(-LN(2)/2)*AB136+(1-EXP(-LN(2)/2))/(LN(2)/2)*V137*Y137*VLOOKUP('Données projet'!$B$9,Paramètres!$A$1:$I$89,3,0)*0.475*44/12</f>
        <v>2.9254877764058191E-14</v>
      </c>
      <c r="AC137" s="22">
        <f t="shared" si="111"/>
        <v>88.838960467711843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426.99999999999994</v>
      </c>
      <c r="AJ137" s="13">
        <f>AI137*VLOOKUP('Données projet'!$B$10,Paramètres!$A$1:$I$89,3,0)*VLOOKUP('Données projet'!$B$10,Paramètres!$A$1:$I$89,5,0)</f>
        <v>244.24399999999997</v>
      </c>
      <c r="AK137" s="13">
        <f t="shared" si="143"/>
        <v>59.351714130365565</v>
      </c>
      <c r="AL137" s="20">
        <f t="shared" si="112"/>
        <v>528.76253544371991</v>
      </c>
      <c r="AM137" s="59">
        <f t="shared" si="113"/>
        <v>565.42920211038654</v>
      </c>
      <c r="AN137" s="59">
        <f ca="1">AVERAGE(OFFSET($AM$3,0,0,'Données projet'!$E$10+1,1))-AVERAGE(OFFSET($H$3,0,0,'Données projet'!$E$10+1,1))</f>
        <v>302.26866345315602</v>
      </c>
      <c r="AO137" s="59">
        <f t="shared" si="144"/>
        <v>229.97213730997649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12.702860174653644</v>
      </c>
      <c r="AV137" s="21">
        <f>EXP(-LN(2)/25)*AV136+(1-EXP(-LN(2)/25))/(LN(2)/25)*Calculateur!AQ137*Calculateur!AS137*VLOOKUP('Données projet'!$B$10,Paramètres!$A$1:$I$89,3,0)*0.475*44/12</f>
        <v>4.5752960173803858</v>
      </c>
      <c r="AW137" s="21">
        <f>EXP(-LN(2)/2)*AW136+(1-EXP(-LN(2)/2))/(LN(2)/2)*AQ137*AT137*VLOOKUP('Données projet'!$B$10,Paramètres!$A$1:$I$89,3,0)*0.475*44/12</f>
        <v>2.9904024294676295E-14</v>
      </c>
      <c r="AX137" s="21">
        <f t="shared" si="114"/>
        <v>17.278156192034057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0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318.84317557630413</v>
      </c>
      <c r="T138" s="59">
        <f t="shared" si="142"/>
        <v>211.80440891545263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76.820888874371946</v>
      </c>
      <c r="AA138" s="21">
        <f>EXP(-LN(2)/25)*AA137+(1-EXP(-LN(2)/25))/(LN(2)/25)*Calculateur!V138*Calculateur!X138*VLOOKUP('Données projet'!$B$9,Paramètres!$A$1:$I$89,3,0)*0.475*44/12</f>
        <v>10.194912184749462</v>
      </c>
      <c r="AB138" s="21">
        <f>EXP(-LN(2)/2)*AB137+(1-EXP(-LN(2)/2))/(LN(2)/2)*V138*Y138*VLOOKUP('Données projet'!$B$9,Paramètres!$A$1:$I$89,3,0)*0.475*44/12</f>
        <v>2.0686322449749091E-14</v>
      </c>
      <c r="AC138" s="22">
        <f t="shared" si="111"/>
        <v>87.015801059121415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426.99999999999994</v>
      </c>
      <c r="AJ138" s="13">
        <f>AI138*VLOOKUP('Données projet'!$B$10,Paramètres!$A$1:$I$89,3,0)*VLOOKUP('Données projet'!$B$10,Paramètres!$A$1:$I$89,5,0)</f>
        <v>244.24399999999997</v>
      </c>
      <c r="AK138" s="13">
        <f t="shared" si="143"/>
        <v>59.351714130365565</v>
      </c>
      <c r="AL138" s="20">
        <f t="shared" si="112"/>
        <v>528.76253544371991</v>
      </c>
      <c r="AM138" s="59">
        <f t="shared" si="113"/>
        <v>565.42920211038654</v>
      </c>
      <c r="AN138" s="59">
        <f ca="1">AVERAGE(OFFSET($AM$3,0,0,'Données projet'!$E$10+1,1))-AVERAGE(OFFSET($H$3,0,0,'Données projet'!$E$10+1,1))</f>
        <v>302.26866345315602</v>
      </c>
      <c r="AO138" s="59">
        <f t="shared" si="144"/>
        <v>229.97213730997649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12.453764834608343</v>
      </c>
      <c r="AV138" s="21">
        <f>EXP(-LN(2)/25)*AV137+(1-EXP(-LN(2)/25))/(LN(2)/25)*Calculateur!AQ138*Calculateur!AS138*VLOOKUP('Données projet'!$B$10,Paramètres!$A$1:$I$89,3,0)*0.475*44/12</f>
        <v>4.4501843071807583</v>
      </c>
      <c r="AW138" s="21">
        <f>EXP(-LN(2)/2)*AW137+(1-EXP(-LN(2)/2))/(LN(2)/2)*AQ138*AT138*VLOOKUP('Données projet'!$B$10,Paramètres!$A$1:$I$89,3,0)*0.475*44/12</f>
        <v>2.1145338363532873E-14</v>
      </c>
      <c r="AX138" s="21">
        <f t="shared" si="114"/>
        <v>16.903949141789123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0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318.84317557630413</v>
      </c>
      <c r="T139" s="59">
        <f t="shared" si="142"/>
        <v>211.80440891545263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75.314478099661073</v>
      </c>
      <c r="AA139" s="21">
        <f>EXP(-LN(2)/25)*AA138+(1-EXP(-LN(2)/25))/(LN(2)/25)*Calculateur!V139*Calculateur!X139*VLOOKUP('Données projet'!$B$9,Paramètres!$A$1:$I$89,3,0)*0.475*44/12</f>
        <v>9.9161317749303581</v>
      </c>
      <c r="AB139" s="21">
        <f>EXP(-LN(2)/2)*AB138+(1-EXP(-LN(2)/2))/(LN(2)/2)*V139*Y139*VLOOKUP('Données projet'!$B$9,Paramètres!$A$1:$I$89,3,0)*0.475*44/12</f>
        <v>1.4627438882029096E-14</v>
      </c>
      <c r="AC139" s="22">
        <f t="shared" si="111"/>
        <v>85.230609874591451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426.99999999999994</v>
      </c>
      <c r="AJ139" s="13">
        <f>AI139*VLOOKUP('Données projet'!$B$10,Paramètres!$A$1:$I$89,3,0)*VLOOKUP('Données projet'!$B$10,Paramètres!$A$1:$I$89,5,0)</f>
        <v>244.24399999999997</v>
      </c>
      <c r="AK139" s="13">
        <f t="shared" si="143"/>
        <v>59.351714130365565</v>
      </c>
      <c r="AL139" s="20">
        <f t="shared" si="112"/>
        <v>528.76253544371991</v>
      </c>
      <c r="AM139" s="59">
        <f t="shared" si="113"/>
        <v>565.42920211038654</v>
      </c>
      <c r="AN139" s="59">
        <f ca="1">AVERAGE(OFFSET($AM$3,0,0,'Données projet'!$E$10+1,1))-AVERAGE(OFFSET($H$3,0,0,'Données projet'!$E$10+1,1))</f>
        <v>302.26866345315602</v>
      </c>
      <c r="AO139" s="59">
        <f t="shared" si="144"/>
        <v>229.97213730997649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12.209554102248175</v>
      </c>
      <c r="AV139" s="21">
        <f>EXP(-LN(2)/25)*AV138+(1-EXP(-LN(2)/25))/(LN(2)/25)*Calculateur!AQ139*Calculateur!AS139*VLOOKUP('Données projet'!$B$10,Paramètres!$A$1:$I$89,3,0)*0.475*44/12</f>
        <v>4.3284937832758787</v>
      </c>
      <c r="AW139" s="21">
        <f>EXP(-LN(2)/2)*AW138+(1-EXP(-LN(2)/2))/(LN(2)/2)*AQ139*AT139*VLOOKUP('Données projet'!$B$10,Paramètres!$A$1:$I$89,3,0)*0.475*44/12</f>
        <v>1.4952012147338148E-14</v>
      </c>
      <c r="AX139" s="21">
        <f t="shared" si="114"/>
        <v>16.538047885524069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0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318.84317557630413</v>
      </c>
      <c r="T140" s="59">
        <f t="shared" si="142"/>
        <v>211.80440891545263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73.837607121422423</v>
      </c>
      <c r="AA140" s="21">
        <f>EXP(-LN(2)/25)*AA139+(1-EXP(-LN(2)/25))/(LN(2)/25)*Calculateur!V140*Calculateur!X140*VLOOKUP('Données projet'!$B$9,Paramètres!$A$1:$I$89,3,0)*0.475*44/12</f>
        <v>9.6449746300781811</v>
      </c>
      <c r="AB140" s="21">
        <f>EXP(-LN(2)/2)*AB139+(1-EXP(-LN(2)/2))/(LN(2)/2)*V140*Y140*VLOOKUP('Données projet'!$B$9,Paramètres!$A$1:$I$89,3,0)*0.475*44/12</f>
        <v>1.0343161224874545E-14</v>
      </c>
      <c r="AC140" s="22">
        <f t="shared" si="111"/>
        <v>83.482581751500618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426.99999999999994</v>
      </c>
      <c r="AJ140" s="13">
        <f>AI140*VLOOKUP('Données projet'!$B$10,Paramètres!$A$1:$I$89,3,0)*VLOOKUP('Données projet'!$B$10,Paramètres!$A$1:$I$89,5,0)</f>
        <v>244.24399999999997</v>
      </c>
      <c r="AK140" s="13">
        <f t="shared" si="143"/>
        <v>59.351714130365565</v>
      </c>
      <c r="AL140" s="20">
        <f t="shared" si="112"/>
        <v>528.76253544371991</v>
      </c>
      <c r="AM140" s="59">
        <f t="shared" si="113"/>
        <v>565.42920211038654</v>
      </c>
      <c r="AN140" s="59">
        <f ca="1">AVERAGE(OFFSET($AM$3,0,0,'Données projet'!$E$10+1,1))-AVERAGE(OFFSET($H$3,0,0,'Données projet'!$E$10+1,1))</f>
        <v>302.26866345315602</v>
      </c>
      <c r="AO140" s="59">
        <f t="shared" si="144"/>
        <v>229.97213730997649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11.970132193395751</v>
      </c>
      <c r="AV140" s="21">
        <f>EXP(-LN(2)/25)*AV139+(1-EXP(-LN(2)/25))/(LN(2)/25)*Calculateur!AQ140*Calculateur!AS140*VLOOKUP('Données projet'!$B$10,Paramètres!$A$1:$I$89,3,0)*0.475*44/12</f>
        <v>4.210130893146605</v>
      </c>
      <c r="AW140" s="21">
        <f>EXP(-LN(2)/2)*AW139+(1-EXP(-LN(2)/2))/(LN(2)/2)*AQ140*AT140*VLOOKUP('Données projet'!$B$10,Paramètres!$A$1:$I$89,3,0)*0.475*44/12</f>
        <v>1.0572669181766436E-14</v>
      </c>
      <c r="AX140" s="21">
        <f t="shared" si="114"/>
        <v>16.180263086542364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0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318.84317557630413</v>
      </c>
      <c r="T141" s="59">
        <f t="shared" si="142"/>
        <v>211.80440891545263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72.389696682264685</v>
      </c>
      <c r="AA141" s="21">
        <f>EXP(-LN(2)/25)*AA140+(1-EXP(-LN(2)/25))/(LN(2)/25)*Calculateur!V141*Calculateur!X141*VLOOKUP('Données projet'!$B$9,Paramètres!$A$1:$I$89,3,0)*0.475*44/12</f>
        <v>9.3812322916115214</v>
      </c>
      <c r="AB141" s="21">
        <f>EXP(-LN(2)/2)*AB140+(1-EXP(-LN(2)/2))/(LN(2)/2)*V141*Y141*VLOOKUP('Données projet'!$B$9,Paramètres!$A$1:$I$89,3,0)*0.475*44/12</f>
        <v>7.3137194410145478E-15</v>
      </c>
      <c r="AC141" s="22">
        <f t="shared" si="111"/>
        <v>81.770928973876224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426.99999999999994</v>
      </c>
      <c r="AJ141" s="13">
        <f>AI141*VLOOKUP('Données projet'!$B$10,Paramètres!$A$1:$I$89,3,0)*VLOOKUP('Données projet'!$B$10,Paramètres!$A$1:$I$89,5,0)</f>
        <v>244.24399999999997</v>
      </c>
      <c r="AK141" s="13">
        <f t="shared" si="143"/>
        <v>59.351714130365565</v>
      </c>
      <c r="AL141" s="20">
        <f t="shared" si="112"/>
        <v>528.76253544371991</v>
      </c>
      <c r="AM141" s="59">
        <f t="shared" si="113"/>
        <v>565.42920211038654</v>
      </c>
      <c r="AN141" s="59">
        <f ca="1">AVERAGE(OFFSET($AM$3,0,0,'Données projet'!$E$10+1,1))-AVERAGE(OFFSET($H$3,0,0,'Données projet'!$E$10+1,1))</f>
        <v>302.26866345315602</v>
      </c>
      <c r="AO141" s="59">
        <f t="shared" si="144"/>
        <v>229.97213730997649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11.735405202142978</v>
      </c>
      <c r="AV141" s="21">
        <f>EXP(-LN(2)/25)*AV140+(1-EXP(-LN(2)/25))/(LN(2)/25)*Calculateur!AQ141*Calculateur!AS141*VLOOKUP('Données projet'!$B$10,Paramètres!$A$1:$I$89,3,0)*0.475*44/12</f>
        <v>4.0950046424723494</v>
      </c>
      <c r="AW141" s="21">
        <f>EXP(-LN(2)/2)*AW140+(1-EXP(-LN(2)/2))/(LN(2)/2)*AQ141*AT141*VLOOKUP('Données projet'!$B$10,Paramètres!$A$1:$I$89,3,0)*0.475*44/12</f>
        <v>7.4760060736690738E-15</v>
      </c>
      <c r="AX141" s="21">
        <f t="shared" si="114"/>
        <v>15.830409844615335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0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318.84317557630413</v>
      </c>
      <c r="T142" s="59">
        <f t="shared" si="142"/>
        <v>211.80440891545263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70.970178883680674</v>
      </c>
      <c r="AA142" s="21">
        <f>EXP(-LN(2)/25)*AA141+(1-EXP(-LN(2)/25))/(LN(2)/25)*Calculateur!V142*Calculateur!X142*VLOOKUP('Données projet'!$B$9,Paramètres!$A$1:$I$89,3,0)*0.475*44/12</f>
        <v>9.1247020012598394</v>
      </c>
      <c r="AB142" s="21">
        <f>EXP(-LN(2)/2)*AB141+(1-EXP(-LN(2)/2))/(LN(2)/2)*V142*Y142*VLOOKUP('Données projet'!$B$9,Paramètres!$A$1:$I$89,3,0)*0.475*44/12</f>
        <v>5.1715806124372727E-15</v>
      </c>
      <c r="AC142" s="22">
        <f t="shared" si="111"/>
        <v>80.094880884940508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426.99999999999994</v>
      </c>
      <c r="AJ142" s="13">
        <f>AI142*VLOOKUP('Données projet'!$B$10,Paramètres!$A$1:$I$89,3,0)*VLOOKUP('Données projet'!$B$10,Paramètres!$A$1:$I$89,5,0)</f>
        <v>244.24399999999997</v>
      </c>
      <c r="AK142" s="13">
        <f t="shared" si="143"/>
        <v>59.351714130365565</v>
      </c>
      <c r="AL142" s="20">
        <f t="shared" si="112"/>
        <v>528.76253544371991</v>
      </c>
      <c r="AM142" s="59">
        <f t="shared" si="113"/>
        <v>565.42920211038654</v>
      </c>
      <c r="AN142" s="59">
        <f ca="1">AVERAGE(OFFSET($AM$3,0,0,'Données projet'!$E$10+1,1))-AVERAGE(OFFSET($H$3,0,0,'Données projet'!$E$10+1,1))</f>
        <v>302.26866345315602</v>
      </c>
      <c r="AO142" s="59">
        <f t="shared" si="144"/>
        <v>229.97213730997649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11.505281064019345</v>
      </c>
      <c r="AV142" s="21">
        <f>EXP(-LN(2)/25)*AV141+(1-EXP(-LN(2)/25))/(LN(2)/25)*Calculateur!AQ142*Calculateur!AS142*VLOOKUP('Données projet'!$B$10,Paramètres!$A$1:$I$89,3,0)*0.475*44/12</f>
        <v>3.9830265251770083</v>
      </c>
      <c r="AW142" s="21">
        <f>EXP(-LN(2)/2)*AW141+(1-EXP(-LN(2)/2))/(LN(2)/2)*AQ142*AT142*VLOOKUP('Données projet'!$B$10,Paramètres!$A$1:$I$89,3,0)*0.475*44/12</f>
        <v>5.2863345908832182E-15</v>
      </c>
      <c r="AX142" s="21">
        <f t="shared" si="114"/>
        <v>15.488307589196358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0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318.84317557630413</v>
      </c>
      <c r="T143" s="59">
        <f t="shared" si="142"/>
        <v>211.80440891545263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69.57849696330652</v>
      </c>
      <c r="AA143" s="21">
        <f>EXP(-LN(2)/25)*AA142+(1-EXP(-LN(2)/25))/(LN(2)/25)*Calculateur!V143*Calculateur!X143*VLOOKUP('Données projet'!$B$9,Paramètres!$A$1:$I$89,3,0)*0.475*44/12</f>
        <v>8.875186545188166</v>
      </c>
      <c r="AB143" s="21">
        <f>EXP(-LN(2)/2)*AB142+(1-EXP(-LN(2)/2))/(LN(2)/2)*V143*Y143*VLOOKUP('Données projet'!$B$9,Paramètres!$A$1:$I$89,3,0)*0.475*44/12</f>
        <v>3.6568597205072739E-15</v>
      </c>
      <c r="AC143" s="22">
        <f t="shared" si="111"/>
        <v>78.453683508494692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426.99999999999994</v>
      </c>
      <c r="AJ143" s="13">
        <f>AI143*VLOOKUP('Données projet'!$B$10,Paramètres!$A$1:$I$89,3,0)*VLOOKUP('Données projet'!$B$10,Paramètres!$A$1:$I$89,5,0)</f>
        <v>244.24399999999997</v>
      </c>
      <c r="AK143" s="13">
        <f t="shared" si="143"/>
        <v>59.351714130365565</v>
      </c>
      <c r="AL143" s="20">
        <f t="shared" si="112"/>
        <v>528.76253544371991</v>
      </c>
      <c r="AM143" s="59">
        <f t="shared" si="113"/>
        <v>565.42920211038654</v>
      </c>
      <c r="AN143" s="59">
        <f ca="1">AVERAGE(OFFSET($AM$3,0,0,'Données projet'!$E$10+1,1))-AVERAGE(OFFSET($H$3,0,0,'Données projet'!$E$10+1,1))</f>
        <v>302.26866345315602</v>
      </c>
      <c r="AO143" s="59">
        <f t="shared" si="144"/>
        <v>229.97213730997649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11.27966951988245</v>
      </c>
      <c r="AV143" s="21">
        <f>EXP(-LN(2)/25)*AV142+(1-EXP(-LN(2)/25))/(LN(2)/25)*Calculateur!AQ143*Calculateur!AS143*VLOOKUP('Données projet'!$B$10,Paramètres!$A$1:$I$89,3,0)*0.475*44/12</f>
        <v>3.8741104553877812</v>
      </c>
      <c r="AW143" s="21">
        <f>EXP(-LN(2)/2)*AW142+(1-EXP(-LN(2)/2))/(LN(2)/2)*AQ143*AT143*VLOOKUP('Données projet'!$B$10,Paramètres!$A$1:$I$89,3,0)*0.475*44/12</f>
        <v>3.7380030368345369E-15</v>
      </c>
      <c r="AX143" s="21">
        <f t="shared" si="114"/>
        <v>15.153779975270234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0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318.84317557630413</v>
      </c>
      <c r="T144" s="59">
        <f t="shared" si="142"/>
        <v>211.80440891545263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68.214105076548748</v>
      </c>
      <c r="AA144" s="21">
        <f>EXP(-LN(2)/25)*AA143+(1-EXP(-LN(2)/25))/(LN(2)/25)*Calculateur!V144*Calculateur!X144*VLOOKUP('Données projet'!$B$9,Paramètres!$A$1:$I$89,3,0)*0.475*44/12</f>
        <v>8.6324941023842197</v>
      </c>
      <c r="AB144" s="21">
        <f>EXP(-LN(2)/2)*AB143+(1-EXP(-LN(2)/2))/(LN(2)/2)*V144*Y144*VLOOKUP('Données projet'!$B$9,Paramètres!$A$1:$I$89,3,0)*0.475*44/12</f>
        <v>2.5857903062186364E-15</v>
      </c>
      <c r="AC144" s="22">
        <f t="shared" si="111"/>
        <v>76.846599178932962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426.99999999999994</v>
      </c>
      <c r="AJ144" s="13">
        <f>AI144*VLOOKUP('Données projet'!$B$10,Paramètres!$A$1:$I$89,3,0)*VLOOKUP('Données projet'!$B$10,Paramètres!$A$1:$I$89,5,0)</f>
        <v>244.24399999999997</v>
      </c>
      <c r="AK144" s="13">
        <f t="shared" si="143"/>
        <v>59.351714130365565</v>
      </c>
      <c r="AL144" s="20">
        <f t="shared" si="112"/>
        <v>528.76253544371991</v>
      </c>
      <c r="AM144" s="59">
        <f t="shared" si="113"/>
        <v>565.42920211038654</v>
      </c>
      <c r="AN144" s="59">
        <f ca="1">AVERAGE(OFFSET($AM$3,0,0,'Données projet'!$E$10+1,1))-AVERAGE(OFFSET($H$3,0,0,'Données projet'!$E$10+1,1))</f>
        <v>302.26866345315602</v>
      </c>
      <c r="AO144" s="59">
        <f t="shared" si="144"/>
        <v>229.97213730997649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11.058482080516626</v>
      </c>
      <c r="AV144" s="21">
        <f>EXP(-LN(2)/25)*AV143+(1-EXP(-LN(2)/25))/(LN(2)/25)*Calculateur!AQ144*Calculateur!AS144*VLOOKUP('Données projet'!$B$10,Paramètres!$A$1:$I$89,3,0)*0.475*44/12</f>
        <v>3.768172701254588</v>
      </c>
      <c r="AW144" s="21">
        <f>EXP(-LN(2)/2)*AW143+(1-EXP(-LN(2)/2))/(LN(2)/2)*AQ144*AT144*VLOOKUP('Données projet'!$B$10,Paramètres!$A$1:$I$89,3,0)*0.475*44/12</f>
        <v>2.6431672954416091E-15</v>
      </c>
      <c r="AX144" s="21">
        <f t="shared" si="114"/>
        <v>14.826654781771216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0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318.84317557630413</v>
      </c>
      <c r="T145" s="59">
        <f t="shared" si="142"/>
        <v>211.80440891545263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66.876468082493417</v>
      </c>
      <c r="AA145" s="21">
        <f>EXP(-LN(2)/25)*AA144+(1-EXP(-LN(2)/25))/(LN(2)/25)*Calculateur!V145*Calculateur!X145*VLOOKUP('Données projet'!$B$9,Paramètres!$A$1:$I$89,3,0)*0.475*44/12</f>
        <v>8.396438097191389</v>
      </c>
      <c r="AB145" s="21">
        <f>EXP(-LN(2)/2)*AB144+(1-EXP(-LN(2)/2))/(LN(2)/2)*V145*Y145*VLOOKUP('Données projet'!$B$9,Paramètres!$A$1:$I$89,3,0)*0.475*44/12</f>
        <v>1.828429860253637E-15</v>
      </c>
      <c r="AC145" s="22">
        <f t="shared" si="111"/>
        <v>75.27290617968481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426.99999999999994</v>
      </c>
      <c r="AJ145" s="13">
        <f>AI145*VLOOKUP('Données projet'!$B$10,Paramètres!$A$1:$I$89,3,0)*VLOOKUP('Données projet'!$B$10,Paramètres!$A$1:$I$89,5,0)</f>
        <v>244.24399999999997</v>
      </c>
      <c r="AK145" s="13">
        <f t="shared" si="143"/>
        <v>59.351714130365565</v>
      </c>
      <c r="AL145" s="20">
        <f t="shared" si="112"/>
        <v>528.76253544371991</v>
      </c>
      <c r="AM145" s="59">
        <f t="shared" si="113"/>
        <v>565.42920211038654</v>
      </c>
      <c r="AN145" s="59">
        <f ca="1">AVERAGE(OFFSET($AM$3,0,0,'Données projet'!$E$10+1,1))-AVERAGE(OFFSET($H$3,0,0,'Données projet'!$E$10+1,1))</f>
        <v>302.26866345315602</v>
      </c>
      <c r="AO145" s="59">
        <f t="shared" si="144"/>
        <v>229.97213730997649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10.84163199192575</v>
      </c>
      <c r="AV145" s="21">
        <f>EXP(-LN(2)/25)*AV144+(1-EXP(-LN(2)/25))/(LN(2)/25)*Calculateur!AQ145*Calculateur!AS145*VLOOKUP('Données projet'!$B$10,Paramètres!$A$1:$I$89,3,0)*0.475*44/12</f>
        <v>3.6651318205791914</v>
      </c>
      <c r="AW145" s="21">
        <f>EXP(-LN(2)/2)*AW144+(1-EXP(-LN(2)/2))/(LN(2)/2)*AQ145*AT145*VLOOKUP('Données projet'!$B$10,Paramètres!$A$1:$I$89,3,0)*0.475*44/12</f>
        <v>1.8690015184172685E-15</v>
      </c>
      <c r="AX145" s="21">
        <f t="shared" si="114"/>
        <v>14.506763812504943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0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318.84317557630413</v>
      </c>
      <c r="T146" s="59">
        <f t="shared" si="142"/>
        <v>211.80440891545263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65.565061334013507</v>
      </c>
      <c r="AA146" s="21">
        <f>EXP(-LN(2)/25)*AA145+(1-EXP(-LN(2)/25))/(LN(2)/25)*Calculateur!V146*Calculateur!X146*VLOOKUP('Données projet'!$B$9,Paramètres!$A$1:$I$89,3,0)*0.475*44/12</f>
        <v>8.1668370558742005</v>
      </c>
      <c r="AB146" s="21">
        <f>EXP(-LN(2)/2)*AB145+(1-EXP(-LN(2)/2))/(LN(2)/2)*V146*Y146*VLOOKUP('Données projet'!$B$9,Paramètres!$A$1:$I$89,3,0)*0.475*44/12</f>
        <v>1.2928951531093182E-15</v>
      </c>
      <c r="AC146" s="22">
        <f t="shared" si="111"/>
        <v>73.731898389887704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426.99999999999994</v>
      </c>
      <c r="AJ146" s="13">
        <f>AI146*VLOOKUP('Données projet'!$B$10,Paramètres!$A$1:$I$89,3,0)*VLOOKUP('Données projet'!$B$10,Paramètres!$A$1:$I$89,5,0)</f>
        <v>244.24399999999997</v>
      </c>
      <c r="AK146" s="13">
        <f t="shared" si="143"/>
        <v>59.351714130365565</v>
      </c>
      <c r="AL146" s="20">
        <f t="shared" si="112"/>
        <v>528.76253544371991</v>
      </c>
      <c r="AM146" s="59">
        <f t="shared" si="113"/>
        <v>565.42920211038654</v>
      </c>
      <c r="AN146" s="59">
        <f ca="1">AVERAGE(OFFSET($AM$3,0,0,'Données projet'!$E$10+1,1))-AVERAGE(OFFSET($H$3,0,0,'Données projet'!$E$10+1,1))</f>
        <v>302.26866345315602</v>
      </c>
      <c r="AO146" s="59">
        <f t="shared" si="144"/>
        <v>229.97213730997649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10.629034201306647</v>
      </c>
      <c r="AV146" s="21">
        <f>EXP(-LN(2)/25)*AV145+(1-EXP(-LN(2)/25))/(LN(2)/25)*Calculateur!AQ146*Calculateur!AS146*VLOOKUP('Données projet'!$B$10,Paramètres!$A$1:$I$89,3,0)*0.475*44/12</f>
        <v>3.5649085982045476</v>
      </c>
      <c r="AW146" s="21">
        <f>EXP(-LN(2)/2)*AW145+(1-EXP(-LN(2)/2))/(LN(2)/2)*AQ146*AT146*VLOOKUP('Données projet'!$B$10,Paramètres!$A$1:$I$89,3,0)*0.475*44/12</f>
        <v>1.3215836477208045E-15</v>
      </c>
      <c r="AX146" s="21">
        <f t="shared" si="114"/>
        <v>14.193942799511197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0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318.84317557630413</v>
      </c>
      <c r="T147" s="59">
        <f t="shared" si="142"/>
        <v>211.80440891545263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64.279370471992152</v>
      </c>
      <c r="AA147" s="21">
        <f>EXP(-LN(2)/25)*AA146+(1-EXP(-LN(2)/25))/(LN(2)/25)*Calculateur!V147*Calculateur!X147*VLOOKUP('Données projet'!$B$9,Paramètres!$A$1:$I$89,3,0)*0.475*44/12</f>
        <v>7.9435144671060254</v>
      </c>
      <c r="AB147" s="21">
        <f>EXP(-LN(2)/2)*AB146+(1-EXP(-LN(2)/2))/(LN(2)/2)*V147*Y147*VLOOKUP('Données projet'!$B$9,Paramètres!$A$1:$I$89,3,0)*0.475*44/12</f>
        <v>9.1421493012681848E-16</v>
      </c>
      <c r="AC147" s="22">
        <f t="shared" si="111"/>
        <v>72.222884939098179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426.99999999999994</v>
      </c>
      <c r="AJ147" s="13">
        <f>AI147*VLOOKUP('Données projet'!$B$10,Paramètres!$A$1:$I$89,3,0)*VLOOKUP('Données projet'!$B$10,Paramètres!$A$1:$I$89,5,0)</f>
        <v>244.24399999999997</v>
      </c>
      <c r="AK147" s="13">
        <f t="shared" si="143"/>
        <v>59.351714130365565</v>
      </c>
      <c r="AL147" s="20">
        <f t="shared" si="112"/>
        <v>528.76253544371991</v>
      </c>
      <c r="AM147" s="59">
        <f t="shared" si="113"/>
        <v>565.42920211038654</v>
      </c>
      <c r="AN147" s="59">
        <f ca="1">AVERAGE(OFFSET($AM$3,0,0,'Données projet'!$E$10+1,1))-AVERAGE(OFFSET($H$3,0,0,'Données projet'!$E$10+1,1))</f>
        <v>302.26866345315602</v>
      </c>
      <c r="AO147" s="59">
        <f t="shared" si="144"/>
        <v>229.97213730997649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10.420605323689736</v>
      </c>
      <c r="AV147" s="21">
        <f>EXP(-LN(2)/25)*AV146+(1-EXP(-LN(2)/25))/(LN(2)/25)*Calculateur!AQ147*Calculateur!AS147*VLOOKUP('Données projet'!$B$10,Paramètres!$A$1:$I$89,3,0)*0.475*44/12</f>
        <v>3.467425985116249</v>
      </c>
      <c r="AW147" s="21">
        <f>EXP(-LN(2)/2)*AW146+(1-EXP(-LN(2)/2))/(LN(2)/2)*AQ147*AT147*VLOOKUP('Données projet'!$B$10,Paramètres!$A$1:$I$89,3,0)*0.475*44/12</f>
        <v>9.3450075920863423E-16</v>
      </c>
      <c r="AX147" s="21">
        <f t="shared" si="114"/>
        <v>13.888031308805987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0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318.84317557630413</v>
      </c>
      <c r="T148" s="59">
        <f t="shared" si="142"/>
        <v>211.80440891545263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63.018891223581051</v>
      </c>
      <c r="AA148" s="21">
        <f>EXP(-LN(2)/25)*AA147+(1-EXP(-LN(2)/25))/(LN(2)/25)*Calculateur!V148*Calculateur!X148*VLOOKUP('Données projet'!$B$9,Paramètres!$A$1:$I$89,3,0)*0.475*44/12</f>
        <v>7.72629864627174</v>
      </c>
      <c r="AB148" s="21">
        <f>EXP(-LN(2)/2)*AB147+(1-EXP(-LN(2)/2))/(LN(2)/2)*V148*Y148*VLOOKUP('Données projet'!$B$9,Paramètres!$A$1:$I$89,3,0)*0.475*44/12</f>
        <v>6.4644757655465909E-16</v>
      </c>
      <c r="AC148" s="22">
        <f t="shared" si="111"/>
        <v>70.745189869852794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426.99999999999994</v>
      </c>
      <c r="AJ148" s="13">
        <f>AI148*VLOOKUP('Données projet'!$B$10,Paramètres!$A$1:$I$89,3,0)*VLOOKUP('Données projet'!$B$10,Paramètres!$A$1:$I$89,5,0)</f>
        <v>244.24399999999997</v>
      </c>
      <c r="AK148" s="13">
        <f t="shared" si="143"/>
        <v>59.351714130365565</v>
      </c>
      <c r="AL148" s="20">
        <f t="shared" si="112"/>
        <v>528.76253544371991</v>
      </c>
      <c r="AM148" s="59">
        <f t="shared" si="113"/>
        <v>565.42920211038654</v>
      </c>
      <c r="AN148" s="59">
        <f ca="1">AVERAGE(OFFSET($AM$3,0,0,'Données projet'!$E$10+1,1))-AVERAGE(OFFSET($H$3,0,0,'Données projet'!$E$10+1,1))</f>
        <v>302.26866345315602</v>
      </c>
      <c r="AO148" s="59">
        <f t="shared" si="144"/>
        <v>229.97213730997649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10.216263609233831</v>
      </c>
      <c r="AV148" s="21">
        <f>EXP(-LN(2)/25)*AV147+(1-EXP(-LN(2)/25))/(LN(2)/25)*Calculateur!AQ148*Calculateur!AS148*VLOOKUP('Données projet'!$B$10,Paramètres!$A$1:$I$89,3,0)*0.475*44/12</f>
        <v>3.3726090392092374</v>
      </c>
      <c r="AW148" s="21">
        <f>EXP(-LN(2)/2)*AW147+(1-EXP(-LN(2)/2))/(LN(2)/2)*AQ148*AT148*VLOOKUP('Données projet'!$B$10,Paramètres!$A$1:$I$89,3,0)*0.475*44/12</f>
        <v>6.6079182386040227E-16</v>
      </c>
      <c r="AX148" s="21">
        <f t="shared" si="114"/>
        <v>13.588872648443068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0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318.84317557630413</v>
      </c>
      <c r="T149" s="59">
        <f t="shared" si="142"/>
        <v>211.80440891545263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61.783129204414863</v>
      </c>
      <c r="AA149" s="21">
        <f>EXP(-LN(2)/25)*AA148+(1-EXP(-LN(2)/25))/(LN(2)/25)*Calculateur!V149*Calculateur!X149*VLOOKUP('Données projet'!$B$9,Paramètres!$A$1:$I$89,3,0)*0.475*44/12</f>
        <v>7.5150226034810519</v>
      </c>
      <c r="AB149" s="21">
        <f>EXP(-LN(2)/2)*AB148+(1-EXP(-LN(2)/2))/(LN(2)/2)*V149*Y149*VLOOKUP('Données projet'!$B$9,Paramètres!$A$1:$I$89,3,0)*0.475*44/12</f>
        <v>4.5710746506340924E-16</v>
      </c>
      <c r="AC149" s="22">
        <f t="shared" si="111"/>
        <v>69.29815180789592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426.99999999999994</v>
      </c>
      <c r="AJ149" s="13">
        <f>AI149*VLOOKUP('Données projet'!$B$10,Paramètres!$A$1:$I$89,3,0)*VLOOKUP('Données projet'!$B$10,Paramètres!$A$1:$I$89,5,0)</f>
        <v>244.24399999999997</v>
      </c>
      <c r="AK149" s="13">
        <f t="shared" si="143"/>
        <v>59.351714130365565</v>
      </c>
      <c r="AL149" s="20">
        <f t="shared" si="112"/>
        <v>528.76253544371991</v>
      </c>
      <c r="AM149" s="59">
        <f t="shared" si="113"/>
        <v>565.42920211038654</v>
      </c>
      <c r="AN149" s="59">
        <f ca="1">AVERAGE(OFFSET($AM$3,0,0,'Données projet'!$E$10+1,1))-AVERAGE(OFFSET($H$3,0,0,'Données projet'!$E$10+1,1))</f>
        <v>302.26866345315602</v>
      </c>
      <c r="AO149" s="59">
        <f t="shared" si="144"/>
        <v>229.97213730997649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10.015928911162266</v>
      </c>
      <c r="AV149" s="21">
        <f>EXP(-LN(2)/25)*AV148+(1-EXP(-LN(2)/25))/(LN(2)/25)*Calculateur!AQ149*Calculateur!AS149*VLOOKUP('Données projet'!$B$10,Paramètres!$A$1:$I$89,3,0)*0.475*44/12</f>
        <v>3.2803848676742597</v>
      </c>
      <c r="AW149" s="21">
        <f>EXP(-LN(2)/2)*AW148+(1-EXP(-LN(2)/2))/(LN(2)/2)*AQ149*AT149*VLOOKUP('Données projet'!$B$10,Paramètres!$A$1:$I$89,3,0)*0.475*44/12</f>
        <v>4.6725037960431711E-16</v>
      </c>
      <c r="AX149" s="21">
        <f t="shared" si="114"/>
        <v>13.296313778836526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0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318.84317557630413</v>
      </c>
      <c r="T150" s="59">
        <f t="shared" si="142"/>
        <v>211.80440891545263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60.571599724704114</v>
      </c>
      <c r="AA150" s="21">
        <f>EXP(-LN(2)/25)*AA149+(1-EXP(-LN(2)/25))/(LN(2)/25)*Calculateur!V150*Calculateur!X150*VLOOKUP('Données projet'!$B$9,Paramètres!$A$1:$I$89,3,0)*0.475*44/12</f>
        <v>7.3095239151909999</v>
      </c>
      <c r="AB150" s="21">
        <f>EXP(-LN(2)/2)*AB149+(1-EXP(-LN(2)/2))/(LN(2)/2)*V150*Y150*VLOOKUP('Données projet'!$B$9,Paramètres!$A$1:$I$89,3,0)*0.475*44/12</f>
        <v>3.2322378827732955E-16</v>
      </c>
      <c r="AC150" s="22">
        <f t="shared" si="111"/>
        <v>67.881123639895108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426.99999999999994</v>
      </c>
      <c r="AJ150" s="13">
        <f>AI150*VLOOKUP('Données projet'!$B$10,Paramètres!$A$1:$I$89,3,0)*VLOOKUP('Données projet'!$B$10,Paramètres!$A$1:$I$89,5,0)</f>
        <v>244.24399999999997</v>
      </c>
      <c r="AK150" s="13">
        <f t="shared" si="143"/>
        <v>59.351714130365565</v>
      </c>
      <c r="AL150" s="20">
        <f t="shared" si="112"/>
        <v>528.76253544371991</v>
      </c>
      <c r="AM150" s="59">
        <f t="shared" si="113"/>
        <v>565.42920211038654</v>
      </c>
      <c r="AN150" s="59">
        <f ca="1">AVERAGE(OFFSET($AM$3,0,0,'Données projet'!$E$10+1,1))-AVERAGE(OFFSET($H$3,0,0,'Données projet'!$E$10+1,1))</f>
        <v>302.26866345315602</v>
      </c>
      <c r="AO150" s="59">
        <f t="shared" si="144"/>
        <v>229.97213730997649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9.8195226543277858</v>
      </c>
      <c r="AV150" s="21">
        <f>EXP(-LN(2)/25)*AV149+(1-EXP(-LN(2)/25))/(LN(2)/25)*Calculateur!AQ150*Calculateur!AS150*VLOOKUP('Données projet'!$B$10,Paramètres!$A$1:$I$89,3,0)*0.475*44/12</f>
        <v>3.1906825709597642</v>
      </c>
      <c r="AW150" s="21">
        <f>EXP(-LN(2)/2)*AW149+(1-EXP(-LN(2)/2))/(LN(2)/2)*AQ150*AT150*VLOOKUP('Données projet'!$B$10,Paramètres!$A$1:$I$89,3,0)*0.475*44/12</f>
        <v>3.3039591193020113E-16</v>
      </c>
      <c r="AX150" s="21">
        <f t="shared" si="114"/>
        <v>13.01020522528755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0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318.84317557630413</v>
      </c>
      <c r="T151" s="59">
        <f t="shared" si="142"/>
        <v>211.80440891545263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59.383827599130477</v>
      </c>
      <c r="AA151" s="21">
        <f>EXP(-LN(2)/25)*AA150+(1-EXP(-LN(2)/25))/(LN(2)/25)*Calculateur!V151*Calculateur!X151*VLOOKUP('Données projet'!$B$9,Paramètres!$A$1:$I$89,3,0)*0.475*44/12</f>
        <v>7.109644599338945</v>
      </c>
      <c r="AB151" s="21">
        <f>EXP(-LN(2)/2)*AB150+(1-EXP(-LN(2)/2))/(LN(2)/2)*V151*Y151*VLOOKUP('Données projet'!$B$9,Paramètres!$A$1:$I$89,3,0)*0.475*44/12</f>
        <v>2.2855373253170462E-16</v>
      </c>
      <c r="AC151" s="22">
        <f t="shared" si="111"/>
        <v>66.493472198469419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426.99999999999994</v>
      </c>
      <c r="AJ151" s="13">
        <f>AI151*VLOOKUP('Données projet'!$B$10,Paramètres!$A$1:$I$89,3,0)*VLOOKUP('Données projet'!$B$10,Paramètres!$A$1:$I$89,5,0)</f>
        <v>244.24399999999997</v>
      </c>
      <c r="AK151" s="13">
        <f t="shared" si="143"/>
        <v>59.351714130365565</v>
      </c>
      <c r="AL151" s="20">
        <f t="shared" si="112"/>
        <v>528.76253544371991</v>
      </c>
      <c r="AM151" s="59">
        <f t="shared" si="113"/>
        <v>565.42920211038654</v>
      </c>
      <c r="AN151" s="59">
        <f ca="1">AVERAGE(OFFSET($AM$3,0,0,'Données projet'!$E$10+1,1))-AVERAGE(OFFSET($H$3,0,0,'Données projet'!$E$10+1,1))</f>
        <v>302.26866345315602</v>
      </c>
      <c r="AO151" s="59">
        <f t="shared" si="144"/>
        <v>229.97213730997649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9.6269678043938409</v>
      </c>
      <c r="AV151" s="21">
        <f>EXP(-LN(2)/25)*AV150+(1-EXP(-LN(2)/25))/(LN(2)/25)*Calculateur!AQ151*Calculateur!AS151*VLOOKUP('Données projet'!$B$10,Paramètres!$A$1:$I$89,3,0)*0.475*44/12</f>
        <v>3.1034331882661652</v>
      </c>
      <c r="AW151" s="21">
        <f>EXP(-LN(2)/2)*AW150+(1-EXP(-LN(2)/2))/(LN(2)/2)*AQ151*AT151*VLOOKUP('Données projet'!$B$10,Paramètres!$A$1:$I$89,3,0)*0.475*44/12</f>
        <v>2.3362518980215856E-16</v>
      </c>
      <c r="AX151" s="21">
        <f t="shared" si="114"/>
        <v>12.730400992660005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0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318.84317557630413</v>
      </c>
      <c r="T152" s="59">
        <f t="shared" si="142"/>
        <v>211.80440891545263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58.219346960469878</v>
      </c>
      <c r="AA152" s="21">
        <f>EXP(-LN(2)/25)*AA151+(1-EXP(-LN(2)/25))/(LN(2)/25)*Calculateur!V152*Calculateur!X152*VLOOKUP('Données projet'!$B$9,Paramètres!$A$1:$I$89,3,0)*0.475*44/12</f>
        <v>6.9152309938900611</v>
      </c>
      <c r="AB152" s="21">
        <f>EXP(-LN(2)/2)*AB151+(1-EXP(-LN(2)/2))/(LN(2)/2)*V152*Y152*VLOOKUP('Données projet'!$B$9,Paramètres!$A$1:$I$89,3,0)*0.475*44/12</f>
        <v>1.6161189413866477E-16</v>
      </c>
      <c r="AC152" s="22">
        <f t="shared" si="111"/>
        <v>65.134577954359941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426.99999999999994</v>
      </c>
      <c r="AJ152" s="13">
        <f>AI152*VLOOKUP('Données projet'!$B$10,Paramètres!$A$1:$I$89,3,0)*VLOOKUP('Données projet'!$B$10,Paramètres!$A$1:$I$89,5,0)</f>
        <v>244.24399999999997</v>
      </c>
      <c r="AK152" s="13">
        <f t="shared" si="143"/>
        <v>59.351714130365565</v>
      </c>
      <c r="AL152" s="20">
        <f t="shared" si="112"/>
        <v>528.76253544371991</v>
      </c>
      <c r="AM152" s="59">
        <f t="shared" si="113"/>
        <v>565.42920211038654</v>
      </c>
      <c r="AN152" s="59">
        <f ca="1">AVERAGE(OFFSET($AM$3,0,0,'Données projet'!$E$10+1,1))-AVERAGE(OFFSET($H$3,0,0,'Données projet'!$E$10+1,1))</f>
        <v>302.26866345315602</v>
      </c>
      <c r="AO152" s="59">
        <f t="shared" si="144"/>
        <v>229.97213730997649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9.4381888376202401</v>
      </c>
      <c r="AV152" s="21">
        <f>EXP(-LN(2)/25)*AV151+(1-EXP(-LN(2)/25))/(LN(2)/25)*Calculateur!AQ152*Calculateur!AS152*VLOOKUP('Données projet'!$B$10,Paramètres!$A$1:$I$89,3,0)*0.475*44/12</f>
        <v>3.0185696445305688</v>
      </c>
      <c r="AW152" s="21">
        <f>EXP(-LN(2)/2)*AW151+(1-EXP(-LN(2)/2))/(LN(2)/2)*AQ152*AT152*VLOOKUP('Données projet'!$B$10,Paramètres!$A$1:$I$89,3,0)*0.475*44/12</f>
        <v>1.6519795596510057E-16</v>
      </c>
      <c r="AX152" s="21">
        <f t="shared" si="114"/>
        <v>12.456758482150809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0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318.84317557630413</v>
      </c>
      <c r="T153" s="59">
        <f t="shared" si="142"/>
        <v>211.80440891545263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57.077701076870362</v>
      </c>
      <c r="AA153" s="21">
        <f>EXP(-LN(2)/25)*AA152+(1-EXP(-LN(2)/25))/(LN(2)/25)*Calculateur!V153*Calculateur!X153*VLOOKUP('Données projet'!$B$9,Paramètres!$A$1:$I$89,3,0)*0.475*44/12</f>
        <v>6.7261336387059441</v>
      </c>
      <c r="AB153" s="21">
        <f>EXP(-LN(2)/2)*AB152+(1-EXP(-LN(2)/2))/(LN(2)/2)*V153*Y153*VLOOKUP('Données projet'!$B$9,Paramètres!$A$1:$I$89,3,0)*0.475*44/12</f>
        <v>1.1427686626585231E-16</v>
      </c>
      <c r="AC153" s="22">
        <f t="shared" si="111"/>
        <v>63.803834715576308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426.99999999999994</v>
      </c>
      <c r="AJ153" s="13">
        <f>AI153*VLOOKUP('Données projet'!$B$10,Paramètres!$A$1:$I$89,3,0)*VLOOKUP('Données projet'!$B$10,Paramètres!$A$1:$I$89,5,0)</f>
        <v>244.24399999999997</v>
      </c>
      <c r="AK153" s="13">
        <f t="shared" si="143"/>
        <v>59.351714130365565</v>
      </c>
      <c r="AL153" s="20">
        <f t="shared" si="112"/>
        <v>528.76253544371991</v>
      </c>
      <c r="AM153" s="59">
        <f t="shared" si="113"/>
        <v>565.42920211038654</v>
      </c>
      <c r="AN153" s="59">
        <f ca="1">AVERAGE(OFFSET($AM$3,0,0,'Données projet'!$E$10+1,1))-AVERAGE(OFFSET($H$3,0,0,'Données projet'!$E$10+1,1))</f>
        <v>302.26866345315602</v>
      </c>
      <c r="AO153" s="59">
        <f t="shared" si="144"/>
        <v>229.97213730997649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9.2531117112412691</v>
      </c>
      <c r="AV153" s="21">
        <f>EXP(-LN(2)/25)*AV152+(1-EXP(-LN(2)/25))/(LN(2)/25)*Calculateur!AQ153*Calculateur!AS153*VLOOKUP('Données projet'!$B$10,Paramètres!$A$1:$I$89,3,0)*0.475*44/12</f>
        <v>2.9360266988612018</v>
      </c>
      <c r="AW153" s="21">
        <f>EXP(-LN(2)/2)*AW152+(1-EXP(-LN(2)/2))/(LN(2)/2)*AQ153*AT153*VLOOKUP('Données projet'!$B$10,Paramètres!$A$1:$I$89,3,0)*0.475*44/12</f>
        <v>1.1681259490107928E-16</v>
      </c>
      <c r="AX153" s="21">
        <f t="shared" si="114"/>
        <v>12.189138410102471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0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318.84317557630413</v>
      </c>
      <c r="T154" s="59">
        <f t="shared" si="142"/>
        <v>211.80440891545263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55.958442172712999</v>
      </c>
      <c r="AA154" s="21">
        <f>EXP(-LN(2)/25)*AA153+(1-EXP(-LN(2)/25))/(LN(2)/25)*Calculateur!V154*Calculateur!X154*VLOOKUP('Données projet'!$B$9,Paramètres!$A$1:$I$89,3,0)*0.475*44/12</f>
        <v>6.5422071606435344</v>
      </c>
      <c r="AB154" s="21">
        <f>EXP(-LN(2)/2)*AB153+(1-EXP(-LN(2)/2))/(LN(2)/2)*V154*Y154*VLOOKUP('Données projet'!$B$9,Paramètres!$A$1:$I$89,3,0)*0.475*44/12</f>
        <v>8.0805947069332387E-17</v>
      </c>
      <c r="AC154" s="22">
        <f t="shared" ref="AC154:AC203" si="163">SUM(Z154:AB154)</f>
        <v>62.500649333356534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426.99999999999994</v>
      </c>
      <c r="AJ154" s="13">
        <f>AI154*VLOOKUP('Données projet'!$B$10,Paramètres!$A$1:$I$89,3,0)*VLOOKUP('Données projet'!$B$10,Paramètres!$A$1:$I$89,5,0)</f>
        <v>244.24399999999997</v>
      </c>
      <c r="AK154" s="13">
        <f t="shared" ref="AK154:AK203" si="164">EXP(-1.0587+0.8836*LN(AJ154)+0.284)</f>
        <v>59.351714130365565</v>
      </c>
      <c r="AL154" s="20">
        <f t="shared" ref="AL154:AL203" si="165">(AJ154+AK154)*0.475*44/12</f>
        <v>528.76253544371991</v>
      </c>
      <c r="AM154" s="59">
        <f t="shared" si="113"/>
        <v>565.42920211038654</v>
      </c>
      <c r="AN154" s="59">
        <f ca="1">AVERAGE(OFFSET($AM$3,0,0,'Données projet'!$E$10+1,1))-AVERAGE(OFFSET($H$3,0,0,'Données projet'!$E$10+1,1))</f>
        <v>302.26866345315602</v>
      </c>
      <c r="AO154" s="59">
        <f t="shared" si="144"/>
        <v>229.97213730997649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9.0716638344246885</v>
      </c>
      <c r="AV154" s="21">
        <f>EXP(-LN(2)/25)*AV153+(1-EXP(-LN(2)/25))/(LN(2)/25)*Calculateur!AQ154*Calculateur!AS154*VLOOKUP('Données projet'!$B$10,Paramètres!$A$1:$I$89,3,0)*0.475*44/12</f>
        <v>2.8557408943819085</v>
      </c>
      <c r="AW154" s="21">
        <f>EXP(-LN(2)/2)*AW153+(1-EXP(-LN(2)/2))/(LN(2)/2)*AQ154*AT154*VLOOKUP('Données projet'!$B$10,Paramètres!$A$1:$I$89,3,0)*0.475*44/12</f>
        <v>8.2598977982550284E-17</v>
      </c>
      <c r="AX154" s="21">
        <f t="shared" ref="AX154:AX203" si="166">SUM(AU154:AW154)</f>
        <v>11.927404728806597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0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318.84317557630413</v>
      </c>
      <c r="T155" s="59">
        <f t="shared" si="142"/>
        <v>211.80440891545263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54.861131252985636</v>
      </c>
      <c r="AA155" s="21">
        <f>EXP(-LN(2)/25)*AA154+(1-EXP(-LN(2)/25))/(LN(2)/25)*Calculateur!V155*Calculateur!X155*VLOOKUP('Données projet'!$B$9,Paramètres!$A$1:$I$89,3,0)*0.475*44/12</f>
        <v>6.3633101617960151</v>
      </c>
      <c r="AB155" s="21">
        <f>EXP(-LN(2)/2)*AB154+(1-EXP(-LN(2)/2))/(LN(2)/2)*V155*Y155*VLOOKUP('Données projet'!$B$9,Paramètres!$A$1:$I$89,3,0)*0.475*44/12</f>
        <v>5.7138433132926155E-17</v>
      </c>
      <c r="AC155" s="22">
        <f t="shared" si="163"/>
        <v>61.224441414781651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426.99999999999994</v>
      </c>
      <c r="AJ155" s="13">
        <f>AI155*VLOOKUP('Données projet'!$B$10,Paramètres!$A$1:$I$89,3,0)*VLOOKUP('Données projet'!$B$10,Paramètres!$A$1:$I$89,5,0)</f>
        <v>244.24399999999997</v>
      </c>
      <c r="AK155" s="13">
        <f t="shared" si="164"/>
        <v>59.351714130365565</v>
      </c>
      <c r="AL155" s="20">
        <f t="shared" si="165"/>
        <v>528.76253544371991</v>
      </c>
      <c r="AM155" s="59">
        <f t="shared" si="113"/>
        <v>565.42920211038654</v>
      </c>
      <c r="AN155" s="59">
        <f ca="1">AVERAGE(OFFSET($AM$3,0,0,'Données projet'!$E$10+1,1))-AVERAGE(OFFSET($H$3,0,0,'Données projet'!$E$10+1,1))</f>
        <v>302.26866345315602</v>
      </c>
      <c r="AO155" s="59">
        <f t="shared" si="144"/>
        <v>229.97213730997649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8.8937740398002045</v>
      </c>
      <c r="AV155" s="21">
        <f>EXP(-LN(2)/25)*AV154+(1-EXP(-LN(2)/25))/(LN(2)/25)*Calculateur!AQ155*Calculateur!AS155*VLOOKUP('Données projet'!$B$10,Paramètres!$A$1:$I$89,3,0)*0.475*44/12</f>
        <v>2.7776505094481485</v>
      </c>
      <c r="AW155" s="21">
        <f>EXP(-LN(2)/2)*AW154+(1-EXP(-LN(2)/2))/(LN(2)/2)*AQ155*AT155*VLOOKUP('Données projet'!$B$10,Paramètres!$A$1:$I$89,3,0)*0.475*44/12</f>
        <v>5.8406297450539639E-17</v>
      </c>
      <c r="AX155" s="21">
        <f t="shared" si="166"/>
        <v>11.671424549248353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0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318.84317557630413</v>
      </c>
      <c r="T156" s="59">
        <f t="shared" si="142"/>
        <v>211.80440891545263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53.785337931100557</v>
      </c>
      <c r="AA156" s="21">
        <f>EXP(-LN(2)/25)*AA155+(1-EXP(-LN(2)/25))/(LN(2)/25)*Calculateur!V156*Calculateur!X156*VLOOKUP('Données projet'!$B$9,Paramètres!$A$1:$I$89,3,0)*0.475*44/12</f>
        <v>6.189305110789765</v>
      </c>
      <c r="AB156" s="21">
        <f>EXP(-LN(2)/2)*AB155+(1-EXP(-LN(2)/2))/(LN(2)/2)*V156*Y156*VLOOKUP('Données projet'!$B$9,Paramètres!$A$1:$I$89,3,0)*0.475*44/12</f>
        <v>4.0402973534666193E-17</v>
      </c>
      <c r="AC156" s="22">
        <f t="shared" si="163"/>
        <v>59.974643041890324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426.99999999999994</v>
      </c>
      <c r="AJ156" s="13">
        <f>AI156*VLOOKUP('Données projet'!$B$10,Paramètres!$A$1:$I$89,3,0)*VLOOKUP('Données projet'!$B$10,Paramètres!$A$1:$I$89,5,0)</f>
        <v>244.24399999999997</v>
      </c>
      <c r="AK156" s="13">
        <f t="shared" si="164"/>
        <v>59.351714130365565</v>
      </c>
      <c r="AL156" s="20">
        <f t="shared" si="165"/>
        <v>528.76253544371991</v>
      </c>
      <c r="AM156" s="59">
        <f t="shared" si="113"/>
        <v>565.42920211038654</v>
      </c>
      <c r="AN156" s="59">
        <f ca="1">AVERAGE(OFFSET($AM$3,0,0,'Données projet'!$E$10+1,1))-AVERAGE(OFFSET($H$3,0,0,'Données projet'!$E$10+1,1))</f>
        <v>302.26866345315602</v>
      </c>
      <c r="AO156" s="59">
        <f t="shared" si="144"/>
        <v>229.97213730997649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8.7193725555462454</v>
      </c>
      <c r="AV156" s="21">
        <f>EXP(-LN(2)/25)*AV155+(1-EXP(-LN(2)/25))/(LN(2)/25)*Calculateur!AQ156*Calculateur!AS156*VLOOKUP('Données projet'!$B$10,Paramètres!$A$1:$I$89,3,0)*0.475*44/12</f>
        <v>2.7016955101969971</v>
      </c>
      <c r="AW156" s="21">
        <f>EXP(-LN(2)/2)*AW155+(1-EXP(-LN(2)/2))/(LN(2)/2)*AQ156*AT156*VLOOKUP('Données projet'!$B$10,Paramètres!$A$1:$I$89,3,0)*0.475*44/12</f>
        <v>4.1299488991275142E-17</v>
      </c>
      <c r="AX156" s="21">
        <f t="shared" si="166"/>
        <v>11.421068065743242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0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318.84317557630413</v>
      </c>
      <c r="T157" s="59">
        <f t="shared" si="142"/>
        <v>211.80440891545263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52.730640260088506</v>
      </c>
      <c r="AA157" s="21">
        <f>EXP(-LN(2)/25)*AA156+(1-EXP(-LN(2)/25))/(LN(2)/25)*Calculateur!V157*Calculateur!X157*VLOOKUP('Données projet'!$B$9,Paramètres!$A$1:$I$89,3,0)*0.475*44/12</f>
        <v>6.0200582370538092</v>
      </c>
      <c r="AB157" s="21">
        <f>EXP(-LN(2)/2)*AB156+(1-EXP(-LN(2)/2))/(LN(2)/2)*V157*Y157*VLOOKUP('Données projet'!$B$9,Paramètres!$A$1:$I$89,3,0)*0.475*44/12</f>
        <v>2.8569216566463078E-17</v>
      </c>
      <c r="AC157" s="22">
        <f t="shared" si="163"/>
        <v>58.750698497142317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426.99999999999994</v>
      </c>
      <c r="AJ157" s="13">
        <f>AI157*VLOOKUP('Données projet'!$B$10,Paramètres!$A$1:$I$89,3,0)*VLOOKUP('Données projet'!$B$10,Paramètres!$A$1:$I$89,5,0)</f>
        <v>244.24399999999997</v>
      </c>
      <c r="AK157" s="13">
        <f t="shared" si="164"/>
        <v>59.351714130365565</v>
      </c>
      <c r="AL157" s="20">
        <f t="shared" si="165"/>
        <v>528.76253544371991</v>
      </c>
      <c r="AM157" s="59">
        <f t="shared" si="113"/>
        <v>565.42920211038654</v>
      </c>
      <c r="AN157" s="59">
        <f ca="1">AVERAGE(OFFSET($AM$3,0,0,'Données projet'!$E$10+1,1))-AVERAGE(OFFSET($H$3,0,0,'Données projet'!$E$10+1,1))</f>
        <v>302.26866345315602</v>
      </c>
      <c r="AO157" s="59">
        <f t="shared" si="144"/>
        <v>229.97213730997649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8.5483909780241039</v>
      </c>
      <c r="AV157" s="21">
        <f>EXP(-LN(2)/25)*AV156+(1-EXP(-LN(2)/25))/(LN(2)/25)*Calculateur!AQ157*Calculateur!AS157*VLOOKUP('Données projet'!$B$10,Paramètres!$A$1:$I$89,3,0)*0.475*44/12</f>
        <v>2.6278175043946681</v>
      </c>
      <c r="AW157" s="21">
        <f>EXP(-LN(2)/2)*AW156+(1-EXP(-LN(2)/2))/(LN(2)/2)*AQ157*AT157*VLOOKUP('Données projet'!$B$10,Paramètres!$A$1:$I$89,3,0)*0.475*44/12</f>
        <v>2.920314872526982E-17</v>
      </c>
      <c r="AX157" s="21">
        <f t="shared" si="166"/>
        <v>11.176208482418772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0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318.84317557630413</v>
      </c>
      <c r="T158" s="59">
        <f t="shared" si="142"/>
        <v>211.80440891545263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51.696624567102944</v>
      </c>
      <c r="AA158" s="21">
        <f>EXP(-LN(2)/25)*AA157+(1-EXP(-LN(2)/25))/(LN(2)/25)*Calculateur!V158*Calculateur!X158*VLOOKUP('Données projet'!$B$9,Paramètres!$A$1:$I$89,3,0)*0.475*44/12</f>
        <v>5.8554394279804693</v>
      </c>
      <c r="AB158" s="21">
        <f>EXP(-LN(2)/2)*AB157+(1-EXP(-LN(2)/2))/(LN(2)/2)*V158*Y158*VLOOKUP('Données projet'!$B$9,Paramètres!$A$1:$I$89,3,0)*0.475*44/12</f>
        <v>2.0201486767333097E-17</v>
      </c>
      <c r="AC158" s="22">
        <f t="shared" si="163"/>
        <v>57.552063995083415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426.99999999999994</v>
      </c>
      <c r="AJ158" s="13">
        <f>AI158*VLOOKUP('Données projet'!$B$10,Paramètres!$A$1:$I$89,3,0)*VLOOKUP('Données projet'!$B$10,Paramètres!$A$1:$I$89,5,0)</f>
        <v>244.24399999999997</v>
      </c>
      <c r="AK158" s="13">
        <f t="shared" si="164"/>
        <v>59.351714130365565</v>
      </c>
      <c r="AL158" s="20">
        <f t="shared" si="165"/>
        <v>528.76253544371991</v>
      </c>
      <c r="AM158" s="59">
        <f t="shared" si="113"/>
        <v>565.42920211038654</v>
      </c>
      <c r="AN158" s="59">
        <f ca="1">AVERAGE(OFFSET($AM$3,0,0,'Données projet'!$E$10+1,1))-AVERAGE(OFFSET($H$3,0,0,'Données projet'!$E$10+1,1))</f>
        <v>302.26866345315602</v>
      </c>
      <c r="AO158" s="59">
        <f t="shared" si="144"/>
        <v>229.97213730997649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8.3807622449487074</v>
      </c>
      <c r="AV158" s="21">
        <f>EXP(-LN(2)/25)*AV157+(1-EXP(-LN(2)/25))/(LN(2)/25)*Calculateur!AQ158*Calculateur!AS158*VLOOKUP('Données projet'!$B$10,Paramètres!$A$1:$I$89,3,0)*0.475*44/12</f>
        <v>2.5559596965460791</v>
      </c>
      <c r="AW158" s="21">
        <f>EXP(-LN(2)/2)*AW157+(1-EXP(-LN(2)/2))/(LN(2)/2)*AQ158*AT158*VLOOKUP('Données projet'!$B$10,Paramètres!$A$1:$I$89,3,0)*0.475*44/12</f>
        <v>2.0649744495637571E-17</v>
      </c>
      <c r="AX158" s="21">
        <f t="shared" si="166"/>
        <v>10.936721941494786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0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318.84317557630413</v>
      </c>
      <c r="T159" s="59">
        <f t="shared" si="142"/>
        <v>211.80440891545263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50.682885291169534</v>
      </c>
      <c r="AA159" s="21">
        <f>EXP(-LN(2)/25)*AA158+(1-EXP(-LN(2)/25))/(LN(2)/25)*Calculateur!V159*Calculateur!X159*VLOOKUP('Données projet'!$B$9,Paramètres!$A$1:$I$89,3,0)*0.475*44/12</f>
        <v>5.6953221288981668</v>
      </c>
      <c r="AB159" s="21">
        <f>EXP(-LN(2)/2)*AB158+(1-EXP(-LN(2)/2))/(LN(2)/2)*V159*Y159*VLOOKUP('Données projet'!$B$9,Paramètres!$A$1:$I$89,3,0)*0.475*44/12</f>
        <v>1.4284608283231539E-17</v>
      </c>
      <c r="AC159" s="22">
        <f t="shared" si="163"/>
        <v>56.378207420067703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426.99999999999994</v>
      </c>
      <c r="AJ159" s="13">
        <f>AI159*VLOOKUP('Données projet'!$B$10,Paramètres!$A$1:$I$89,3,0)*VLOOKUP('Données projet'!$B$10,Paramètres!$A$1:$I$89,5,0)</f>
        <v>244.24399999999997</v>
      </c>
      <c r="AK159" s="13">
        <f t="shared" si="164"/>
        <v>59.351714130365565</v>
      </c>
      <c r="AL159" s="20">
        <f t="shared" si="165"/>
        <v>528.76253544371991</v>
      </c>
      <c r="AM159" s="59">
        <f t="shared" si="113"/>
        <v>565.42920211038654</v>
      </c>
      <c r="AN159" s="59">
        <f ca="1">AVERAGE(OFFSET($AM$3,0,0,'Données projet'!$E$10+1,1))-AVERAGE(OFFSET($H$3,0,0,'Données projet'!$E$10+1,1))</f>
        <v>302.26866345315602</v>
      </c>
      <c r="AO159" s="59">
        <f t="shared" si="144"/>
        <v>229.97213730997649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8.216420609085489</v>
      </c>
      <c r="AV159" s="21">
        <f>EXP(-LN(2)/25)*AV158+(1-EXP(-LN(2)/25))/(LN(2)/25)*Calculateur!AQ159*Calculateur!AS159*VLOOKUP('Données projet'!$B$10,Paramètres!$A$1:$I$89,3,0)*0.475*44/12</f>
        <v>2.486066844231948</v>
      </c>
      <c r="AW159" s="21">
        <f>EXP(-LN(2)/2)*AW158+(1-EXP(-LN(2)/2))/(LN(2)/2)*AQ159*AT159*VLOOKUP('Données projet'!$B$10,Paramètres!$A$1:$I$89,3,0)*0.475*44/12</f>
        <v>1.460157436263491E-17</v>
      </c>
      <c r="AX159" s="21">
        <f t="shared" si="166"/>
        <v>10.702487453317437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0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318.84317557630413</v>
      </c>
      <c r="T160" s="59">
        <f t="shared" si="142"/>
        <v>211.80440891545263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49.689024824117269</v>
      </c>
      <c r="AA160" s="21">
        <f>EXP(-LN(2)/25)*AA159+(1-EXP(-LN(2)/25))/(LN(2)/25)*Calculateur!V160*Calculateur!X160*VLOOKUP('Données projet'!$B$9,Paramètres!$A$1:$I$89,3,0)*0.475*44/12</f>
        <v>5.5395832457794727</v>
      </c>
      <c r="AB160" s="21">
        <f>EXP(-LN(2)/2)*AB159+(1-EXP(-LN(2)/2))/(LN(2)/2)*V160*Y160*VLOOKUP('Données projet'!$B$9,Paramètres!$A$1:$I$89,3,0)*0.475*44/12</f>
        <v>1.0100743383666548E-17</v>
      </c>
      <c r="AC160" s="22">
        <f t="shared" si="163"/>
        <v>55.228608069896744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426.99999999999994</v>
      </c>
      <c r="AJ160" s="13">
        <f>AI160*VLOOKUP('Données projet'!$B$10,Paramètres!$A$1:$I$89,3,0)*VLOOKUP('Données projet'!$B$10,Paramètres!$A$1:$I$89,5,0)</f>
        <v>244.24399999999997</v>
      </c>
      <c r="AK160" s="13">
        <f t="shared" si="164"/>
        <v>59.351714130365565</v>
      </c>
      <c r="AL160" s="20">
        <f t="shared" si="165"/>
        <v>528.76253544371991</v>
      </c>
      <c r="AM160" s="59">
        <f t="shared" si="113"/>
        <v>565.42920211038654</v>
      </c>
      <c r="AN160" s="59">
        <f ca="1">AVERAGE(OFFSET($AM$3,0,0,'Données projet'!$E$10+1,1))-AVERAGE(OFFSET($H$3,0,0,'Données projet'!$E$10+1,1))</f>
        <v>302.26866345315602</v>
      </c>
      <c r="AO160" s="59">
        <f t="shared" si="144"/>
        <v>229.97213730997649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8.0553016124630474</v>
      </c>
      <c r="AV160" s="21">
        <f>EXP(-LN(2)/25)*AV159+(1-EXP(-LN(2)/25))/(LN(2)/25)*Calculateur!AQ160*Calculateur!AS160*VLOOKUP('Données projet'!$B$10,Paramètres!$A$1:$I$89,3,0)*0.475*44/12</f>
        <v>2.4180852156398522</v>
      </c>
      <c r="AW160" s="21">
        <f>EXP(-LN(2)/2)*AW159+(1-EXP(-LN(2)/2))/(LN(2)/2)*AQ160*AT160*VLOOKUP('Données projet'!$B$10,Paramètres!$A$1:$I$89,3,0)*0.475*44/12</f>
        <v>1.0324872247818785E-17</v>
      </c>
      <c r="AX160" s="21">
        <f t="shared" si="166"/>
        <v>10.4733868281029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0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318.84317557630413</v>
      </c>
      <c r="T161" s="59">
        <f t="shared" si="142"/>
        <v>211.80440891545263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48.714653354628872</v>
      </c>
      <c r="AA161" s="21">
        <f>EXP(-LN(2)/25)*AA160+(1-EXP(-LN(2)/25))/(LN(2)/25)*Calculateur!V161*Calculateur!X161*VLOOKUP('Données projet'!$B$9,Paramètres!$A$1:$I$89,3,0)*0.475*44/12</f>
        <v>5.3881030506096108</v>
      </c>
      <c r="AB161" s="21">
        <f>EXP(-LN(2)/2)*AB160+(1-EXP(-LN(2)/2))/(LN(2)/2)*V161*Y161*VLOOKUP('Données projet'!$B$9,Paramètres!$A$1:$I$89,3,0)*0.475*44/12</f>
        <v>7.1423041416157694E-18</v>
      </c>
      <c r="AC161" s="22">
        <f t="shared" si="163"/>
        <v>54.10275640523848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426.99999999999994</v>
      </c>
      <c r="AJ161" s="13">
        <f>AI161*VLOOKUP('Données projet'!$B$10,Paramètres!$A$1:$I$89,3,0)*VLOOKUP('Données projet'!$B$10,Paramètres!$A$1:$I$89,5,0)</f>
        <v>244.24399999999997</v>
      </c>
      <c r="AK161" s="13">
        <f t="shared" si="164"/>
        <v>59.351714130365565</v>
      </c>
      <c r="AL161" s="20">
        <f t="shared" si="165"/>
        <v>528.76253544371991</v>
      </c>
      <c r="AM161" s="59">
        <f t="shared" si="113"/>
        <v>565.42920211038654</v>
      </c>
      <c r="AN161" s="59">
        <f ca="1">AVERAGE(OFFSET($AM$3,0,0,'Données projet'!$E$10+1,1))-AVERAGE(OFFSET($H$3,0,0,'Données projet'!$E$10+1,1))</f>
        <v>302.26866345315602</v>
      </c>
      <c r="AO161" s="59">
        <f t="shared" si="144"/>
        <v>229.97213730997649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7.8973420610914875</v>
      </c>
      <c r="AV161" s="21">
        <f>EXP(-LN(2)/25)*AV160+(1-EXP(-LN(2)/25))/(LN(2)/25)*Calculateur!AQ161*Calculateur!AS161*VLOOKUP('Données projet'!$B$10,Paramètres!$A$1:$I$89,3,0)*0.475*44/12</f>
        <v>2.3519625482566058</v>
      </c>
      <c r="AW161" s="21">
        <f>EXP(-LN(2)/2)*AW160+(1-EXP(-LN(2)/2))/(LN(2)/2)*AQ161*AT161*VLOOKUP('Données projet'!$B$10,Paramètres!$A$1:$I$89,3,0)*0.475*44/12</f>
        <v>7.3007871813174549E-18</v>
      </c>
      <c r="AX161" s="21">
        <f t="shared" si="166"/>
        <v>10.249304609348094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0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318.84317557630413</v>
      </c>
      <c r="T162" s="59">
        <f t="shared" si="142"/>
        <v>211.80440891545263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47.759388715349232</v>
      </c>
      <c r="AA162" s="21">
        <f>EXP(-LN(2)/25)*AA161+(1-EXP(-LN(2)/25))/(LN(2)/25)*Calculateur!V162*Calculateur!X162*VLOOKUP('Données projet'!$B$9,Paramètres!$A$1:$I$89,3,0)*0.475*44/12</f>
        <v>5.2407650893426663</v>
      </c>
      <c r="AB162" s="21">
        <f>EXP(-LN(2)/2)*AB161+(1-EXP(-LN(2)/2))/(LN(2)/2)*V162*Y162*VLOOKUP('Données projet'!$B$9,Paramètres!$A$1:$I$89,3,0)*0.475*44/12</f>
        <v>5.0503716918332742E-18</v>
      </c>
      <c r="AC162" s="22">
        <f t="shared" si="163"/>
        <v>53.000153804691898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426.99999999999994</v>
      </c>
      <c r="AJ162" s="13">
        <f>AI162*VLOOKUP('Données projet'!$B$10,Paramètres!$A$1:$I$89,3,0)*VLOOKUP('Données projet'!$B$10,Paramètres!$A$1:$I$89,5,0)</f>
        <v>244.24399999999997</v>
      </c>
      <c r="AK162" s="13">
        <f t="shared" si="164"/>
        <v>59.351714130365565</v>
      </c>
      <c r="AL162" s="20">
        <f t="shared" si="165"/>
        <v>528.76253544371991</v>
      </c>
      <c r="AM162" s="59">
        <f t="shared" si="113"/>
        <v>565.42920211038654</v>
      </c>
      <c r="AN162" s="59">
        <f ca="1">AVERAGE(OFFSET($AM$3,0,0,'Données projet'!$E$10+1,1))-AVERAGE(OFFSET($H$3,0,0,'Données projet'!$E$10+1,1))</f>
        <v>302.26866345315602</v>
      </c>
      <c r="AO162" s="59">
        <f t="shared" si="144"/>
        <v>229.97213730997649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7.7424800001765108</v>
      </c>
      <c r="AV162" s="21">
        <f>EXP(-LN(2)/25)*AV161+(1-EXP(-LN(2)/25))/(LN(2)/25)*Calculateur!AQ162*Calculateur!AS162*VLOOKUP('Données projet'!$B$10,Paramètres!$A$1:$I$89,3,0)*0.475*44/12</f>
        <v>2.2876480086901938</v>
      </c>
      <c r="AW162" s="21">
        <f>EXP(-LN(2)/2)*AW161+(1-EXP(-LN(2)/2))/(LN(2)/2)*AQ162*AT162*VLOOKUP('Données projet'!$B$10,Paramètres!$A$1:$I$89,3,0)*0.475*44/12</f>
        <v>5.1624361239093927E-18</v>
      </c>
      <c r="AX162" s="21">
        <f t="shared" si="166"/>
        <v>10.030128008866704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0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318.84317557630413</v>
      </c>
      <c r="T163" s="59">
        <f t="shared" si="142"/>
        <v>211.80440891545263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46.822856232991967</v>
      </c>
      <c r="AA163" s="21">
        <f>EXP(-LN(2)/25)*AA162+(1-EXP(-LN(2)/25))/(LN(2)/25)*Calculateur!V163*Calculateur!X163*VLOOKUP('Données projet'!$B$9,Paramètres!$A$1:$I$89,3,0)*0.475*44/12</f>
        <v>5.097456092374733</v>
      </c>
      <c r="AB163" s="21">
        <f>EXP(-LN(2)/2)*AB162+(1-EXP(-LN(2)/2))/(LN(2)/2)*V163*Y163*VLOOKUP('Données projet'!$B$9,Paramètres!$A$1:$I$89,3,0)*0.475*44/12</f>
        <v>3.5711520708078847E-18</v>
      </c>
      <c r="AC163" s="22">
        <f t="shared" si="163"/>
        <v>51.920312325366702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426.99999999999994</v>
      </c>
      <c r="AJ163" s="13">
        <f>AI163*VLOOKUP('Données projet'!$B$10,Paramètres!$A$1:$I$89,3,0)*VLOOKUP('Données projet'!$B$10,Paramètres!$A$1:$I$89,5,0)</f>
        <v>244.24399999999997</v>
      </c>
      <c r="AK163" s="13">
        <f t="shared" si="164"/>
        <v>59.351714130365565</v>
      </c>
      <c r="AL163" s="20">
        <f t="shared" si="165"/>
        <v>528.76253544371991</v>
      </c>
      <c r="AM163" s="59">
        <f t="shared" si="113"/>
        <v>565.42920211038654</v>
      </c>
      <c r="AN163" s="59">
        <f ca="1">AVERAGE(OFFSET($AM$3,0,0,'Données projet'!$E$10+1,1))-AVERAGE(OFFSET($H$3,0,0,'Données projet'!$E$10+1,1))</f>
        <v>302.26866345315602</v>
      </c>
      <c r="AO163" s="59">
        <f t="shared" si="144"/>
        <v>229.97213730997649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7.5906546898195471</v>
      </c>
      <c r="AV163" s="21">
        <f>EXP(-LN(2)/25)*AV162+(1-EXP(-LN(2)/25))/(LN(2)/25)*Calculateur!AQ163*Calculateur!AS163*VLOOKUP('Données projet'!$B$10,Paramètres!$A$1:$I$89,3,0)*0.475*44/12</f>
        <v>2.22509215359038</v>
      </c>
      <c r="AW163" s="21">
        <f>EXP(-LN(2)/2)*AW162+(1-EXP(-LN(2)/2))/(LN(2)/2)*AQ163*AT163*VLOOKUP('Données projet'!$B$10,Paramètres!$A$1:$I$89,3,0)*0.475*44/12</f>
        <v>3.6503935906587274E-18</v>
      </c>
      <c r="AX163" s="21">
        <f t="shared" si="166"/>
        <v>9.8157468434099275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0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318.84317557630413</v>
      </c>
      <c r="T164" s="59">
        <f t="shared" si="142"/>
        <v>211.80440891545263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45.904688581385315</v>
      </c>
      <c r="AA164" s="21">
        <f>EXP(-LN(2)/25)*AA163+(1-EXP(-LN(2)/25))/(LN(2)/25)*Calculateur!V164*Calculateur!X164*VLOOKUP('Données projet'!$B$9,Paramètres!$A$1:$I$89,3,0)*0.475*44/12</f>
        <v>4.95806588746518</v>
      </c>
      <c r="AB164" s="21">
        <f>EXP(-LN(2)/2)*AB163+(1-EXP(-LN(2)/2))/(LN(2)/2)*V164*Y164*VLOOKUP('Données projet'!$B$9,Paramètres!$A$1:$I$89,3,0)*0.475*44/12</f>
        <v>2.5251858459166371E-18</v>
      </c>
      <c r="AC164" s="22">
        <f t="shared" si="163"/>
        <v>50.862754468850497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426.99999999999994</v>
      </c>
      <c r="AJ164" s="13">
        <f>AI164*VLOOKUP('Données projet'!$B$10,Paramètres!$A$1:$I$89,3,0)*VLOOKUP('Données projet'!$B$10,Paramètres!$A$1:$I$89,5,0)</f>
        <v>244.24399999999997</v>
      </c>
      <c r="AK164" s="13">
        <f t="shared" si="164"/>
        <v>59.351714130365565</v>
      </c>
      <c r="AL164" s="20">
        <f t="shared" si="165"/>
        <v>528.76253544371991</v>
      </c>
      <c r="AM164" s="59">
        <f t="shared" si="113"/>
        <v>565.42920211038654</v>
      </c>
      <c r="AN164" s="59">
        <f ca="1">AVERAGE(OFFSET($AM$3,0,0,'Données projet'!$E$10+1,1))-AVERAGE(OFFSET($H$3,0,0,'Données projet'!$E$10+1,1))</f>
        <v>302.26866345315602</v>
      </c>
      <c r="AO164" s="59">
        <f t="shared" si="144"/>
        <v>229.97213730997649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7.4418065811943874</v>
      </c>
      <c r="AV164" s="21">
        <f>EXP(-LN(2)/25)*AV163+(1-EXP(-LN(2)/25))/(LN(2)/25)*Calculateur!AQ164*Calculateur!AS164*VLOOKUP('Données projet'!$B$10,Paramètres!$A$1:$I$89,3,0)*0.475*44/12</f>
        <v>2.1642468916379403</v>
      </c>
      <c r="AW164" s="21">
        <f>EXP(-LN(2)/2)*AW163+(1-EXP(-LN(2)/2))/(LN(2)/2)*AQ164*AT164*VLOOKUP('Données projet'!$B$10,Paramètres!$A$1:$I$89,3,0)*0.475*44/12</f>
        <v>2.5812180619546964E-18</v>
      </c>
      <c r="AX164" s="21">
        <f t="shared" si="166"/>
        <v>9.6060534728323272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0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318.84317557630413</v>
      </c>
      <c r="T165" s="59">
        <f t="shared" si="142"/>
        <v>211.80440891545263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45.004525637399702</v>
      </c>
      <c r="AA165" s="21">
        <f>EXP(-LN(2)/25)*AA164+(1-EXP(-LN(2)/25))/(LN(2)/25)*Calculateur!V165*Calculateur!X165*VLOOKUP('Données projet'!$B$9,Paramètres!$A$1:$I$89,3,0)*0.475*44/12</f>
        <v>4.8224873150390914</v>
      </c>
      <c r="AB165" s="21">
        <f>EXP(-LN(2)/2)*AB164+(1-EXP(-LN(2)/2))/(LN(2)/2)*V165*Y165*VLOOKUP('Données projet'!$B$9,Paramètres!$A$1:$I$89,3,0)*0.475*44/12</f>
        <v>1.7855760354039423E-18</v>
      </c>
      <c r="AC165" s="22">
        <f t="shared" si="163"/>
        <v>49.827012952438793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426.99999999999994</v>
      </c>
      <c r="AJ165" s="13">
        <f>AI165*VLOOKUP('Données projet'!$B$10,Paramètres!$A$1:$I$89,3,0)*VLOOKUP('Données projet'!$B$10,Paramètres!$A$1:$I$89,5,0)</f>
        <v>244.24399999999997</v>
      </c>
      <c r="AK165" s="13">
        <f t="shared" si="164"/>
        <v>59.351714130365565</v>
      </c>
      <c r="AL165" s="20">
        <f t="shared" si="165"/>
        <v>528.76253544371991</v>
      </c>
      <c r="AM165" s="59">
        <f t="shared" si="113"/>
        <v>565.42920211038654</v>
      </c>
      <c r="AN165" s="59">
        <f ca="1">AVERAGE(OFFSET($AM$3,0,0,'Données projet'!$E$10+1,1))-AVERAGE(OFFSET($H$3,0,0,'Données projet'!$E$10+1,1))</f>
        <v>302.26866345315602</v>
      </c>
      <c r="AO165" s="59">
        <f t="shared" si="144"/>
        <v>229.97213730997649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7.2958772931909861</v>
      </c>
      <c r="AV165" s="21">
        <f>EXP(-LN(2)/25)*AV164+(1-EXP(-LN(2)/25))/(LN(2)/25)*Calculateur!AQ165*Calculateur!AS165*VLOOKUP('Données projet'!$B$10,Paramètres!$A$1:$I$89,3,0)*0.475*44/12</f>
        <v>2.1050654465733034</v>
      </c>
      <c r="AW165" s="21">
        <f>EXP(-LN(2)/2)*AW164+(1-EXP(-LN(2)/2))/(LN(2)/2)*AQ165*AT165*VLOOKUP('Données projet'!$B$10,Paramètres!$A$1:$I$89,3,0)*0.475*44/12</f>
        <v>1.8251967953293637E-18</v>
      </c>
      <c r="AX165" s="21">
        <f t="shared" si="166"/>
        <v>9.4009427397642895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0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318.84317557630413</v>
      </c>
      <c r="T166" s="59">
        <f t="shared" si="142"/>
        <v>211.80440891545263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44.122014339700463</v>
      </c>
      <c r="AA166" s="21">
        <f>EXP(-LN(2)/25)*AA165+(1-EXP(-LN(2)/25))/(LN(2)/25)*Calculateur!V166*Calculateur!X166*VLOOKUP('Données projet'!$B$9,Paramètres!$A$1:$I$89,3,0)*0.475*44/12</f>
        <v>4.6906161458057616</v>
      </c>
      <c r="AB166" s="21">
        <f>EXP(-LN(2)/2)*AB165+(1-EXP(-LN(2)/2))/(LN(2)/2)*V166*Y166*VLOOKUP('Données projet'!$B$9,Paramètres!$A$1:$I$89,3,0)*0.475*44/12</f>
        <v>1.2625929229583185E-18</v>
      </c>
      <c r="AC166" s="22">
        <f t="shared" si="163"/>
        <v>48.812630485506226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426.99999999999994</v>
      </c>
      <c r="AJ166" s="13">
        <f>AI166*VLOOKUP('Données projet'!$B$10,Paramètres!$A$1:$I$89,3,0)*VLOOKUP('Données projet'!$B$10,Paramètres!$A$1:$I$89,5,0)</f>
        <v>244.24399999999997</v>
      </c>
      <c r="AK166" s="13">
        <f t="shared" si="164"/>
        <v>59.351714130365565</v>
      </c>
      <c r="AL166" s="20">
        <f t="shared" si="165"/>
        <v>528.76253544371991</v>
      </c>
      <c r="AM166" s="59">
        <f t="shared" si="113"/>
        <v>565.42920211038654</v>
      </c>
      <c r="AN166" s="59">
        <f ca="1">AVERAGE(OFFSET($AM$3,0,0,'Données projet'!$E$10+1,1))-AVERAGE(OFFSET($H$3,0,0,'Données projet'!$E$10+1,1))</f>
        <v>302.26866345315602</v>
      </c>
      <c r="AO166" s="59">
        <f t="shared" si="144"/>
        <v>229.97213730997649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7.1528095895172541</v>
      </c>
      <c r="AV166" s="21">
        <f>EXP(-LN(2)/25)*AV165+(1-EXP(-LN(2)/25))/(LN(2)/25)*Calculateur!AQ166*Calculateur!AS166*VLOOKUP('Données projet'!$B$10,Paramètres!$A$1:$I$89,3,0)*0.475*44/12</f>
        <v>2.0475023212361756</v>
      </c>
      <c r="AW166" s="21">
        <f>EXP(-LN(2)/2)*AW165+(1-EXP(-LN(2)/2))/(LN(2)/2)*AQ166*AT166*VLOOKUP('Données projet'!$B$10,Paramètres!$A$1:$I$89,3,0)*0.475*44/12</f>
        <v>1.2906090309773482E-18</v>
      </c>
      <c r="AX166" s="21">
        <f t="shared" si="166"/>
        <v>9.2003119107534292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0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318.84317557630413</v>
      </c>
      <c r="T167" s="59">
        <f t="shared" si="142"/>
        <v>211.80440891545263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43.256808550270371</v>
      </c>
      <c r="AA167" s="21">
        <f>EXP(-LN(2)/25)*AA166+(1-EXP(-LN(2)/25))/(LN(2)/25)*Calculateur!V167*Calculateur!X167*VLOOKUP('Données projet'!$B$9,Paramètres!$A$1:$I$89,3,0)*0.475*44/12</f>
        <v>4.5623510006299206</v>
      </c>
      <c r="AB167" s="21">
        <f>EXP(-LN(2)/2)*AB166+(1-EXP(-LN(2)/2))/(LN(2)/2)*V167*Y167*VLOOKUP('Données projet'!$B$9,Paramètres!$A$1:$I$89,3,0)*0.475*44/12</f>
        <v>8.9278801770197117E-19</v>
      </c>
      <c r="AC167" s="22">
        <f t="shared" si="163"/>
        <v>47.819159550900295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426.99999999999994</v>
      </c>
      <c r="AJ167" s="13">
        <f>AI167*VLOOKUP('Données projet'!$B$10,Paramètres!$A$1:$I$89,3,0)*VLOOKUP('Données projet'!$B$10,Paramètres!$A$1:$I$89,5,0)</f>
        <v>244.24399999999997</v>
      </c>
      <c r="AK167" s="13">
        <f t="shared" si="164"/>
        <v>59.351714130365565</v>
      </c>
      <c r="AL167" s="20">
        <f t="shared" si="165"/>
        <v>528.76253544371991</v>
      </c>
      <c r="AM167" s="59">
        <f t="shared" si="113"/>
        <v>565.42920211038654</v>
      </c>
      <c r="AN167" s="59">
        <f ca="1">AVERAGE(OFFSET($AM$3,0,0,'Données projet'!$E$10+1,1))-AVERAGE(OFFSET($H$3,0,0,'Données projet'!$E$10+1,1))</f>
        <v>302.26866345315602</v>
      </c>
      <c r="AO167" s="59">
        <f t="shared" si="144"/>
        <v>229.97213730997649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7.0125473562498817</v>
      </c>
      <c r="AV167" s="21">
        <f>EXP(-LN(2)/25)*AV166+(1-EXP(-LN(2)/25))/(LN(2)/25)*Calculateur!AQ167*Calculateur!AS167*VLOOKUP('Données projet'!$B$10,Paramètres!$A$1:$I$89,3,0)*0.475*44/12</f>
        <v>1.991513262588505</v>
      </c>
      <c r="AW167" s="21">
        <f>EXP(-LN(2)/2)*AW166+(1-EXP(-LN(2)/2))/(LN(2)/2)*AQ167*AT167*VLOOKUP('Données projet'!$B$10,Paramètres!$A$1:$I$89,3,0)*0.475*44/12</f>
        <v>9.1259839766468186E-19</v>
      </c>
      <c r="AX167" s="21">
        <f t="shared" si="166"/>
        <v>9.0040606188383876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0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318.84317557630413</v>
      </c>
      <c r="T168" s="59">
        <f t="shared" si="142"/>
        <v>211.80440891545263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42.408568918647575</v>
      </c>
      <c r="AA168" s="21">
        <f>EXP(-LN(2)/25)*AA167+(1-EXP(-LN(2)/25))/(LN(2)/25)*Calculateur!V168*Calculateur!X168*VLOOKUP('Données projet'!$B$9,Paramètres!$A$1:$I$89,3,0)*0.475*44/12</f>
        <v>4.4375932725940839</v>
      </c>
      <c r="AB168" s="21">
        <f>EXP(-LN(2)/2)*AB167+(1-EXP(-LN(2)/2))/(LN(2)/2)*V168*Y168*VLOOKUP('Données projet'!$B$9,Paramètres!$A$1:$I$89,3,0)*0.475*44/12</f>
        <v>6.3129646147915927E-19</v>
      </c>
      <c r="AC168" s="22">
        <f t="shared" si="163"/>
        <v>46.84616219124166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426.99999999999994</v>
      </c>
      <c r="AJ168" s="13">
        <f>AI168*VLOOKUP('Données projet'!$B$10,Paramètres!$A$1:$I$89,3,0)*VLOOKUP('Données projet'!$B$10,Paramètres!$A$1:$I$89,5,0)</f>
        <v>244.24399999999997</v>
      </c>
      <c r="AK168" s="13">
        <f t="shared" si="164"/>
        <v>59.351714130365565</v>
      </c>
      <c r="AL168" s="20">
        <f t="shared" si="165"/>
        <v>528.76253544371991</v>
      </c>
      <c r="AM168" s="59">
        <f t="shared" si="113"/>
        <v>565.42920211038654</v>
      </c>
      <c r="AN168" s="59">
        <f ca="1">AVERAGE(OFFSET($AM$3,0,0,'Données projet'!$E$10+1,1))-AVERAGE(OFFSET($H$3,0,0,'Données projet'!$E$10+1,1))</f>
        <v>302.26866345315602</v>
      </c>
      <c r="AO168" s="59">
        <f t="shared" si="144"/>
        <v>229.97213730997649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6.8750355798253668</v>
      </c>
      <c r="AV168" s="21">
        <f>EXP(-LN(2)/25)*AV167+(1-EXP(-LN(2)/25))/(LN(2)/25)*Calculateur!AQ168*Calculateur!AS168*VLOOKUP('Données projet'!$B$10,Paramètres!$A$1:$I$89,3,0)*0.475*44/12</f>
        <v>1.9370552276938915</v>
      </c>
      <c r="AW168" s="21">
        <f>EXP(-LN(2)/2)*AW167+(1-EXP(-LN(2)/2))/(LN(2)/2)*AQ168*AT168*VLOOKUP('Données projet'!$B$10,Paramètres!$A$1:$I$89,3,0)*0.475*44/12</f>
        <v>6.4530451548867409E-19</v>
      </c>
      <c r="AX168" s="21">
        <f t="shared" si="166"/>
        <v>8.8120908075192581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0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318.84317557630413</v>
      </c>
      <c r="T169" s="59">
        <f t="shared" si="142"/>
        <v>211.80440891545263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41.576962748825814</v>
      </c>
      <c r="AA169" s="21">
        <f>EXP(-LN(2)/25)*AA168+(1-EXP(-LN(2)/25))/(LN(2)/25)*Calculateur!V169*Calculateur!X169*VLOOKUP('Données projet'!$B$9,Paramètres!$A$1:$I$89,3,0)*0.475*44/12</f>
        <v>4.3162470511921107</v>
      </c>
      <c r="AB169" s="21">
        <f>EXP(-LN(2)/2)*AB168+(1-EXP(-LN(2)/2))/(LN(2)/2)*V169*Y169*VLOOKUP('Données projet'!$B$9,Paramètres!$A$1:$I$89,3,0)*0.475*44/12</f>
        <v>4.4639400885098559E-19</v>
      </c>
      <c r="AC169" s="22">
        <f t="shared" si="163"/>
        <v>45.893209800017928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426.99999999999994</v>
      </c>
      <c r="AJ169" s="13">
        <f>AI169*VLOOKUP('Données projet'!$B$10,Paramètres!$A$1:$I$89,3,0)*VLOOKUP('Données projet'!$B$10,Paramètres!$A$1:$I$89,5,0)</f>
        <v>244.24399999999997</v>
      </c>
      <c r="AK169" s="13">
        <f t="shared" si="164"/>
        <v>59.351714130365565</v>
      </c>
      <c r="AL169" s="20">
        <f t="shared" si="165"/>
        <v>528.76253544371991</v>
      </c>
      <c r="AM169" s="59">
        <f t="shared" si="113"/>
        <v>565.42920211038654</v>
      </c>
      <c r="AN169" s="59">
        <f ca="1">AVERAGE(OFFSET($AM$3,0,0,'Données projet'!$E$10+1,1))-AVERAGE(OFFSET($H$3,0,0,'Données projet'!$E$10+1,1))</f>
        <v>302.26866345315602</v>
      </c>
      <c r="AO169" s="59">
        <f t="shared" si="144"/>
        <v>229.97213730997649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6.7402203254626354</v>
      </c>
      <c r="AV169" s="21">
        <f>EXP(-LN(2)/25)*AV168+(1-EXP(-LN(2)/25))/(LN(2)/25)*Calculateur!AQ169*Calculateur!AS169*VLOOKUP('Données projet'!$B$10,Paramètres!$A$1:$I$89,3,0)*0.475*44/12</f>
        <v>1.8840863506272949</v>
      </c>
      <c r="AW169" s="21">
        <f>EXP(-LN(2)/2)*AW168+(1-EXP(-LN(2)/2))/(LN(2)/2)*AQ169*AT169*VLOOKUP('Données projet'!$B$10,Paramètres!$A$1:$I$89,3,0)*0.475*44/12</f>
        <v>4.5629919883234093E-19</v>
      </c>
      <c r="AX169" s="21">
        <f t="shared" si="166"/>
        <v>8.6243066760899296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0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318.84317557630413</v>
      </c>
      <c r="T170" s="59">
        <f t="shared" si="142"/>
        <v>211.80440891545263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40.761663868764579</v>
      </c>
      <c r="AA170" s="21">
        <f>EXP(-LN(2)/25)*AA169+(1-EXP(-LN(2)/25))/(LN(2)/25)*Calculateur!V170*Calculateur!X170*VLOOKUP('Données projet'!$B$9,Paramètres!$A$1:$I$89,3,0)*0.475*44/12</f>
        <v>4.1982190485956945</v>
      </c>
      <c r="AB170" s="21">
        <f>EXP(-LN(2)/2)*AB169+(1-EXP(-LN(2)/2))/(LN(2)/2)*V170*Y170*VLOOKUP('Données projet'!$B$9,Paramètres!$A$1:$I$89,3,0)*0.475*44/12</f>
        <v>3.1564823073957964E-19</v>
      </c>
      <c r="AC170" s="22">
        <f t="shared" si="163"/>
        <v>44.959882917360275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426.99999999999994</v>
      </c>
      <c r="AJ170" s="13">
        <f>AI170*VLOOKUP('Données projet'!$B$10,Paramètres!$A$1:$I$89,3,0)*VLOOKUP('Données projet'!$B$10,Paramètres!$A$1:$I$89,5,0)</f>
        <v>244.24399999999997</v>
      </c>
      <c r="AK170" s="13">
        <f t="shared" si="164"/>
        <v>59.351714130365565</v>
      </c>
      <c r="AL170" s="20">
        <f t="shared" si="165"/>
        <v>528.76253544371991</v>
      </c>
      <c r="AM170" s="59">
        <f t="shared" si="113"/>
        <v>565.42920211038654</v>
      </c>
      <c r="AN170" s="59">
        <f ca="1">AVERAGE(OFFSET($AM$3,0,0,'Données projet'!$E$10+1,1))-AVERAGE(OFFSET($H$3,0,0,'Données projet'!$E$10+1,1))</f>
        <v>302.26866345315602</v>
      </c>
      <c r="AO170" s="59">
        <f t="shared" si="144"/>
        <v>229.97213730997649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6.6080487160087715</v>
      </c>
      <c r="AV170" s="21">
        <f>EXP(-LN(2)/25)*AV169+(1-EXP(-LN(2)/25))/(LN(2)/25)*Calculateur!AQ170*Calculateur!AS170*VLOOKUP('Données projet'!$B$10,Paramètres!$A$1:$I$89,3,0)*0.475*44/12</f>
        <v>1.8325659102895966</v>
      </c>
      <c r="AW170" s="21">
        <f>EXP(-LN(2)/2)*AW169+(1-EXP(-LN(2)/2))/(LN(2)/2)*AQ170*AT170*VLOOKUP('Données projet'!$B$10,Paramètres!$A$1:$I$89,3,0)*0.475*44/12</f>
        <v>3.2265225774433705E-19</v>
      </c>
      <c r="AX170" s="21">
        <f t="shared" si="166"/>
        <v>8.4406146262983679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0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318.84317557630413</v>
      </c>
      <c r="T171" s="59">
        <f t="shared" si="142"/>
        <v>211.80440891545263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39.962352502458131</v>
      </c>
      <c r="AA171" s="21">
        <f>EXP(-LN(2)/25)*AA170+(1-EXP(-LN(2)/25))/(LN(2)/25)*Calculateur!V171*Calculateur!X171*VLOOKUP('Données projet'!$B$9,Paramètres!$A$1:$I$89,3,0)*0.475*44/12</f>
        <v>4.0834185279371003</v>
      </c>
      <c r="AB171" s="21">
        <f>EXP(-LN(2)/2)*AB170+(1-EXP(-LN(2)/2))/(LN(2)/2)*V171*Y171*VLOOKUP('Données projet'!$B$9,Paramètres!$A$1:$I$89,3,0)*0.475*44/12</f>
        <v>2.2319700442549279E-19</v>
      </c>
      <c r="AC171" s="22">
        <f t="shared" si="163"/>
        <v>44.04577103039523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426.99999999999994</v>
      </c>
      <c r="AJ171" s="13">
        <f>AI171*VLOOKUP('Données projet'!$B$10,Paramètres!$A$1:$I$89,3,0)*VLOOKUP('Données projet'!$B$10,Paramètres!$A$1:$I$89,5,0)</f>
        <v>244.24399999999997</v>
      </c>
      <c r="AK171" s="13">
        <f t="shared" si="164"/>
        <v>59.351714130365565</v>
      </c>
      <c r="AL171" s="20">
        <f t="shared" si="165"/>
        <v>528.76253544371991</v>
      </c>
      <c r="AM171" s="59">
        <f t="shared" si="113"/>
        <v>565.42920211038654</v>
      </c>
      <c r="AN171" s="59">
        <f ca="1">AVERAGE(OFFSET($AM$3,0,0,'Données projet'!$E$10+1,1))-AVERAGE(OFFSET($H$3,0,0,'Données projet'!$E$10+1,1))</f>
        <v>302.26866345315602</v>
      </c>
      <c r="AO171" s="59">
        <f t="shared" si="144"/>
        <v>229.97213730997649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6.4784689111995766</v>
      </c>
      <c r="AV171" s="21">
        <f>EXP(-LN(2)/25)*AV170+(1-EXP(-LN(2)/25))/(LN(2)/25)*Calculateur!AQ171*Calculateur!AS171*VLOOKUP('Données projet'!$B$10,Paramètres!$A$1:$I$89,3,0)*0.475*44/12</f>
        <v>1.7824542991022747</v>
      </c>
      <c r="AW171" s="21">
        <f>EXP(-LN(2)/2)*AW170+(1-EXP(-LN(2)/2))/(LN(2)/2)*AQ171*AT171*VLOOKUP('Données projet'!$B$10,Paramètres!$A$1:$I$89,3,0)*0.475*44/12</f>
        <v>2.2814959941617047E-19</v>
      </c>
      <c r="AX171" s="21">
        <f t="shared" si="166"/>
        <v>8.2609232103018506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0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318.84317557630413</v>
      </c>
      <c r="T172" s="59">
        <f t="shared" si="142"/>
        <v>211.80440891545263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39.178715144513156</v>
      </c>
      <c r="AA172" s="21">
        <f>EXP(-LN(2)/25)*AA171+(1-EXP(-LN(2)/25))/(LN(2)/25)*Calculateur!V172*Calculateur!X172*VLOOKUP('Données projet'!$B$9,Paramètres!$A$1:$I$89,3,0)*0.475*44/12</f>
        <v>3.9717572335530127</v>
      </c>
      <c r="AB172" s="21">
        <f>EXP(-LN(2)/2)*AB171+(1-EXP(-LN(2)/2))/(LN(2)/2)*V172*Y172*VLOOKUP('Données projet'!$B$9,Paramètres!$A$1:$I$89,3,0)*0.475*44/12</f>
        <v>1.5782411536978982E-19</v>
      </c>
      <c r="AC172" s="22">
        <f t="shared" si="163"/>
        <v>43.150472378066169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426.99999999999994</v>
      </c>
      <c r="AJ172" s="13">
        <f>AI172*VLOOKUP('Données projet'!$B$10,Paramètres!$A$1:$I$89,3,0)*VLOOKUP('Données projet'!$B$10,Paramètres!$A$1:$I$89,5,0)</f>
        <v>244.24399999999997</v>
      </c>
      <c r="AK172" s="13">
        <f t="shared" si="164"/>
        <v>59.351714130365565</v>
      </c>
      <c r="AL172" s="20">
        <f t="shared" si="165"/>
        <v>528.76253544371991</v>
      </c>
      <c r="AM172" s="59">
        <f t="shared" si="113"/>
        <v>565.42920211038654</v>
      </c>
      <c r="AN172" s="59">
        <f ca="1">AVERAGE(OFFSET($AM$3,0,0,'Données projet'!$E$10+1,1))-AVERAGE(OFFSET($H$3,0,0,'Données projet'!$E$10+1,1))</f>
        <v>302.26866345315602</v>
      </c>
      <c r="AO172" s="59">
        <f t="shared" si="144"/>
        <v>229.97213730997649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6.351430087326813</v>
      </c>
      <c r="AV172" s="21">
        <f>EXP(-LN(2)/25)*AV171+(1-EXP(-LN(2)/25))/(LN(2)/25)*Calculateur!AQ172*Calculateur!AS172*VLOOKUP('Données projet'!$B$10,Paramètres!$A$1:$I$89,3,0)*0.475*44/12</f>
        <v>1.7337129925581252</v>
      </c>
      <c r="AW172" s="21">
        <f>EXP(-LN(2)/2)*AW171+(1-EXP(-LN(2)/2))/(LN(2)/2)*AQ172*AT172*VLOOKUP('Données projet'!$B$10,Paramètres!$A$1:$I$89,3,0)*0.475*44/12</f>
        <v>1.6132612887216852E-19</v>
      </c>
      <c r="AX172" s="21">
        <f t="shared" si="166"/>
        <v>8.0851430798849382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0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318.84317557630413</v>
      </c>
      <c r="T173" s="59">
        <f t="shared" si="142"/>
        <v>211.80440891545263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38.410444437185895</v>
      </c>
      <c r="AA173" s="21">
        <f>EXP(-LN(2)/25)*AA172+(1-EXP(-LN(2)/25))/(LN(2)/25)*Calculateur!V173*Calculateur!X173*VLOOKUP('Données projet'!$B$9,Paramètres!$A$1:$I$89,3,0)*0.475*44/12</f>
        <v>3.86314932313587</v>
      </c>
      <c r="AB173" s="21">
        <f>EXP(-LN(2)/2)*AB172+(1-EXP(-LN(2)/2))/(LN(2)/2)*V173*Y173*VLOOKUP('Données projet'!$B$9,Paramètres!$A$1:$I$89,3,0)*0.475*44/12</f>
        <v>1.115985022127464E-19</v>
      </c>
      <c r="AC173" s="22">
        <f t="shared" si="163"/>
        <v>42.273593760321766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426.99999999999994</v>
      </c>
      <c r="AJ173" s="13">
        <f>AI173*VLOOKUP('Données projet'!$B$10,Paramètres!$A$1:$I$89,3,0)*VLOOKUP('Données projet'!$B$10,Paramètres!$A$1:$I$89,5,0)</f>
        <v>244.24399999999997</v>
      </c>
      <c r="AK173" s="13">
        <f t="shared" si="164"/>
        <v>59.351714130365565</v>
      </c>
      <c r="AL173" s="20">
        <f t="shared" si="165"/>
        <v>528.76253544371991</v>
      </c>
      <c r="AM173" s="59">
        <f t="shared" si="113"/>
        <v>565.42920211038654</v>
      </c>
      <c r="AN173" s="59">
        <f ca="1">AVERAGE(OFFSET($AM$3,0,0,'Données projet'!$E$10+1,1))-AVERAGE(OFFSET($H$3,0,0,'Données projet'!$E$10+1,1))</f>
        <v>302.26866345315602</v>
      </c>
      <c r="AO173" s="59">
        <f t="shared" si="144"/>
        <v>229.97213730997649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6.2268824173041626</v>
      </c>
      <c r="AV173" s="21">
        <f>EXP(-LN(2)/25)*AV172+(1-EXP(-LN(2)/25))/(LN(2)/25)*Calculateur!AQ173*Calculateur!AS173*VLOOKUP('Données projet'!$B$10,Paramètres!$A$1:$I$89,3,0)*0.475*44/12</f>
        <v>1.6863045196046194</v>
      </c>
      <c r="AW173" s="21">
        <f>EXP(-LN(2)/2)*AW172+(1-EXP(-LN(2)/2))/(LN(2)/2)*AQ173*AT173*VLOOKUP('Données projet'!$B$10,Paramètres!$A$1:$I$89,3,0)*0.475*44/12</f>
        <v>1.1407479970808523E-19</v>
      </c>
      <c r="AX173" s="21">
        <f t="shared" si="166"/>
        <v>7.9131869369087822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0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318.84317557630413</v>
      </c>
      <c r="T174" s="59">
        <f t="shared" si="142"/>
        <v>211.80440891545263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37.657239049830459</v>
      </c>
      <c r="AA174" s="21">
        <f>EXP(-LN(2)/25)*AA173+(1-EXP(-LN(2)/25))/(LN(2)/25)*Calculateur!V174*Calculateur!X174*VLOOKUP('Données projet'!$B$9,Paramètres!$A$1:$I$89,3,0)*0.475*44/12</f>
        <v>3.7575113017405259</v>
      </c>
      <c r="AB174" s="21">
        <f>EXP(-LN(2)/2)*AB173+(1-EXP(-LN(2)/2))/(LN(2)/2)*V174*Y174*VLOOKUP('Données projet'!$B$9,Paramètres!$A$1:$I$89,3,0)*0.475*44/12</f>
        <v>7.8912057684894909E-20</v>
      </c>
      <c r="AC174" s="22">
        <f t="shared" si="163"/>
        <v>41.414750351570987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426.99999999999994</v>
      </c>
      <c r="AJ174" s="13">
        <f>AI174*VLOOKUP('Données projet'!$B$10,Paramètres!$A$1:$I$89,3,0)*VLOOKUP('Données projet'!$B$10,Paramètres!$A$1:$I$89,5,0)</f>
        <v>244.24399999999997</v>
      </c>
      <c r="AK174" s="13">
        <f t="shared" si="164"/>
        <v>59.351714130365565</v>
      </c>
      <c r="AL174" s="20">
        <f t="shared" si="165"/>
        <v>528.76253544371991</v>
      </c>
      <c r="AM174" s="59">
        <f t="shared" si="113"/>
        <v>565.42920211038654</v>
      </c>
      <c r="AN174" s="59">
        <f ca="1">AVERAGE(OFFSET($AM$3,0,0,'Données projet'!$E$10+1,1))-AVERAGE(OFFSET($H$3,0,0,'Données projet'!$E$10+1,1))</f>
        <v>302.26866345315602</v>
      </c>
      <c r="AO174" s="59">
        <f t="shared" si="144"/>
        <v>229.97213730997649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6.1047770511240786</v>
      </c>
      <c r="AV174" s="21">
        <f>EXP(-LN(2)/25)*AV173+(1-EXP(-LN(2)/25))/(LN(2)/25)*Calculateur!AQ174*Calculateur!AS174*VLOOKUP('Données projet'!$B$10,Paramètres!$A$1:$I$89,3,0)*0.475*44/12</f>
        <v>1.6401924338371305</v>
      </c>
      <c r="AW174" s="21">
        <f>EXP(-LN(2)/2)*AW173+(1-EXP(-LN(2)/2))/(LN(2)/2)*AQ174*AT174*VLOOKUP('Données projet'!$B$10,Paramètres!$A$1:$I$89,3,0)*0.475*44/12</f>
        <v>8.0663064436084261E-20</v>
      </c>
      <c r="AX174" s="21">
        <f t="shared" si="166"/>
        <v>7.7449694849612092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0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318.84317557630413</v>
      </c>
      <c r="T175" s="59">
        <f t="shared" si="142"/>
        <v>211.80440891545263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36.91880356071114</v>
      </c>
      <c r="AA175" s="21">
        <f>EXP(-LN(2)/25)*AA174+(1-EXP(-LN(2)/25))/(LN(2)/25)*Calculateur!V175*Calculateur!X175*VLOOKUP('Données projet'!$B$9,Paramètres!$A$1:$I$89,3,0)*0.475*44/12</f>
        <v>3.6547619575954999</v>
      </c>
      <c r="AB175" s="21">
        <f>EXP(-LN(2)/2)*AB174+(1-EXP(-LN(2)/2))/(LN(2)/2)*V175*Y175*VLOOKUP('Données projet'!$B$9,Paramètres!$A$1:$I$89,3,0)*0.475*44/12</f>
        <v>5.5799251106373198E-20</v>
      </c>
      <c r="AC175" s="22">
        <f t="shared" si="163"/>
        <v>40.573565518306637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426.99999999999994</v>
      </c>
      <c r="AJ175" s="13">
        <f>AI175*VLOOKUP('Données projet'!$B$10,Paramètres!$A$1:$I$89,3,0)*VLOOKUP('Données projet'!$B$10,Paramètres!$A$1:$I$89,5,0)</f>
        <v>244.24399999999997</v>
      </c>
      <c r="AK175" s="13">
        <f t="shared" si="164"/>
        <v>59.351714130365565</v>
      </c>
      <c r="AL175" s="20">
        <f t="shared" si="165"/>
        <v>528.76253544371991</v>
      </c>
      <c r="AM175" s="59">
        <f t="shared" si="113"/>
        <v>565.42920211038654</v>
      </c>
      <c r="AN175" s="59">
        <f ca="1">AVERAGE(OFFSET($AM$3,0,0,'Données projet'!$E$10+1,1))-AVERAGE(OFFSET($H$3,0,0,'Données projet'!$E$10+1,1))</f>
        <v>302.26866345315602</v>
      </c>
      <c r="AO175" s="59">
        <f t="shared" si="144"/>
        <v>229.97213730997649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5.9850660966978673</v>
      </c>
      <c r="AV175" s="21">
        <f>EXP(-LN(2)/25)*AV174+(1-EXP(-LN(2)/25))/(LN(2)/25)*Calculateur!AQ175*Calculateur!AS175*VLOOKUP('Données projet'!$B$10,Paramètres!$A$1:$I$89,3,0)*0.475*44/12</f>
        <v>1.5953412854798827</v>
      </c>
      <c r="AW175" s="21">
        <f>EXP(-LN(2)/2)*AW174+(1-EXP(-LN(2)/2))/(LN(2)/2)*AQ175*AT175*VLOOKUP('Données projet'!$B$10,Paramètres!$A$1:$I$89,3,0)*0.475*44/12</f>
        <v>5.7037399854042616E-20</v>
      </c>
      <c r="AX175" s="21">
        <f t="shared" si="166"/>
        <v>7.58040738217775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0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318.84317557630413</v>
      </c>
      <c r="T176" s="59">
        <f t="shared" si="142"/>
        <v>211.80440891545263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36.194848341132271</v>
      </c>
      <c r="AA176" s="21">
        <f>EXP(-LN(2)/25)*AA175+(1-EXP(-LN(2)/25))/(LN(2)/25)*Calculateur!V176*Calculateur!X176*VLOOKUP('Données projet'!$B$9,Paramètres!$A$1:$I$89,3,0)*0.475*44/12</f>
        <v>3.5548222996694725</v>
      </c>
      <c r="AB176" s="21">
        <f>EXP(-LN(2)/2)*AB175+(1-EXP(-LN(2)/2))/(LN(2)/2)*V176*Y176*VLOOKUP('Données projet'!$B$9,Paramètres!$A$1:$I$89,3,0)*0.475*44/12</f>
        <v>3.9456028842447454E-20</v>
      </c>
      <c r="AC176" s="22">
        <f t="shared" si="163"/>
        <v>39.749670640801746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426.99999999999994</v>
      </c>
      <c r="AJ176" s="13">
        <f>AI176*VLOOKUP('Données projet'!$B$10,Paramètres!$A$1:$I$89,3,0)*VLOOKUP('Données projet'!$B$10,Paramètres!$A$1:$I$89,5,0)</f>
        <v>244.24399999999997</v>
      </c>
      <c r="AK176" s="13">
        <f t="shared" si="164"/>
        <v>59.351714130365565</v>
      </c>
      <c r="AL176" s="20">
        <f t="shared" si="165"/>
        <v>528.76253544371991</v>
      </c>
      <c r="AM176" s="59">
        <f t="shared" si="113"/>
        <v>565.42920211038654</v>
      </c>
      <c r="AN176" s="59">
        <f ca="1">AVERAGE(OFFSET($AM$3,0,0,'Données projet'!$E$10+1,1))-AVERAGE(OFFSET($H$3,0,0,'Données projet'!$E$10+1,1))</f>
        <v>302.26866345315602</v>
      </c>
      <c r="AO176" s="59">
        <f t="shared" si="144"/>
        <v>229.97213730997649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5.867702601071481</v>
      </c>
      <c r="AV176" s="21">
        <f>EXP(-LN(2)/25)*AV175+(1-EXP(-LN(2)/25))/(LN(2)/25)*Calculateur!AQ176*Calculateur!AS176*VLOOKUP('Données projet'!$B$10,Paramètres!$A$1:$I$89,3,0)*0.475*44/12</f>
        <v>1.5517165941330833</v>
      </c>
      <c r="AW176" s="21">
        <f>EXP(-LN(2)/2)*AW175+(1-EXP(-LN(2)/2))/(LN(2)/2)*AQ176*AT176*VLOOKUP('Données projet'!$B$10,Paramètres!$A$1:$I$89,3,0)*0.475*44/12</f>
        <v>4.0331532218042131E-20</v>
      </c>
      <c r="AX176" s="21">
        <f t="shared" si="166"/>
        <v>7.4194191952045641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0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318.84317557630413</v>
      </c>
      <c r="T177" s="59">
        <f t="shared" si="142"/>
        <v>211.80440891545263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35.485089441840266</v>
      </c>
      <c r="AA177" s="21">
        <f>EXP(-LN(2)/25)*AA176+(1-EXP(-LN(2)/25))/(LN(2)/25)*Calculateur!V177*Calculateur!X177*VLOOKUP('Données projet'!$B$9,Paramètres!$A$1:$I$89,3,0)*0.475*44/12</f>
        <v>3.4576154969450306</v>
      </c>
      <c r="AB177" s="21">
        <f>EXP(-LN(2)/2)*AB176+(1-EXP(-LN(2)/2))/(LN(2)/2)*V177*Y177*VLOOKUP('Données projet'!$B$9,Paramètres!$A$1:$I$89,3,0)*0.475*44/12</f>
        <v>2.7899625553186599E-20</v>
      </c>
      <c r="AC177" s="22">
        <f t="shared" si="163"/>
        <v>38.942704938785297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426.99999999999994</v>
      </c>
      <c r="AJ177" s="13">
        <f>AI177*VLOOKUP('Données projet'!$B$10,Paramètres!$A$1:$I$89,3,0)*VLOOKUP('Données projet'!$B$10,Paramètres!$A$1:$I$89,5,0)</f>
        <v>244.24399999999997</v>
      </c>
      <c r="AK177" s="13">
        <f t="shared" si="164"/>
        <v>59.351714130365565</v>
      </c>
      <c r="AL177" s="20">
        <f t="shared" si="165"/>
        <v>528.76253544371991</v>
      </c>
      <c r="AM177" s="59">
        <f t="shared" si="113"/>
        <v>565.42920211038654</v>
      </c>
      <c r="AN177" s="59">
        <f ca="1">AVERAGE(OFFSET($AM$3,0,0,'Données projet'!$E$10+1,1))-AVERAGE(OFFSET($H$3,0,0,'Données projet'!$E$10+1,1))</f>
        <v>302.26866345315602</v>
      </c>
      <c r="AO177" s="59">
        <f t="shared" si="144"/>
        <v>229.97213730997649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5.7526405320096643</v>
      </c>
      <c r="AV177" s="21">
        <f>EXP(-LN(2)/25)*AV176+(1-EXP(-LN(2)/25))/(LN(2)/25)*Calculateur!AQ177*Calculateur!AS177*VLOOKUP('Données projet'!$B$10,Paramètres!$A$1:$I$89,3,0)*0.475*44/12</f>
        <v>1.5092848222652848</v>
      </c>
      <c r="AW177" s="21">
        <f>EXP(-LN(2)/2)*AW176+(1-EXP(-LN(2)/2))/(LN(2)/2)*AQ177*AT177*VLOOKUP('Données projet'!$B$10,Paramètres!$A$1:$I$89,3,0)*0.475*44/12</f>
        <v>2.8518699927021308E-20</v>
      </c>
      <c r="AX177" s="21">
        <f t="shared" si="166"/>
        <v>7.2619253542749487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0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318.84317557630413</v>
      </c>
      <c r="T178" s="59">
        <f t="shared" si="142"/>
        <v>211.80440891545263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34.789248481653196</v>
      </c>
      <c r="AA178" s="21">
        <f>EXP(-LN(2)/25)*AA177+(1-EXP(-LN(2)/25))/(LN(2)/25)*Calculateur!V178*Calculateur!X178*VLOOKUP('Données projet'!$B$9,Paramètres!$A$1:$I$89,3,0)*0.475*44/12</f>
        <v>3.363066819352972</v>
      </c>
      <c r="AB178" s="21">
        <f>EXP(-LN(2)/2)*AB177+(1-EXP(-LN(2)/2))/(LN(2)/2)*V178*Y178*VLOOKUP('Données projet'!$B$9,Paramètres!$A$1:$I$89,3,0)*0.475*44/12</f>
        <v>1.9728014421223727E-20</v>
      </c>
      <c r="AC178" s="22">
        <f t="shared" si="163"/>
        <v>38.152315301006169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426.99999999999994</v>
      </c>
      <c r="AJ178" s="13">
        <f>AI178*VLOOKUP('Données projet'!$B$10,Paramètres!$A$1:$I$89,3,0)*VLOOKUP('Données projet'!$B$10,Paramètres!$A$1:$I$89,5,0)</f>
        <v>244.24399999999997</v>
      </c>
      <c r="AK178" s="13">
        <f t="shared" si="164"/>
        <v>59.351714130365565</v>
      </c>
      <c r="AL178" s="20">
        <f t="shared" si="165"/>
        <v>528.76253544371991</v>
      </c>
      <c r="AM178" s="59">
        <f t="shared" si="113"/>
        <v>565.42920211038654</v>
      </c>
      <c r="AN178" s="59">
        <f ca="1">AVERAGE(OFFSET($AM$3,0,0,'Données projet'!$E$10+1,1))-AVERAGE(OFFSET($H$3,0,0,'Données projet'!$E$10+1,1))</f>
        <v>302.26866345315602</v>
      </c>
      <c r="AO178" s="59">
        <f t="shared" si="144"/>
        <v>229.97213730997649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5.639834759941218</v>
      </c>
      <c r="AV178" s="21">
        <f>EXP(-LN(2)/25)*AV177+(1-EXP(-LN(2)/25))/(LN(2)/25)*Calculateur!AQ178*Calculateur!AS178*VLOOKUP('Données projet'!$B$10,Paramètres!$A$1:$I$89,3,0)*0.475*44/12</f>
        <v>1.4680133494306014</v>
      </c>
      <c r="AW178" s="21">
        <f>EXP(-LN(2)/2)*AW177+(1-EXP(-LN(2)/2))/(LN(2)/2)*AQ178*AT178*VLOOKUP('Données projet'!$B$10,Paramètres!$A$1:$I$89,3,0)*0.475*44/12</f>
        <v>2.0165766109021065E-20</v>
      </c>
      <c r="AX178" s="21">
        <f t="shared" si="166"/>
        <v>7.1078481093718189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0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318.84317557630413</v>
      </c>
      <c r="T179" s="59">
        <f t="shared" si="142"/>
        <v>211.80440891545263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34.107052538274317</v>
      </c>
      <c r="AA179" s="21">
        <f>EXP(-LN(2)/25)*AA178+(1-EXP(-LN(2)/25))/(LN(2)/25)*Calculateur!V179*Calculateur!X179*VLOOKUP('Données projet'!$B$9,Paramètres!$A$1:$I$89,3,0)*0.475*44/12</f>
        <v>3.2711035803217672</v>
      </c>
      <c r="AB179" s="21">
        <f>EXP(-LN(2)/2)*AB178+(1-EXP(-LN(2)/2))/(LN(2)/2)*V179*Y179*VLOOKUP('Données projet'!$B$9,Paramètres!$A$1:$I$89,3,0)*0.475*44/12</f>
        <v>1.39498127765933E-20</v>
      </c>
      <c r="AC179" s="22">
        <f t="shared" si="163"/>
        <v>37.378156118596081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426.99999999999994</v>
      </c>
      <c r="AJ179" s="13">
        <f>AI179*VLOOKUP('Données projet'!$B$10,Paramètres!$A$1:$I$89,3,0)*VLOOKUP('Données projet'!$B$10,Paramètres!$A$1:$I$89,5,0)</f>
        <v>244.24399999999997</v>
      </c>
      <c r="AK179" s="13">
        <f t="shared" si="164"/>
        <v>59.351714130365565</v>
      </c>
      <c r="AL179" s="20">
        <f t="shared" si="165"/>
        <v>528.76253544371991</v>
      </c>
      <c r="AM179" s="59">
        <f t="shared" si="113"/>
        <v>565.42920211038654</v>
      </c>
      <c r="AN179" s="59">
        <f ca="1">AVERAGE(OFFSET($AM$3,0,0,'Données projet'!$E$10+1,1))-AVERAGE(OFFSET($H$3,0,0,'Données projet'!$E$10+1,1))</f>
        <v>302.26866345315602</v>
      </c>
      <c r="AO179" s="59">
        <f t="shared" si="144"/>
        <v>229.97213730997649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5.5292410402583068</v>
      </c>
      <c r="AV179" s="21">
        <f>EXP(-LN(2)/25)*AV178+(1-EXP(-LN(2)/25))/(LN(2)/25)*Calculateur!AQ179*Calculateur!AS179*VLOOKUP('Données projet'!$B$10,Paramètres!$A$1:$I$89,3,0)*0.475*44/12</f>
        <v>1.4278704471909547</v>
      </c>
      <c r="AW179" s="21">
        <f>EXP(-LN(2)/2)*AW178+(1-EXP(-LN(2)/2))/(LN(2)/2)*AQ179*AT179*VLOOKUP('Données projet'!$B$10,Paramètres!$A$1:$I$89,3,0)*0.475*44/12</f>
        <v>1.4259349963510654E-20</v>
      </c>
      <c r="AX179" s="21">
        <f t="shared" si="166"/>
        <v>6.9571114874492617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0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318.84317557630413</v>
      </c>
      <c r="T180" s="59">
        <f t="shared" si="142"/>
        <v>211.80440891545263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33.438234041246659</v>
      </c>
      <c r="AA180" s="21">
        <f>EXP(-LN(2)/25)*AA179+(1-EXP(-LN(2)/25))/(LN(2)/25)*Calculateur!V180*Calculateur!X180*VLOOKUP('Données projet'!$B$9,Paramètres!$A$1:$I$89,3,0)*0.475*44/12</f>
        <v>3.1816550808980075</v>
      </c>
      <c r="AB180" s="21">
        <f>EXP(-LN(2)/2)*AB179+(1-EXP(-LN(2)/2))/(LN(2)/2)*V180*Y180*VLOOKUP('Données projet'!$B$9,Paramètres!$A$1:$I$89,3,0)*0.475*44/12</f>
        <v>9.8640072106118636E-21</v>
      </c>
      <c r="AC180" s="22">
        <f t="shared" si="163"/>
        <v>36.61988912214467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426.99999999999994</v>
      </c>
      <c r="AJ180" s="13">
        <f>AI180*VLOOKUP('Données projet'!$B$10,Paramètres!$A$1:$I$89,3,0)*VLOOKUP('Données projet'!$B$10,Paramètres!$A$1:$I$89,5,0)</f>
        <v>244.24399999999997</v>
      </c>
      <c r="AK180" s="13">
        <f t="shared" si="164"/>
        <v>59.351714130365565</v>
      </c>
      <c r="AL180" s="20">
        <f t="shared" si="165"/>
        <v>528.76253544371991</v>
      </c>
      <c r="AM180" s="59">
        <f t="shared" si="113"/>
        <v>565.42920211038654</v>
      </c>
      <c r="AN180" s="59">
        <f ca="1">AVERAGE(OFFSET($AM$3,0,0,'Données projet'!$E$10+1,1))-AVERAGE(OFFSET($H$3,0,0,'Données projet'!$E$10+1,1))</f>
        <v>302.26866345315602</v>
      </c>
      <c r="AO180" s="59">
        <f t="shared" si="144"/>
        <v>229.97213730997649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5.4208159959628688</v>
      </c>
      <c r="AV180" s="21">
        <f>EXP(-LN(2)/25)*AV179+(1-EXP(-LN(2)/25))/(LN(2)/25)*Calculateur!AQ180*Calculateur!AS180*VLOOKUP('Données projet'!$B$10,Paramètres!$A$1:$I$89,3,0)*0.475*44/12</f>
        <v>1.3888252547240747</v>
      </c>
      <c r="AW180" s="21">
        <f>EXP(-LN(2)/2)*AW179+(1-EXP(-LN(2)/2))/(LN(2)/2)*AQ180*AT180*VLOOKUP('Données projet'!$B$10,Paramètres!$A$1:$I$89,3,0)*0.475*44/12</f>
        <v>1.0082883054510533E-20</v>
      </c>
      <c r="AX180" s="21">
        <f t="shared" si="166"/>
        <v>6.8096412506869433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0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318.84317557630413</v>
      </c>
      <c r="T181" s="59">
        <f t="shared" si="142"/>
        <v>211.80440891545263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32.782530667006711</v>
      </c>
      <c r="AA181" s="21">
        <f>EXP(-LN(2)/25)*AA180+(1-EXP(-LN(2)/25))/(LN(2)/25)*Calculateur!V181*Calculateur!X181*VLOOKUP('Données projet'!$B$9,Paramètres!$A$1:$I$89,3,0)*0.475*44/12</f>
        <v>3.0946525553948825</v>
      </c>
      <c r="AB181" s="21">
        <f>EXP(-LN(2)/2)*AB180+(1-EXP(-LN(2)/2))/(LN(2)/2)*V181*Y181*VLOOKUP('Données projet'!$B$9,Paramètres!$A$1:$I$89,3,0)*0.475*44/12</f>
        <v>6.9749063882966498E-21</v>
      </c>
      <c r="AC181" s="22">
        <f t="shared" si="163"/>
        <v>35.877183222401591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426.99999999999994</v>
      </c>
      <c r="AJ181" s="13">
        <f>AI181*VLOOKUP('Données projet'!$B$10,Paramètres!$A$1:$I$89,3,0)*VLOOKUP('Données projet'!$B$10,Paramètres!$A$1:$I$89,5,0)</f>
        <v>244.24399999999997</v>
      </c>
      <c r="AK181" s="13">
        <f t="shared" si="164"/>
        <v>59.351714130365565</v>
      </c>
      <c r="AL181" s="20">
        <f t="shared" si="165"/>
        <v>528.76253544371991</v>
      </c>
      <c r="AM181" s="59">
        <f t="shared" si="113"/>
        <v>565.42920211038654</v>
      </c>
      <c r="AN181" s="59">
        <f ca="1">AVERAGE(OFFSET($AM$3,0,0,'Données projet'!$E$10+1,1))-AVERAGE(OFFSET($H$3,0,0,'Données projet'!$E$10+1,1))</f>
        <v>302.26866345315602</v>
      </c>
      <c r="AO181" s="59">
        <f t="shared" si="144"/>
        <v>229.97213730997649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5.3145171006533172</v>
      </c>
      <c r="AV181" s="21">
        <f>EXP(-LN(2)/25)*AV180+(1-EXP(-LN(2)/25))/(LN(2)/25)*Calculateur!AQ181*Calculateur!AS181*VLOOKUP('Données projet'!$B$10,Paramètres!$A$1:$I$89,3,0)*0.475*44/12</f>
        <v>1.350847755098499</v>
      </c>
      <c r="AW181" s="21">
        <f>EXP(-LN(2)/2)*AW180+(1-EXP(-LN(2)/2))/(LN(2)/2)*AQ181*AT181*VLOOKUP('Données projet'!$B$10,Paramètres!$A$1:$I$89,3,0)*0.475*44/12</f>
        <v>7.129674981755327E-21</v>
      </c>
      <c r="AX181" s="21">
        <f t="shared" si="166"/>
        <v>6.6653648557518164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0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318.84317557630413</v>
      </c>
      <c r="T182" s="59">
        <f t="shared" si="142"/>
        <v>211.80440891545263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32.139685235996041</v>
      </c>
      <c r="AA182" s="21">
        <f>EXP(-LN(2)/25)*AA181+(1-EXP(-LN(2)/25))/(LN(2)/25)*Calculateur!V182*Calculateur!X182*VLOOKUP('Données projet'!$B$9,Paramètres!$A$1:$I$89,3,0)*0.475*44/12</f>
        <v>3.0100291185269046</v>
      </c>
      <c r="AB182" s="21">
        <f>EXP(-LN(2)/2)*AB181+(1-EXP(-LN(2)/2))/(LN(2)/2)*V182*Y182*VLOOKUP('Données projet'!$B$9,Paramètres!$A$1:$I$89,3,0)*0.475*44/12</f>
        <v>4.9320036053059318E-21</v>
      </c>
      <c r="AC182" s="22">
        <f t="shared" si="163"/>
        <v>35.149714354522942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426.99999999999994</v>
      </c>
      <c r="AJ182" s="13">
        <f>AI182*VLOOKUP('Données projet'!$B$10,Paramètres!$A$1:$I$89,3,0)*VLOOKUP('Données projet'!$B$10,Paramètres!$A$1:$I$89,5,0)</f>
        <v>244.24399999999997</v>
      </c>
      <c r="AK182" s="13">
        <f t="shared" si="164"/>
        <v>59.351714130365565</v>
      </c>
      <c r="AL182" s="20">
        <f t="shared" si="165"/>
        <v>528.76253544371991</v>
      </c>
      <c r="AM182" s="59">
        <f t="shared" si="113"/>
        <v>565.42920211038654</v>
      </c>
      <c r="AN182" s="59">
        <f ca="1">AVERAGE(OFFSET($AM$3,0,0,'Données projet'!$E$10+1,1))-AVERAGE(OFFSET($H$3,0,0,'Données projet'!$E$10+1,1))</f>
        <v>302.26866345315602</v>
      </c>
      <c r="AO182" s="59">
        <f t="shared" si="144"/>
        <v>229.97213730997649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5.210302661844862</v>
      </c>
      <c r="AV182" s="21">
        <f>EXP(-LN(2)/25)*AV181+(1-EXP(-LN(2)/25))/(LN(2)/25)*Calculateur!AQ182*Calculateur!AS182*VLOOKUP('Données projet'!$B$10,Paramètres!$A$1:$I$89,3,0)*0.475*44/12</f>
        <v>1.3139087521973345</v>
      </c>
      <c r="AW182" s="21">
        <f>EXP(-LN(2)/2)*AW181+(1-EXP(-LN(2)/2))/(LN(2)/2)*AQ182*AT182*VLOOKUP('Données projet'!$B$10,Paramètres!$A$1:$I$89,3,0)*0.475*44/12</f>
        <v>5.0414415272552663E-21</v>
      </c>
      <c r="AX182" s="21">
        <f t="shared" si="166"/>
        <v>6.5242114140421963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0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318.84317557630413</v>
      </c>
      <c r="T183" s="59">
        <f t="shared" si="142"/>
        <v>211.80440891545263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31.50944561179049</v>
      </c>
      <c r="AA183" s="21">
        <f>EXP(-LN(2)/25)*AA182+(1-EXP(-LN(2)/25))/(LN(2)/25)*Calculateur!V183*Calculateur!X183*VLOOKUP('Données projet'!$B$9,Paramètres!$A$1:$I$89,3,0)*0.475*44/12</f>
        <v>2.9277197139902347</v>
      </c>
      <c r="AB183" s="21">
        <f>EXP(-LN(2)/2)*AB182+(1-EXP(-LN(2)/2))/(LN(2)/2)*V183*Y183*VLOOKUP('Données projet'!$B$9,Paramètres!$A$1:$I$89,3,0)*0.475*44/12</f>
        <v>3.4874531941483249E-21</v>
      </c>
      <c r="AC183" s="22">
        <f t="shared" si="163"/>
        <v>34.437165325780725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426.99999999999994</v>
      </c>
      <c r="AJ183" s="13">
        <f>AI183*VLOOKUP('Données projet'!$B$10,Paramètres!$A$1:$I$89,3,0)*VLOOKUP('Données projet'!$B$10,Paramètres!$A$1:$I$89,5,0)</f>
        <v>244.24399999999997</v>
      </c>
      <c r="AK183" s="13">
        <f t="shared" si="164"/>
        <v>59.351714130365565</v>
      </c>
      <c r="AL183" s="20">
        <f t="shared" si="165"/>
        <v>528.76253544371991</v>
      </c>
      <c r="AM183" s="59">
        <f t="shared" si="113"/>
        <v>565.42920211038654</v>
      </c>
      <c r="AN183" s="59">
        <f ca="1">AVERAGE(OFFSET($AM$3,0,0,'Données projet'!$E$10+1,1))-AVERAGE(OFFSET($H$3,0,0,'Données projet'!$E$10+1,1))</f>
        <v>302.26866345315602</v>
      </c>
      <c r="AO183" s="59">
        <f t="shared" si="144"/>
        <v>229.97213730997649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5.1081318046169093</v>
      </c>
      <c r="AV183" s="21">
        <f>EXP(-LN(2)/25)*AV182+(1-EXP(-LN(2)/25))/(LN(2)/25)*Calculateur!AQ183*Calculateur!AS183*VLOOKUP('Données projet'!$B$10,Paramètres!$A$1:$I$89,3,0)*0.475*44/12</f>
        <v>1.27797984827304</v>
      </c>
      <c r="AW183" s="21">
        <f>EXP(-LN(2)/2)*AW182+(1-EXP(-LN(2)/2))/(LN(2)/2)*AQ183*AT183*VLOOKUP('Données projet'!$B$10,Paramètres!$A$1:$I$89,3,0)*0.475*44/12</f>
        <v>3.5648374908776635E-21</v>
      </c>
      <c r="AX183" s="21">
        <f t="shared" si="166"/>
        <v>6.3861116528899498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0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318.84317557630413</v>
      </c>
      <c r="T184" s="59">
        <f t="shared" si="142"/>
        <v>211.80440891545263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30.891564602207396</v>
      </c>
      <c r="AA184" s="21">
        <f>EXP(-LN(2)/25)*AA183+(1-EXP(-LN(2)/25))/(LN(2)/25)*Calculateur!V184*Calculateur!X184*VLOOKUP('Données projet'!$B$9,Paramètres!$A$1:$I$89,3,0)*0.475*44/12</f>
        <v>2.8476610644490834</v>
      </c>
      <c r="AB184" s="21">
        <f>EXP(-LN(2)/2)*AB183+(1-EXP(-LN(2)/2))/(LN(2)/2)*V184*Y184*VLOOKUP('Données projet'!$B$9,Paramètres!$A$1:$I$89,3,0)*0.475*44/12</f>
        <v>2.4660018026529659E-21</v>
      </c>
      <c r="AC184" s="22">
        <f t="shared" si="163"/>
        <v>33.73922566665648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426.99999999999994</v>
      </c>
      <c r="AJ184" s="13">
        <f>AI184*VLOOKUP('Données projet'!$B$10,Paramètres!$A$1:$I$89,3,0)*VLOOKUP('Données projet'!$B$10,Paramètres!$A$1:$I$89,5,0)</f>
        <v>244.24399999999997</v>
      </c>
      <c r="AK184" s="13">
        <f t="shared" si="164"/>
        <v>59.351714130365565</v>
      </c>
      <c r="AL184" s="20">
        <f t="shared" si="165"/>
        <v>528.76253544371991</v>
      </c>
      <c r="AM184" s="59">
        <f t="shared" si="113"/>
        <v>565.42920211038654</v>
      </c>
      <c r="AN184" s="59">
        <f ca="1">AVERAGE(OFFSET($AM$3,0,0,'Données projet'!$E$10+1,1))-AVERAGE(OFFSET($H$3,0,0,'Données projet'!$E$10+1,1))</f>
        <v>302.26866345315602</v>
      </c>
      <c r="AO184" s="59">
        <f t="shared" si="144"/>
        <v>229.97213730997649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5.0079644555811278</v>
      </c>
      <c r="AV184" s="21">
        <f>EXP(-LN(2)/25)*AV183+(1-EXP(-LN(2)/25))/(LN(2)/25)*Calculateur!AQ184*Calculateur!AS184*VLOOKUP('Données projet'!$B$10,Paramètres!$A$1:$I$89,3,0)*0.475*44/12</f>
        <v>1.2430334221159745</v>
      </c>
      <c r="AW184" s="21">
        <f>EXP(-LN(2)/2)*AW183+(1-EXP(-LN(2)/2))/(LN(2)/2)*AQ184*AT184*VLOOKUP('Données projet'!$B$10,Paramètres!$A$1:$I$89,3,0)*0.475*44/12</f>
        <v>2.5207207636276332E-21</v>
      </c>
      <c r="AX184" s="21">
        <f t="shared" si="166"/>
        <v>6.2509978776971025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0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318.84317557630413</v>
      </c>
      <c r="T185" s="59">
        <f t="shared" si="142"/>
        <v>211.80440891545263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30.285799862352025</v>
      </c>
      <c r="AA185" s="21">
        <f>EXP(-LN(2)/25)*AA184+(1-EXP(-LN(2)/25))/(LN(2)/25)*Calculateur!V185*Calculateur!X185*VLOOKUP('Données projet'!$B$9,Paramètres!$A$1:$I$89,3,0)*0.475*44/12</f>
        <v>2.7697916228897363</v>
      </c>
      <c r="AB185" s="21">
        <f>EXP(-LN(2)/2)*AB184+(1-EXP(-LN(2)/2))/(LN(2)/2)*V185*Y185*VLOOKUP('Données projet'!$B$9,Paramètres!$A$1:$I$89,3,0)*0.475*44/12</f>
        <v>1.7437265970741624E-21</v>
      </c>
      <c r="AC185" s="22">
        <f t="shared" si="163"/>
        <v>33.055591485241763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426.99999999999994</v>
      </c>
      <c r="AJ185" s="13">
        <f>AI185*VLOOKUP('Données projet'!$B$10,Paramètres!$A$1:$I$89,3,0)*VLOOKUP('Données projet'!$B$10,Paramètres!$A$1:$I$89,5,0)</f>
        <v>244.24399999999997</v>
      </c>
      <c r="AK185" s="13">
        <f t="shared" si="164"/>
        <v>59.351714130365565</v>
      </c>
      <c r="AL185" s="20">
        <f t="shared" si="165"/>
        <v>528.76253544371991</v>
      </c>
      <c r="AM185" s="59">
        <f t="shared" si="113"/>
        <v>565.42920211038654</v>
      </c>
      <c r="AN185" s="59">
        <f ca="1">AVERAGE(OFFSET($AM$3,0,0,'Données projet'!$E$10+1,1))-AVERAGE(OFFSET($H$3,0,0,'Données projet'!$E$10+1,1))</f>
        <v>302.26866345315602</v>
      </c>
      <c r="AO185" s="59">
        <f t="shared" si="144"/>
        <v>229.97213730997649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4.9097613271638876</v>
      </c>
      <c r="AV185" s="21">
        <f>EXP(-LN(2)/25)*AV184+(1-EXP(-LN(2)/25))/(LN(2)/25)*Calculateur!AQ185*Calculateur!AS185*VLOOKUP('Données projet'!$B$10,Paramètres!$A$1:$I$89,3,0)*0.475*44/12</f>
        <v>1.2090426078199266</v>
      </c>
      <c r="AW185" s="21">
        <f>EXP(-LN(2)/2)*AW184+(1-EXP(-LN(2)/2))/(LN(2)/2)*AQ185*AT185*VLOOKUP('Données projet'!$B$10,Paramètres!$A$1:$I$89,3,0)*0.475*44/12</f>
        <v>1.7824187454388318E-21</v>
      </c>
      <c r="AX185" s="21">
        <f t="shared" si="166"/>
        <v>6.1188039349838146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0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318.84317557630413</v>
      </c>
      <c r="T186" s="59">
        <f t="shared" si="142"/>
        <v>211.80440891545263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29.69191379956521</v>
      </c>
      <c r="AA186" s="21">
        <f>EXP(-LN(2)/25)*AA185+(1-EXP(-LN(2)/25))/(LN(2)/25)*Calculateur!V186*Calculateur!X186*VLOOKUP('Données projet'!$B$9,Paramètres!$A$1:$I$89,3,0)*0.475*44/12</f>
        <v>2.6940515253048054</v>
      </c>
      <c r="AB186" s="21">
        <f>EXP(-LN(2)/2)*AB185+(1-EXP(-LN(2)/2))/(LN(2)/2)*V186*Y186*VLOOKUP('Données projet'!$B$9,Paramètres!$A$1:$I$89,3,0)*0.475*44/12</f>
        <v>1.2330009013264829E-21</v>
      </c>
      <c r="AC186" s="22">
        <f t="shared" si="163"/>
        <v>32.385965324870014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426.99999999999994</v>
      </c>
      <c r="AJ186" s="13">
        <f>AI186*VLOOKUP('Données projet'!$B$10,Paramètres!$A$1:$I$89,3,0)*VLOOKUP('Données projet'!$B$10,Paramètres!$A$1:$I$89,5,0)</f>
        <v>244.24399999999997</v>
      </c>
      <c r="AK186" s="13">
        <f t="shared" si="164"/>
        <v>59.351714130365565</v>
      </c>
      <c r="AL186" s="20">
        <f t="shared" si="165"/>
        <v>528.76253544371991</v>
      </c>
      <c r="AM186" s="59">
        <f t="shared" si="113"/>
        <v>565.42920211038654</v>
      </c>
      <c r="AN186" s="59">
        <f ca="1">AVERAGE(OFFSET($AM$3,0,0,'Données projet'!$E$10+1,1))-AVERAGE(OFFSET($H$3,0,0,'Données projet'!$E$10+1,1))</f>
        <v>302.26866345315602</v>
      </c>
      <c r="AO186" s="59">
        <f t="shared" si="144"/>
        <v>229.97213730997649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4.8134839021969151</v>
      </c>
      <c r="AV186" s="21">
        <f>EXP(-LN(2)/25)*AV185+(1-EXP(-LN(2)/25))/(LN(2)/25)*Calculateur!AQ186*Calculateur!AS186*VLOOKUP('Données projet'!$B$10,Paramètres!$A$1:$I$89,3,0)*0.475*44/12</f>
        <v>1.1759812741283033</v>
      </c>
      <c r="AW186" s="21">
        <f>EXP(-LN(2)/2)*AW185+(1-EXP(-LN(2)/2))/(LN(2)/2)*AQ186*AT186*VLOOKUP('Données projet'!$B$10,Paramètres!$A$1:$I$89,3,0)*0.475*44/12</f>
        <v>1.2603603818138166E-21</v>
      </c>
      <c r="AX186" s="21">
        <f t="shared" si="166"/>
        <v>5.9894651763252185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0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318.84317557630413</v>
      </c>
      <c r="T187" s="59">
        <f t="shared" si="142"/>
        <v>211.80440891545263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29.109673480234914</v>
      </c>
      <c r="AA187" s="21">
        <f>EXP(-LN(2)/25)*AA186+(1-EXP(-LN(2)/25))/(LN(2)/25)*Calculateur!V187*Calculateur!X187*VLOOKUP('Données projet'!$B$9,Paramètres!$A$1:$I$89,3,0)*0.475*44/12</f>
        <v>2.6203825446713331</v>
      </c>
      <c r="AB187" s="21">
        <f>EXP(-LN(2)/2)*AB186+(1-EXP(-LN(2)/2))/(LN(2)/2)*V187*Y187*VLOOKUP('Données projet'!$B$9,Paramètres!$A$1:$I$89,3,0)*0.475*44/12</f>
        <v>8.7186329853708122E-22</v>
      </c>
      <c r="AC187" s="22">
        <f t="shared" si="163"/>
        <v>31.730056024906247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426.99999999999994</v>
      </c>
      <c r="AJ187" s="13">
        <f>AI187*VLOOKUP('Données projet'!$B$10,Paramètres!$A$1:$I$89,3,0)*VLOOKUP('Données projet'!$B$10,Paramètres!$A$1:$I$89,5,0)</f>
        <v>244.24399999999997</v>
      </c>
      <c r="AK187" s="13">
        <f t="shared" si="164"/>
        <v>59.351714130365565</v>
      </c>
      <c r="AL187" s="20">
        <f t="shared" si="165"/>
        <v>528.76253544371991</v>
      </c>
      <c r="AM187" s="59">
        <f t="shared" si="113"/>
        <v>565.42920211038654</v>
      </c>
      <c r="AN187" s="59">
        <f ca="1">AVERAGE(OFFSET($AM$3,0,0,'Données projet'!$E$10+1,1))-AVERAGE(OFFSET($H$3,0,0,'Données projet'!$E$10+1,1))</f>
        <v>302.26866345315602</v>
      </c>
      <c r="AO187" s="59">
        <f t="shared" si="144"/>
        <v>229.97213730997649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4.7190944188101147</v>
      </c>
      <c r="AV187" s="21">
        <f>EXP(-LN(2)/25)*AV186+(1-EXP(-LN(2)/25))/(LN(2)/25)*Calculateur!AQ187*Calculateur!AS187*VLOOKUP('Données projet'!$B$10,Paramètres!$A$1:$I$89,3,0)*0.475*44/12</f>
        <v>1.1438240043450973</v>
      </c>
      <c r="AW187" s="21">
        <f>EXP(-LN(2)/2)*AW186+(1-EXP(-LN(2)/2))/(LN(2)/2)*AQ187*AT187*VLOOKUP('Données projet'!$B$10,Paramètres!$A$1:$I$89,3,0)*0.475*44/12</f>
        <v>8.9120937271941588E-22</v>
      </c>
      <c r="AX187" s="21">
        <f t="shared" si="166"/>
        <v>5.8629184231552118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0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318.84317557630413</v>
      </c>
      <c r="T188" s="59">
        <f t="shared" si="142"/>
        <v>211.80440891545263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28.538850538435156</v>
      </c>
      <c r="AA188" s="21">
        <f>EXP(-LN(2)/25)*AA187+(1-EXP(-LN(2)/25))/(LN(2)/25)*Calculateur!V188*Calculateur!X188*VLOOKUP('Données projet'!$B$9,Paramètres!$A$1:$I$89,3,0)*0.475*44/12</f>
        <v>2.5487280461873665</v>
      </c>
      <c r="AB188" s="21">
        <f>EXP(-LN(2)/2)*AB187+(1-EXP(-LN(2)/2))/(LN(2)/2)*V188*Y188*VLOOKUP('Données projet'!$B$9,Paramètres!$A$1:$I$89,3,0)*0.475*44/12</f>
        <v>6.1650045066324147E-22</v>
      </c>
      <c r="AC188" s="22">
        <f t="shared" si="163"/>
        <v>31.087578584622523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426.99999999999994</v>
      </c>
      <c r="AJ188" s="13">
        <f>AI188*VLOOKUP('Données projet'!$B$10,Paramètres!$A$1:$I$89,3,0)*VLOOKUP('Données projet'!$B$10,Paramètres!$A$1:$I$89,5,0)</f>
        <v>244.24399999999997</v>
      </c>
      <c r="AK188" s="13">
        <f t="shared" si="164"/>
        <v>59.351714130365565</v>
      </c>
      <c r="AL188" s="20">
        <f t="shared" si="165"/>
        <v>528.76253544371991</v>
      </c>
      <c r="AM188" s="59">
        <f t="shared" si="113"/>
        <v>565.42920211038654</v>
      </c>
      <c r="AN188" s="59">
        <f ca="1">AVERAGE(OFFSET($AM$3,0,0,'Données projet'!$E$10+1,1))-AVERAGE(OFFSET($H$3,0,0,'Données projet'!$E$10+1,1))</f>
        <v>302.26866345315602</v>
      </c>
      <c r="AO188" s="59">
        <f t="shared" si="144"/>
        <v>229.97213730997649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4.6265558556206292</v>
      </c>
      <c r="AV188" s="21">
        <f>EXP(-LN(2)/25)*AV187+(1-EXP(-LN(2)/25))/(LN(2)/25)*Calculateur!AQ188*Calculateur!AS188*VLOOKUP('Données projet'!$B$10,Paramètres!$A$1:$I$89,3,0)*0.475*44/12</f>
        <v>1.1125460767951905</v>
      </c>
      <c r="AW188" s="21">
        <f>EXP(-LN(2)/2)*AW187+(1-EXP(-LN(2)/2))/(LN(2)/2)*AQ188*AT188*VLOOKUP('Données projet'!$B$10,Paramètres!$A$1:$I$89,3,0)*0.475*44/12</f>
        <v>6.3018019090690829E-22</v>
      </c>
      <c r="AX188" s="21">
        <f t="shared" si="166"/>
        <v>5.7391019324158199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0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318.84317557630413</v>
      </c>
      <c r="T189" s="59">
        <f t="shared" si="142"/>
        <v>211.80440891545263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27.979221086356475</v>
      </c>
      <c r="AA189" s="21">
        <f>EXP(-LN(2)/25)*AA188+(1-EXP(-LN(2)/25))/(LN(2)/25)*Calculateur!V189*Calculateur!X189*VLOOKUP('Données projet'!$B$9,Paramètres!$A$1:$I$89,3,0)*0.475*44/12</f>
        <v>2.47903294373259</v>
      </c>
      <c r="AB189" s="21">
        <f>EXP(-LN(2)/2)*AB188+(1-EXP(-LN(2)/2))/(LN(2)/2)*V189*Y189*VLOOKUP('Données projet'!$B$9,Paramètres!$A$1:$I$89,3,0)*0.475*44/12</f>
        <v>4.3593164926854061E-22</v>
      </c>
      <c r="AC189" s="22">
        <f t="shared" si="163"/>
        <v>30.458254030089066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426.99999999999994</v>
      </c>
      <c r="AJ189" s="13">
        <f>AI189*VLOOKUP('Données projet'!$B$10,Paramètres!$A$1:$I$89,3,0)*VLOOKUP('Données projet'!$B$10,Paramètres!$A$1:$I$89,5,0)</f>
        <v>244.24399999999997</v>
      </c>
      <c r="AK189" s="13">
        <f t="shared" si="164"/>
        <v>59.351714130365565</v>
      </c>
      <c r="AL189" s="20">
        <f t="shared" si="165"/>
        <v>528.76253544371991</v>
      </c>
      <c r="AM189" s="59">
        <f t="shared" si="113"/>
        <v>565.42920211038654</v>
      </c>
      <c r="AN189" s="59">
        <f ca="1">AVERAGE(OFFSET($AM$3,0,0,'Données projet'!$E$10+1,1))-AVERAGE(OFFSET($H$3,0,0,'Données projet'!$E$10+1,1))</f>
        <v>302.26866345315602</v>
      </c>
      <c r="AO189" s="59">
        <f t="shared" si="144"/>
        <v>229.97213730997649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4.5358319172123389</v>
      </c>
      <c r="AV189" s="21">
        <f>EXP(-LN(2)/25)*AV188+(1-EXP(-LN(2)/25))/(LN(2)/25)*Calculateur!AQ189*Calculateur!AS189*VLOOKUP('Données projet'!$B$10,Paramètres!$A$1:$I$89,3,0)*0.475*44/12</f>
        <v>1.0821234458189706</v>
      </c>
      <c r="AW189" s="21">
        <f>EXP(-LN(2)/2)*AW188+(1-EXP(-LN(2)/2))/(LN(2)/2)*AQ189*AT189*VLOOKUP('Données projet'!$B$10,Paramètres!$A$1:$I$89,3,0)*0.475*44/12</f>
        <v>4.4560468635970794E-22</v>
      </c>
      <c r="AX189" s="21">
        <f t="shared" si="166"/>
        <v>5.6179553630313093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0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318.84317557630413</v>
      </c>
      <c r="T190" s="59">
        <f t="shared" si="142"/>
        <v>211.80440891545263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27.430565626492793</v>
      </c>
      <c r="AA190" s="21">
        <f>EXP(-LN(2)/25)*AA189+(1-EXP(-LN(2)/25))/(LN(2)/25)*Calculateur!V190*Calculateur!X190*VLOOKUP('Données projet'!$B$9,Paramètres!$A$1:$I$89,3,0)*0.475*44/12</f>
        <v>2.4112436575195457</v>
      </c>
      <c r="AB190" s="21">
        <f>EXP(-LN(2)/2)*AB189+(1-EXP(-LN(2)/2))/(LN(2)/2)*V190*Y190*VLOOKUP('Données projet'!$B$9,Paramètres!$A$1:$I$89,3,0)*0.475*44/12</f>
        <v>3.0825022533162074E-22</v>
      </c>
      <c r="AC190" s="22">
        <f t="shared" si="163"/>
        <v>29.841809284012339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426.99999999999994</v>
      </c>
      <c r="AJ190" s="13">
        <f>AI190*VLOOKUP('Données projet'!$B$10,Paramètres!$A$1:$I$89,3,0)*VLOOKUP('Données projet'!$B$10,Paramètres!$A$1:$I$89,5,0)</f>
        <v>244.24399999999997</v>
      </c>
      <c r="AK190" s="13">
        <f t="shared" si="164"/>
        <v>59.351714130365565</v>
      </c>
      <c r="AL190" s="20">
        <f t="shared" si="165"/>
        <v>528.76253544371991</v>
      </c>
      <c r="AM190" s="59">
        <f t="shared" si="113"/>
        <v>565.42920211038654</v>
      </c>
      <c r="AN190" s="59">
        <f ca="1">AVERAGE(OFFSET($AM$3,0,0,'Données projet'!$E$10+1,1))-AVERAGE(OFFSET($H$3,0,0,'Données projet'!$E$10+1,1))</f>
        <v>302.26866345315602</v>
      </c>
      <c r="AO190" s="59">
        <f t="shared" si="144"/>
        <v>229.97213730997649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4.4468870199000969</v>
      </c>
      <c r="AV190" s="21">
        <f>EXP(-LN(2)/25)*AV189+(1-EXP(-LN(2)/25))/(LN(2)/25)*Calculateur!AQ190*Calculateur!AS190*VLOOKUP('Données projet'!$B$10,Paramètres!$A$1:$I$89,3,0)*0.475*44/12</f>
        <v>1.0525327232866519</v>
      </c>
      <c r="AW190" s="21">
        <f>EXP(-LN(2)/2)*AW189+(1-EXP(-LN(2)/2))/(LN(2)/2)*AQ190*AT190*VLOOKUP('Données projet'!$B$10,Paramètres!$A$1:$I$89,3,0)*0.475*44/12</f>
        <v>3.1509009545345415E-22</v>
      </c>
      <c r="AX190" s="21">
        <f t="shared" si="166"/>
        <v>5.4994197431867491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0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318.84317557630413</v>
      </c>
      <c r="T191" s="59">
        <f t="shared" si="142"/>
        <v>211.80440891545263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26.892668965550254</v>
      </c>
      <c r="AA191" s="21">
        <f>EXP(-LN(2)/25)*AA190+(1-EXP(-LN(2)/25))/(LN(2)/25)*Calculateur!V191*Calculateur!X191*VLOOKUP('Données projet'!$B$9,Paramètres!$A$1:$I$89,3,0)*0.475*44/12</f>
        <v>2.3453080729028808</v>
      </c>
      <c r="AB191" s="21">
        <f>EXP(-LN(2)/2)*AB190+(1-EXP(-LN(2)/2))/(LN(2)/2)*V191*Y191*VLOOKUP('Données projet'!$B$9,Paramètres!$A$1:$I$89,3,0)*0.475*44/12</f>
        <v>2.1796582463427031E-22</v>
      </c>
      <c r="AC191" s="22">
        <f t="shared" si="163"/>
        <v>29.237977038453135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426.99999999999994</v>
      </c>
      <c r="AJ191" s="13">
        <f>AI191*VLOOKUP('Données projet'!$B$10,Paramètres!$A$1:$I$89,3,0)*VLOOKUP('Données projet'!$B$10,Paramètres!$A$1:$I$89,5,0)</f>
        <v>244.24399999999997</v>
      </c>
      <c r="AK191" s="13">
        <f t="shared" si="164"/>
        <v>59.351714130365565</v>
      </c>
      <c r="AL191" s="20">
        <f t="shared" si="165"/>
        <v>528.76253544371991</v>
      </c>
      <c r="AM191" s="59">
        <f t="shared" si="113"/>
        <v>565.42920211038654</v>
      </c>
      <c r="AN191" s="59">
        <f ca="1">AVERAGE(OFFSET($AM$3,0,0,'Données projet'!$E$10+1,1))-AVERAGE(OFFSET($H$3,0,0,'Données projet'!$E$10+1,1))</f>
        <v>302.26866345315602</v>
      </c>
      <c r="AO191" s="59">
        <f t="shared" si="144"/>
        <v>229.97213730997649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4.3596862777731173</v>
      </c>
      <c r="AV191" s="21">
        <f>EXP(-LN(2)/25)*AV190+(1-EXP(-LN(2)/25))/(LN(2)/25)*Calculateur!AQ191*Calculateur!AS191*VLOOKUP('Données projet'!$B$10,Paramètres!$A$1:$I$89,3,0)*0.475*44/12</f>
        <v>1.023751160618088</v>
      </c>
      <c r="AW191" s="21">
        <f>EXP(-LN(2)/2)*AW190+(1-EXP(-LN(2)/2))/(LN(2)/2)*AQ191*AT191*VLOOKUP('Données projet'!$B$10,Paramètres!$A$1:$I$89,3,0)*0.475*44/12</f>
        <v>2.2280234317985397E-22</v>
      </c>
      <c r="AX191" s="21">
        <f t="shared" si="166"/>
        <v>5.3834374383912049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0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318.84317557630413</v>
      </c>
      <c r="T192" s="59">
        <f t="shared" si="142"/>
        <v>211.80440891545263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26.365320130044228</v>
      </c>
      <c r="AA192" s="21">
        <f>EXP(-LN(2)/25)*AA191+(1-EXP(-LN(2)/25))/(LN(2)/25)*Calculateur!V192*Calculateur!X192*VLOOKUP('Données projet'!$B$9,Paramètres!$A$1:$I$89,3,0)*0.475*44/12</f>
        <v>2.2811755003149603</v>
      </c>
      <c r="AB192" s="21">
        <f>EXP(-LN(2)/2)*AB191+(1-EXP(-LN(2)/2))/(LN(2)/2)*V192*Y192*VLOOKUP('Données projet'!$B$9,Paramètres!$A$1:$I$89,3,0)*0.475*44/12</f>
        <v>1.5412511266581037E-22</v>
      </c>
      <c r="AC192" s="22">
        <f t="shared" si="163"/>
        <v>28.64649563035919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426.99999999999994</v>
      </c>
      <c r="AJ192" s="13">
        <f>AI192*VLOOKUP('Données projet'!$B$10,Paramètres!$A$1:$I$89,3,0)*VLOOKUP('Données projet'!$B$10,Paramètres!$A$1:$I$89,5,0)</f>
        <v>244.24399999999997</v>
      </c>
      <c r="AK192" s="13">
        <f t="shared" si="164"/>
        <v>59.351714130365565</v>
      </c>
      <c r="AL192" s="20">
        <f t="shared" si="165"/>
        <v>528.76253544371991</v>
      </c>
      <c r="AM192" s="59">
        <f t="shared" si="113"/>
        <v>565.42920211038654</v>
      </c>
      <c r="AN192" s="59">
        <f ca="1">AVERAGE(OFFSET($AM$3,0,0,'Données projet'!$E$10+1,1))-AVERAGE(OFFSET($H$3,0,0,'Données projet'!$E$10+1,1))</f>
        <v>302.26866345315602</v>
      </c>
      <c r="AO192" s="59">
        <f t="shared" si="144"/>
        <v>229.97213730997649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4.2741954890120475</v>
      </c>
      <c r="AV192" s="21">
        <f>EXP(-LN(2)/25)*AV191+(1-EXP(-LN(2)/25))/(LN(2)/25)*Calculateur!AQ192*Calculateur!AS192*VLOOKUP('Données projet'!$B$10,Paramètres!$A$1:$I$89,3,0)*0.475*44/12</f>
        <v>0.99575663129425263</v>
      </c>
      <c r="AW192" s="21">
        <f>EXP(-LN(2)/2)*AW191+(1-EXP(-LN(2)/2))/(LN(2)/2)*AQ192*AT192*VLOOKUP('Données projet'!$B$10,Paramètres!$A$1:$I$89,3,0)*0.475*44/12</f>
        <v>1.5754504772672707E-22</v>
      </c>
      <c r="AX192" s="21">
        <f t="shared" si="166"/>
        <v>5.2699521203063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0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318.84317557630413</v>
      </c>
      <c r="T193" s="59">
        <f t="shared" si="142"/>
        <v>211.80440891545263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25.848312283551447</v>
      </c>
      <c r="AA193" s="21">
        <f>EXP(-LN(2)/25)*AA192+(1-EXP(-LN(2)/25))/(LN(2)/25)*Calculateur!V193*Calculateur!X193*VLOOKUP('Données projet'!$B$9,Paramètres!$A$1:$I$89,3,0)*0.475*44/12</f>
        <v>2.2187966362970419</v>
      </c>
      <c r="AB193" s="21">
        <f>EXP(-LN(2)/2)*AB192+(1-EXP(-LN(2)/2))/(LN(2)/2)*V193*Y193*VLOOKUP('Données projet'!$B$9,Paramètres!$A$1:$I$89,3,0)*0.475*44/12</f>
        <v>1.0898291231713515E-22</v>
      </c>
      <c r="AC193" s="22">
        <f t="shared" si="163"/>
        <v>28.06710891984849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426.99999999999994</v>
      </c>
      <c r="AJ193" s="13">
        <f>AI193*VLOOKUP('Données projet'!$B$10,Paramètres!$A$1:$I$89,3,0)*VLOOKUP('Données projet'!$B$10,Paramètres!$A$1:$I$89,5,0)</f>
        <v>244.24399999999997</v>
      </c>
      <c r="AK193" s="13">
        <f t="shared" si="164"/>
        <v>59.351714130365565</v>
      </c>
      <c r="AL193" s="20">
        <f t="shared" si="165"/>
        <v>528.76253544371991</v>
      </c>
      <c r="AM193" s="59">
        <f t="shared" si="113"/>
        <v>565.42920211038654</v>
      </c>
      <c r="AN193" s="59">
        <f ca="1">AVERAGE(OFFSET($AM$3,0,0,'Données projet'!$E$10+1,1))-AVERAGE(OFFSET($H$3,0,0,'Données projet'!$E$10+1,1))</f>
        <v>302.26866345315602</v>
      </c>
      <c r="AO193" s="59">
        <f t="shared" si="144"/>
        <v>229.97213730997649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4.1903811224743492</v>
      </c>
      <c r="AV193" s="21">
        <f>EXP(-LN(2)/25)*AV192+(1-EXP(-LN(2)/25))/(LN(2)/25)*Calculateur!AQ193*Calculateur!AS193*VLOOKUP('Données projet'!$B$10,Paramètres!$A$1:$I$89,3,0)*0.475*44/12</f>
        <v>0.96852761384694586</v>
      </c>
      <c r="AW193" s="21">
        <f>EXP(-LN(2)/2)*AW192+(1-EXP(-LN(2)/2))/(LN(2)/2)*AQ193*AT193*VLOOKUP('Données projet'!$B$10,Paramètres!$A$1:$I$89,3,0)*0.475*44/12</f>
        <v>1.1140117158992698E-22</v>
      </c>
      <c r="AX193" s="21">
        <f t="shared" si="166"/>
        <v>5.1589087363212949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0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318.84317557630413</v>
      </c>
      <c r="T194" s="59">
        <f t="shared" si="142"/>
        <v>211.80440891545263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25.341442645584742</v>
      </c>
      <c r="AA194" s="21">
        <f>EXP(-LN(2)/25)*AA193+(1-EXP(-LN(2)/25))/(LN(2)/25)*Calculateur!V194*Calculateur!X194*VLOOKUP('Données projet'!$B$9,Paramètres!$A$1:$I$89,3,0)*0.475*44/12</f>
        <v>2.1581235255960554</v>
      </c>
      <c r="AB194" s="21">
        <f>EXP(-LN(2)/2)*AB193+(1-EXP(-LN(2)/2))/(LN(2)/2)*V194*Y194*VLOOKUP('Données projet'!$B$9,Paramètres!$A$1:$I$89,3,0)*0.475*44/12</f>
        <v>7.7062556332905184E-23</v>
      </c>
      <c r="AC194" s="22">
        <f t="shared" si="163"/>
        <v>27.499566171180795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426.99999999999994</v>
      </c>
      <c r="AJ194" s="13">
        <f>AI194*VLOOKUP('Données projet'!$B$10,Paramètres!$A$1:$I$89,3,0)*VLOOKUP('Données projet'!$B$10,Paramètres!$A$1:$I$89,5,0)</f>
        <v>244.24399999999997</v>
      </c>
      <c r="AK194" s="13">
        <f t="shared" si="164"/>
        <v>59.351714130365565</v>
      </c>
      <c r="AL194" s="20">
        <f t="shared" si="165"/>
        <v>528.76253544371991</v>
      </c>
      <c r="AM194" s="59">
        <f t="shared" si="113"/>
        <v>565.42920211038654</v>
      </c>
      <c r="AN194" s="59">
        <f ca="1">AVERAGE(OFFSET($AM$3,0,0,'Données projet'!$E$10+1,1))-AVERAGE(OFFSET($H$3,0,0,'Données projet'!$E$10+1,1))</f>
        <v>302.26866345315602</v>
      </c>
      <c r="AO194" s="59">
        <f t="shared" si="144"/>
        <v>229.97213730997649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4.1082103045427401</v>
      </c>
      <c r="AV194" s="21">
        <f>EXP(-LN(2)/25)*AV193+(1-EXP(-LN(2)/25))/(LN(2)/25)*Calculateur!AQ194*Calculateur!AS194*VLOOKUP('Données projet'!$B$10,Paramètres!$A$1:$I$89,3,0)*0.475*44/12</f>
        <v>0.94204317531364756</v>
      </c>
      <c r="AW194" s="21">
        <f>EXP(-LN(2)/2)*AW193+(1-EXP(-LN(2)/2))/(LN(2)/2)*AQ194*AT194*VLOOKUP('Données projet'!$B$10,Paramètres!$A$1:$I$89,3,0)*0.475*44/12</f>
        <v>7.8772523863363536E-23</v>
      </c>
      <c r="AX194" s="21">
        <f t="shared" si="166"/>
        <v>5.0502534798563872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0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318.84317557630413</v>
      </c>
      <c r="T195" s="59">
        <f t="shared" si="142"/>
        <v>211.80440891545263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24.844512412058613</v>
      </c>
      <c r="AA195" s="21">
        <f>EXP(-LN(2)/25)*AA194+(1-EXP(-LN(2)/25))/(LN(2)/25)*Calculateur!V195*Calculateur!X195*VLOOKUP('Données projet'!$B$9,Paramètres!$A$1:$I$89,3,0)*0.475*44/12</f>
        <v>2.0991095242978473</v>
      </c>
      <c r="AB195" s="21">
        <f>EXP(-LN(2)/2)*AB194+(1-EXP(-LN(2)/2))/(LN(2)/2)*V195*Y195*VLOOKUP('Données projet'!$B$9,Paramètres!$A$1:$I$89,3,0)*0.475*44/12</f>
        <v>5.4491456158567576E-23</v>
      </c>
      <c r="AC195" s="22">
        <f t="shared" si="163"/>
        <v>26.943621936356461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426.99999999999994</v>
      </c>
      <c r="AJ195" s="13">
        <f>AI195*VLOOKUP('Données projet'!$B$10,Paramètres!$A$1:$I$89,3,0)*VLOOKUP('Données projet'!$B$10,Paramètres!$A$1:$I$89,5,0)</f>
        <v>244.24399999999997</v>
      </c>
      <c r="AK195" s="13">
        <f t="shared" si="164"/>
        <v>59.351714130365565</v>
      </c>
      <c r="AL195" s="20">
        <f t="shared" si="165"/>
        <v>528.76253544371991</v>
      </c>
      <c r="AM195" s="59">
        <f t="shared" si="113"/>
        <v>565.42920211038654</v>
      </c>
      <c r="AN195" s="59">
        <f ca="1">AVERAGE(OFFSET($AM$3,0,0,'Données projet'!$E$10+1,1))-AVERAGE(OFFSET($H$3,0,0,'Données projet'!$E$10+1,1))</f>
        <v>302.26866345315602</v>
      </c>
      <c r="AO195" s="59">
        <f t="shared" si="144"/>
        <v>229.97213730997649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4.0276508062315193</v>
      </c>
      <c r="AV195" s="21">
        <f>EXP(-LN(2)/25)*AV194+(1-EXP(-LN(2)/25))/(LN(2)/25)*Calculateur!AQ195*Calculateur!AS195*VLOOKUP('Données projet'!$B$10,Paramètres!$A$1:$I$89,3,0)*0.475*44/12</f>
        <v>0.91628295514479829</v>
      </c>
      <c r="AW195" s="21">
        <f>EXP(-LN(2)/2)*AW194+(1-EXP(-LN(2)/2))/(LN(2)/2)*AQ195*AT195*VLOOKUP('Données projet'!$B$10,Paramètres!$A$1:$I$89,3,0)*0.475*44/12</f>
        <v>5.5700585794963492E-23</v>
      </c>
      <c r="AX195" s="21">
        <f t="shared" si="166"/>
        <v>4.9439337613763179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0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318.84317557630413</v>
      </c>
      <c r="T196" s="59">
        <f t="shared" si="142"/>
        <v>211.80440891545263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24.357326677314415</v>
      </c>
      <c r="AA196" s="21">
        <f>EXP(-LN(2)/25)*AA195+(1-EXP(-LN(2)/25))/(LN(2)/25)*Calculateur!V196*Calculateur!X196*VLOOKUP('Données projet'!$B$9,Paramètres!$A$1:$I$89,3,0)*0.475*44/12</f>
        <v>2.0417092639685501</v>
      </c>
      <c r="AB196" s="21">
        <f>EXP(-LN(2)/2)*AB195+(1-EXP(-LN(2)/2))/(LN(2)/2)*V196*Y196*VLOOKUP('Données projet'!$B$9,Paramètres!$A$1:$I$89,3,0)*0.475*44/12</f>
        <v>3.8531278166452592E-23</v>
      </c>
      <c r="AC196" s="22">
        <f t="shared" si="163"/>
        <v>26.399035941282964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426.99999999999994</v>
      </c>
      <c r="AJ196" s="13">
        <f>AI196*VLOOKUP('Données projet'!$B$10,Paramètres!$A$1:$I$89,3,0)*VLOOKUP('Données projet'!$B$10,Paramètres!$A$1:$I$89,5,0)</f>
        <v>244.24399999999997</v>
      </c>
      <c r="AK196" s="13">
        <f t="shared" si="164"/>
        <v>59.351714130365565</v>
      </c>
      <c r="AL196" s="20">
        <f t="shared" si="165"/>
        <v>528.76253544371991</v>
      </c>
      <c r="AM196" s="59">
        <f t="shared" ref="AM196:AM203" si="193">AL196+(AD196+AE196)*44/12</f>
        <v>565.42920211038654</v>
      </c>
      <c r="AN196" s="59">
        <f ca="1">AVERAGE(OFFSET($AM$3,0,0,'Données projet'!$E$10+1,1))-AVERAGE(OFFSET($H$3,0,0,'Données projet'!$E$10+1,1))</f>
        <v>302.26866345315602</v>
      </c>
      <c r="AO196" s="59">
        <f t="shared" si="144"/>
        <v>229.97213730997649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3.9486710305457393</v>
      </c>
      <c r="AV196" s="21">
        <f>EXP(-LN(2)/25)*AV195+(1-EXP(-LN(2)/25))/(LN(2)/25)*Calculateur!AQ196*Calculateur!AS196*VLOOKUP('Données projet'!$B$10,Paramètres!$A$1:$I$89,3,0)*0.475*44/12</f>
        <v>0.89122714955113735</v>
      </c>
      <c r="AW196" s="21">
        <f>EXP(-LN(2)/2)*AW195+(1-EXP(-LN(2)/2))/(LN(2)/2)*AQ196*AT196*VLOOKUP('Données projet'!$B$10,Paramètres!$A$1:$I$89,3,0)*0.475*44/12</f>
        <v>3.9386261931681768E-23</v>
      </c>
      <c r="AX196" s="21">
        <f t="shared" si="166"/>
        <v>4.8398981800968768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0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318.84317557630413</v>
      </c>
      <c r="T197" s="59">
        <f t="shared" ref="T197:T203" si="204">$T$3</f>
        <v>211.80440891545263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23.879694357674595</v>
      </c>
      <c r="AA197" s="21">
        <f>EXP(-LN(2)/25)*AA196+(1-EXP(-LN(2)/25))/(LN(2)/25)*Calculateur!V197*Calculateur!X197*VLOOKUP('Données projet'!$B$9,Paramètres!$A$1:$I$89,3,0)*0.475*44/12</f>
        <v>1.9858786167765063</v>
      </c>
      <c r="AB197" s="21">
        <f>EXP(-LN(2)/2)*AB196+(1-EXP(-LN(2)/2))/(LN(2)/2)*V197*Y197*VLOOKUP('Données projet'!$B$9,Paramètres!$A$1:$I$89,3,0)*0.475*44/12</f>
        <v>2.7245728079283788E-23</v>
      </c>
      <c r="AC197" s="22">
        <f t="shared" si="163"/>
        <v>25.865572974451101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426.99999999999994</v>
      </c>
      <c r="AJ197" s="13">
        <f>AI197*VLOOKUP('Données projet'!$B$10,Paramètres!$A$1:$I$89,3,0)*VLOOKUP('Données projet'!$B$10,Paramètres!$A$1:$I$89,5,0)</f>
        <v>244.24399999999997</v>
      </c>
      <c r="AK197" s="13">
        <f t="shared" si="164"/>
        <v>59.351714130365565</v>
      </c>
      <c r="AL197" s="20">
        <f t="shared" si="165"/>
        <v>528.76253544371991</v>
      </c>
      <c r="AM197" s="59">
        <f t="shared" si="193"/>
        <v>565.42920211038654</v>
      </c>
      <c r="AN197" s="59">
        <f ca="1">AVERAGE(OFFSET($AM$3,0,0,'Données projet'!$E$10+1,1))-AVERAGE(OFFSET($H$3,0,0,'Données projet'!$E$10+1,1))</f>
        <v>302.26866345315602</v>
      </c>
      <c r="AO197" s="59">
        <f t="shared" ref="AO197:AO203" si="205">$AO$3</f>
        <v>229.97213730997649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3.871240000088251</v>
      </c>
      <c r="AV197" s="21">
        <f>EXP(-LN(2)/25)*AV196+(1-EXP(-LN(2)/25))/(LN(2)/25)*Calculateur!AQ197*Calculateur!AS197*VLOOKUP('Données projet'!$B$10,Paramètres!$A$1:$I$89,3,0)*0.475*44/12</f>
        <v>0.86685649627906258</v>
      </c>
      <c r="AW197" s="21">
        <f>EXP(-LN(2)/2)*AW196+(1-EXP(-LN(2)/2))/(LN(2)/2)*AQ197*AT197*VLOOKUP('Données projet'!$B$10,Paramètres!$A$1:$I$89,3,0)*0.475*44/12</f>
        <v>2.7850292897481746E-23</v>
      </c>
      <c r="AX197" s="21">
        <f t="shared" si="166"/>
        <v>4.738096496367314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0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318.84317557630413</v>
      </c>
      <c r="T198" s="59">
        <f t="shared" si="204"/>
        <v>211.80440891545263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23.411428116495962</v>
      </c>
      <c r="AA198" s="21">
        <f>EXP(-LN(2)/25)*AA197+(1-EXP(-LN(2)/25))/(LN(2)/25)*Calculateur!V198*Calculateur!X198*VLOOKUP('Données projet'!$B$9,Paramètres!$A$1:$I$89,3,0)*0.475*44/12</f>
        <v>1.931574661567935</v>
      </c>
      <c r="AB198" s="21">
        <f>EXP(-LN(2)/2)*AB197+(1-EXP(-LN(2)/2))/(LN(2)/2)*V198*Y198*VLOOKUP('Données projet'!$B$9,Paramètres!$A$1:$I$89,3,0)*0.475*44/12</f>
        <v>1.9265639083226296E-23</v>
      </c>
      <c r="AC198" s="22">
        <f t="shared" si="163"/>
        <v>25.343002778063898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426.99999999999994</v>
      </c>
      <c r="AJ198" s="13">
        <f>AI198*VLOOKUP('Données projet'!$B$10,Paramètres!$A$1:$I$89,3,0)*VLOOKUP('Données projet'!$B$10,Paramètres!$A$1:$I$89,5,0)</f>
        <v>244.24399999999997</v>
      </c>
      <c r="AK198" s="13">
        <f t="shared" si="164"/>
        <v>59.351714130365565</v>
      </c>
      <c r="AL198" s="20">
        <f t="shared" si="165"/>
        <v>528.76253544371991</v>
      </c>
      <c r="AM198" s="59">
        <f t="shared" si="193"/>
        <v>565.42920211038654</v>
      </c>
      <c r="AN198" s="59">
        <f ca="1">AVERAGE(OFFSET($AM$3,0,0,'Données projet'!$E$10+1,1))-AVERAGE(OFFSET($H$3,0,0,'Données projet'!$E$10+1,1))</f>
        <v>302.26866345315602</v>
      </c>
      <c r="AO198" s="59">
        <f t="shared" si="205"/>
        <v>229.97213730997649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3.7953273449097691</v>
      </c>
      <c r="AV198" s="21">
        <f>EXP(-LN(2)/25)*AV197+(1-EXP(-LN(2)/25))/(LN(2)/25)*Calculateur!AQ198*Calculateur!AS198*VLOOKUP('Données projet'!$B$10,Paramètres!$A$1:$I$89,3,0)*0.475*44/12</f>
        <v>0.84315225980230968</v>
      </c>
      <c r="AW198" s="21">
        <f>EXP(-LN(2)/2)*AW197+(1-EXP(-LN(2)/2))/(LN(2)/2)*AQ198*AT198*VLOOKUP('Données projet'!$B$10,Paramètres!$A$1:$I$89,3,0)*0.475*44/12</f>
        <v>1.9693130965840884E-23</v>
      </c>
      <c r="AX198" s="21">
        <f t="shared" si="166"/>
        <v>4.6384796047120789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0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318.84317557630413</v>
      </c>
      <c r="T199" s="59">
        <f t="shared" si="204"/>
        <v>211.80440891545263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22.952344290692636</v>
      </c>
      <c r="AA199" s="21">
        <f>EXP(-LN(2)/25)*AA198+(1-EXP(-LN(2)/25))/(LN(2)/25)*Calculateur!V199*Calculateur!X199*VLOOKUP('Données projet'!$B$9,Paramètres!$A$1:$I$89,3,0)*0.475*44/12</f>
        <v>1.878755650870263</v>
      </c>
      <c r="AB199" s="21">
        <f>EXP(-LN(2)/2)*AB198+(1-EXP(-LN(2)/2))/(LN(2)/2)*V199*Y199*VLOOKUP('Données projet'!$B$9,Paramètres!$A$1:$I$89,3,0)*0.475*44/12</f>
        <v>1.3622864039641894E-23</v>
      </c>
      <c r="AC199" s="22">
        <f t="shared" si="163"/>
        <v>24.831099941562901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426.99999999999994</v>
      </c>
      <c r="AJ199" s="13">
        <f>AI199*VLOOKUP('Données projet'!$B$10,Paramètres!$A$1:$I$89,3,0)*VLOOKUP('Données projet'!$B$10,Paramètres!$A$1:$I$89,5,0)</f>
        <v>244.24399999999997</v>
      </c>
      <c r="AK199" s="13">
        <f t="shared" si="164"/>
        <v>59.351714130365565</v>
      </c>
      <c r="AL199" s="20">
        <f t="shared" si="165"/>
        <v>528.76253544371991</v>
      </c>
      <c r="AM199" s="59">
        <f t="shared" si="193"/>
        <v>565.42920211038654</v>
      </c>
      <c r="AN199" s="59">
        <f ca="1">AVERAGE(OFFSET($AM$3,0,0,'Données projet'!$E$10+1,1))-AVERAGE(OFFSET($H$3,0,0,'Données projet'!$E$10+1,1))</f>
        <v>302.26866345315602</v>
      </c>
      <c r="AO199" s="59">
        <f t="shared" si="205"/>
        <v>229.97213730997649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3.7209032905971893</v>
      </c>
      <c r="AV199" s="21">
        <f>EXP(-LN(2)/25)*AV198+(1-EXP(-LN(2)/25))/(LN(2)/25)*Calculateur!AQ199*Calculateur!AS199*VLOOKUP('Données projet'!$B$10,Paramètres!$A$1:$I$89,3,0)*0.475*44/12</f>
        <v>0.82009621691856527</v>
      </c>
      <c r="AW199" s="21">
        <f>EXP(-LN(2)/2)*AW198+(1-EXP(-LN(2)/2))/(LN(2)/2)*AQ199*AT199*VLOOKUP('Données projet'!$B$10,Paramètres!$A$1:$I$89,3,0)*0.475*44/12</f>
        <v>1.3925146448740873E-23</v>
      </c>
      <c r="AX199" s="21">
        <f t="shared" si="166"/>
        <v>4.540999507515755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0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318.84317557630413</v>
      </c>
      <c r="T200" s="59">
        <f t="shared" si="204"/>
        <v>211.80440891545263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22.50226281869983</v>
      </c>
      <c r="AA200" s="21">
        <f>EXP(-LN(2)/25)*AA199+(1-EXP(-LN(2)/25))/(LN(2)/25)*Calculateur!V200*Calculateur!X200*VLOOKUP('Données projet'!$B$9,Paramètres!$A$1:$I$89,3,0)*0.475*44/12</f>
        <v>1.82738097879775</v>
      </c>
      <c r="AB200" s="21">
        <f>EXP(-LN(2)/2)*AB199+(1-EXP(-LN(2)/2))/(LN(2)/2)*V200*Y200*VLOOKUP('Données projet'!$B$9,Paramètres!$A$1:$I$89,3,0)*0.475*44/12</f>
        <v>9.632819541613148E-24</v>
      </c>
      <c r="AC200" s="22">
        <f t="shared" si="163"/>
        <v>24.329643797497578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426.99999999999994</v>
      </c>
      <c r="AJ200" s="13">
        <f>AI200*VLOOKUP('Données projet'!$B$10,Paramètres!$A$1:$I$89,3,0)*VLOOKUP('Données projet'!$B$10,Paramètres!$A$1:$I$89,5,0)</f>
        <v>244.24399999999997</v>
      </c>
      <c r="AK200" s="13">
        <f t="shared" si="164"/>
        <v>59.351714130365565</v>
      </c>
      <c r="AL200" s="20">
        <f t="shared" si="165"/>
        <v>528.76253544371991</v>
      </c>
      <c r="AM200" s="59">
        <f t="shared" si="193"/>
        <v>565.42920211038654</v>
      </c>
      <c r="AN200" s="59">
        <f ca="1">AVERAGE(OFFSET($AM$3,0,0,'Données projet'!$E$10+1,1))-AVERAGE(OFFSET($H$3,0,0,'Données projet'!$E$10+1,1))</f>
        <v>302.26866345315602</v>
      </c>
      <c r="AO200" s="59">
        <f t="shared" si="205"/>
        <v>229.97213730997649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3.6479386465954886</v>
      </c>
      <c r="AV200" s="21">
        <f>EXP(-LN(2)/25)*AV199+(1-EXP(-LN(2)/25))/(LN(2)/25)*Calculateur!AQ200*Calculateur!AS200*VLOOKUP('Données projet'!$B$10,Paramètres!$A$1:$I$89,3,0)*0.475*44/12</f>
        <v>0.79767064273994137</v>
      </c>
      <c r="AW200" s="21">
        <f>EXP(-LN(2)/2)*AW199+(1-EXP(-LN(2)/2))/(LN(2)/2)*AQ200*AT200*VLOOKUP('Données projet'!$B$10,Paramètres!$A$1:$I$89,3,0)*0.475*44/12</f>
        <v>9.8465654829204421E-24</v>
      </c>
      <c r="AX200" s="21">
        <f t="shared" si="166"/>
        <v>4.4456092893354295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0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318.84317557630413</v>
      </c>
      <c r="T201" s="59">
        <f t="shared" si="204"/>
        <v>211.80440891545263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22.06100716985021</v>
      </c>
      <c r="AA201" s="21">
        <f>EXP(-LN(2)/25)*AA200+(1-EXP(-LN(2)/25))/(LN(2)/25)*Calculateur!V201*Calculateur!X201*VLOOKUP('Données projet'!$B$9,Paramètres!$A$1:$I$89,3,0)*0.475*44/12</f>
        <v>1.7774111498347362</v>
      </c>
      <c r="AB201" s="21">
        <f>EXP(-LN(2)/2)*AB200+(1-EXP(-LN(2)/2))/(LN(2)/2)*V201*Y201*VLOOKUP('Données projet'!$B$9,Paramètres!$A$1:$I$89,3,0)*0.475*44/12</f>
        <v>6.8114320198209471E-24</v>
      </c>
      <c r="AC201" s="22">
        <f t="shared" si="163"/>
        <v>23.838418319684948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426.99999999999994</v>
      </c>
      <c r="AJ201" s="13">
        <f>AI201*VLOOKUP('Données projet'!$B$10,Paramètres!$A$1:$I$89,3,0)*VLOOKUP('Données projet'!$B$10,Paramètres!$A$1:$I$89,5,0)</f>
        <v>244.24399999999997</v>
      </c>
      <c r="AK201" s="13">
        <f t="shared" si="164"/>
        <v>59.351714130365565</v>
      </c>
      <c r="AL201" s="20">
        <f t="shared" si="165"/>
        <v>528.76253544371991</v>
      </c>
      <c r="AM201" s="59">
        <f t="shared" si="193"/>
        <v>565.42920211038654</v>
      </c>
      <c r="AN201" s="59">
        <f ca="1">AVERAGE(OFFSET($AM$3,0,0,'Données projet'!$E$10+1,1))-AVERAGE(OFFSET($H$3,0,0,'Données projet'!$E$10+1,1))</f>
        <v>302.26866345315602</v>
      </c>
      <c r="AO201" s="59">
        <f t="shared" si="205"/>
        <v>229.97213730997649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3.5764047947586226</v>
      </c>
      <c r="AV201" s="21">
        <f>EXP(-LN(2)/25)*AV200+(1-EXP(-LN(2)/25))/(LN(2)/25)*Calculateur!AQ201*Calculateur!AS201*VLOOKUP('Données projet'!$B$10,Paramètres!$A$1:$I$89,3,0)*0.475*44/12</f>
        <v>0.77585829706654164</v>
      </c>
      <c r="AW201" s="21">
        <f>EXP(-LN(2)/2)*AW200+(1-EXP(-LN(2)/2))/(LN(2)/2)*AQ201*AT201*VLOOKUP('Données projet'!$B$10,Paramètres!$A$1:$I$89,3,0)*0.475*44/12</f>
        <v>6.9625732243704366E-24</v>
      </c>
      <c r="AX201" s="21">
        <f t="shared" si="166"/>
        <v>4.3522630918251641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0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318.84317557630413</v>
      </c>
      <c r="T202" s="59">
        <f t="shared" si="204"/>
        <v>211.80440891545263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21.628404275135164</v>
      </c>
      <c r="AA202" s="21">
        <f>EXP(-LN(2)/25)*AA201+(1-EXP(-LN(2)/25))/(LN(2)/25)*Calculateur!V202*Calculateur!X202*VLOOKUP('Données projet'!$B$9,Paramètres!$A$1:$I$89,3,0)*0.475*44/12</f>
        <v>1.7288077484725153</v>
      </c>
      <c r="AB202" s="21">
        <f>EXP(-LN(2)/2)*AB201+(1-EXP(-LN(2)/2))/(LN(2)/2)*V202*Y202*VLOOKUP('Données projet'!$B$9,Paramètres!$A$1:$I$89,3,0)*0.475*44/12</f>
        <v>4.816409770806574E-24</v>
      </c>
      <c r="AC202" s="22">
        <f t="shared" si="163"/>
        <v>23.35721202360768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426.99999999999994</v>
      </c>
      <c r="AJ202" s="13">
        <f>AI202*VLOOKUP('Données projet'!$B$10,Paramètres!$A$1:$I$89,3,0)*VLOOKUP('Données projet'!$B$10,Paramètres!$A$1:$I$89,5,0)</f>
        <v>244.24399999999997</v>
      </c>
      <c r="AK202" s="13">
        <f t="shared" si="164"/>
        <v>59.351714130365565</v>
      </c>
      <c r="AL202" s="20">
        <f t="shared" si="165"/>
        <v>528.76253544371991</v>
      </c>
      <c r="AM202" s="59">
        <f t="shared" si="193"/>
        <v>565.42920211038654</v>
      </c>
      <c r="AN202" s="59">
        <f ca="1">AVERAGE(OFFSET($AM$3,0,0,'Données projet'!$E$10+1,1))-AVERAGE(OFFSET($H$3,0,0,'Données projet'!$E$10+1,1))</f>
        <v>302.26866345315602</v>
      </c>
      <c r="AO202" s="59">
        <f t="shared" si="205"/>
        <v>229.97213730997649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3.5062736781249364</v>
      </c>
      <c r="AV202" s="21">
        <f>EXP(-LN(2)/25)*AV201+(1-EXP(-LN(2)/25))/(LN(2)/25)*Calculateur!AQ202*Calculateur!AS202*VLOOKUP('Données projet'!$B$10,Paramètres!$A$1:$I$89,3,0)*0.475*44/12</f>
        <v>0.75464241113264241</v>
      </c>
      <c r="AW202" s="21">
        <f>EXP(-LN(2)/2)*AW201+(1-EXP(-LN(2)/2))/(LN(2)/2)*AQ202*AT202*VLOOKUP('Données projet'!$B$10,Paramètres!$A$1:$I$89,3,0)*0.475*44/12</f>
        <v>4.923282741460221E-24</v>
      </c>
      <c r="AX202" s="21">
        <f t="shared" si="166"/>
        <v>4.260916089257579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9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0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318.84317557630413</v>
      </c>
      <c r="T203" s="59">
        <f t="shared" si="204"/>
        <v>211.80440891545263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21.204284459323766</v>
      </c>
      <c r="AA203" s="21">
        <f>EXP(-LN(2)/25)*AA202+(1-EXP(-LN(2)/25))/(LN(2)/25)*Calculateur!V203*Calculateur!X203*VLOOKUP('Données projet'!$B$9,Paramètres!$A$1:$I$89,3,0)*0.475*44/12</f>
        <v>1.681533409676486</v>
      </c>
      <c r="AB203" s="21">
        <f>EXP(-LN(2)/2)*AB202+(1-EXP(-LN(2)/2))/(LN(2)/2)*V203*Y203*VLOOKUP('Données projet'!$B$9,Paramètres!$A$1:$I$89,3,0)*0.475*44/12</f>
        <v>3.4057160099104735E-24</v>
      </c>
      <c r="AC203" s="22">
        <f t="shared" si="163"/>
        <v>22.885817869000253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426.99999999999994</v>
      </c>
      <c r="AJ203" s="13">
        <f>AI203*VLOOKUP('Données projet'!$B$10,Paramètres!$A$1:$I$89,3,0)*VLOOKUP('Données projet'!$B$10,Paramètres!$A$1:$I$89,5,0)</f>
        <v>244.24399999999997</v>
      </c>
      <c r="AK203" s="13">
        <f t="shared" si="164"/>
        <v>59.351714130365565</v>
      </c>
      <c r="AL203" s="20">
        <f t="shared" si="165"/>
        <v>528.76253544371991</v>
      </c>
      <c r="AM203" s="59">
        <f t="shared" si="193"/>
        <v>565.42920211038654</v>
      </c>
      <c r="AN203" s="59">
        <f ca="1">AVERAGE(OFFSET($AM$3,0,0,'Données projet'!$E$10+1,1))-AVERAGE(OFFSET($H$3,0,0,'Données projet'!$E$10+1,1))</f>
        <v>302.26866345315602</v>
      </c>
      <c r="AO203" s="59">
        <f t="shared" si="205"/>
        <v>229.97213730997649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3.4375177899126794</v>
      </c>
      <c r="AV203" s="21">
        <f>EXP(-LN(2)/25)*AV202+(1-EXP(-LN(2)/25))/(LN(2)/25)*Calculateur!AQ203*Calculateur!AS203*VLOOKUP('Données projet'!$B$10,Paramètres!$A$1:$I$89,3,0)*0.475*44/12</f>
        <v>0.73400667471530068</v>
      </c>
      <c r="AW203" s="21">
        <f>EXP(-LN(2)/2)*AW202+(1-EXP(-LN(2)/2))/(LN(2)/2)*AQ203*AT203*VLOOKUP('Données projet'!$B$10,Paramètres!$A$1:$I$89,3,0)*0.475*44/12</f>
        <v>3.4812866121852183E-24</v>
      </c>
      <c r="AX203" s="21">
        <f t="shared" si="166"/>
        <v>4.1715244646279803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9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9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1.2366440639531338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1.2231148535053959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75" defaultRowHeight="14.3" x14ac:dyDescent="0.25"/>
  <cols>
    <col min="1" max="1" width="23.375" style="4" bestFit="1" customWidth="1"/>
    <col min="2" max="2" width="27.75" style="4" bestFit="1" customWidth="1"/>
    <col min="3" max="3" width="11.875" style="4" bestFit="1" customWidth="1"/>
    <col min="4" max="4" width="40" style="4" bestFit="1" customWidth="1"/>
    <col min="5" max="5" width="11.875" style="4" bestFit="1" customWidth="1"/>
    <col min="6" max="6" width="13.75" style="4" bestFit="1" customWidth="1"/>
    <col min="7" max="7" width="11.375" style="4" bestFit="1" customWidth="1"/>
    <col min="8" max="8" width="39" style="4" bestFit="1" customWidth="1"/>
    <col min="9" max="9" width="16.75" style="4" customWidth="1"/>
    <col min="10" max="14" width="11.375" style="4"/>
    <col min="15" max="15" width="23.375" style="4" bestFit="1" customWidth="1"/>
    <col min="16" max="16384" width="11.375" style="4"/>
  </cols>
  <sheetData>
    <row r="1" spans="1:16" ht="43.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9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9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9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9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9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9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2" sqref="K22"/>
    </sheetView>
  </sheetViews>
  <sheetFormatPr baseColWidth="10" defaultColWidth="11.375" defaultRowHeight="14.3" x14ac:dyDescent="0.25"/>
  <cols>
    <col min="1" max="1" width="22.875" style="1" bestFit="1" customWidth="1"/>
    <col min="2" max="2" width="10.625" style="1" bestFit="1" customWidth="1"/>
    <col min="3" max="3" width="15.625" style="1" bestFit="1" customWidth="1"/>
    <col min="4" max="4" width="13.375" style="1" bestFit="1" customWidth="1"/>
    <col min="5" max="8" width="11.375" style="1"/>
    <col min="9" max="13" width="11.375" style="62"/>
    <col min="14" max="15" width="11.375" style="1"/>
    <col min="16" max="17" width="13.375" style="1" customWidth="1"/>
    <col min="18" max="16384" width="11.375" style="1"/>
  </cols>
  <sheetData>
    <row r="1" spans="1:62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ht="14.9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8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ht="14.95" x14ac:dyDescent="0.25">
      <c r="A6" s="145" t="str">
        <f>IF('Données projet'!$B$9="","",'Données projet'!$B$9)</f>
        <v>Pin laricio</v>
      </c>
      <c r="B6" s="146">
        <f>'Données projet'!D9</f>
        <v>0.89999999999999991</v>
      </c>
      <c r="C6" s="147">
        <f ca="1">IF(OR('Données projet'!B9="",'Données projet'!C9="",'Données projet'!C9=0%),0,Calculateur!S3)</f>
        <v>318.84317557630413</v>
      </c>
      <c r="D6" s="147">
        <f>IF(OR('Données projet'!B9="",'Données projet'!C9="",'Données projet'!C9=0%),0,Calculateur!T3)</f>
        <v>211.80440891545263</v>
      </c>
      <c r="E6" s="147">
        <f ca="1">MIN(C6,D6)</f>
        <v>211.80440891545263</v>
      </c>
      <c r="F6" s="147">
        <f ca="1">E6*B6</f>
        <v>190.62396802390734</v>
      </c>
      <c r="G6" s="147">
        <f ca="1">F6*(100%-'Données projet'!$C$24)*(100%-'Données projet'!$C$25)*(100%-'Données projet'!$C$26)*(100%-'Données projet'!$C$27)</f>
        <v>145.82733553828911</v>
      </c>
      <c r="H6" s="148">
        <f>IF(OR('Données projet'!B9="",'Données projet'!C9="",'Données projet'!C9=0%),0,AVERAGE(Calculateur!$AC$3:$AC$33)*B6)</f>
        <v>2.4996381998950232</v>
      </c>
      <c r="I6" s="149">
        <f>H6*(100%-'Données projet'!$C$24)*(100%-'Données projet'!$C$25)*(100%-'Données projet'!$C$26)*(100%-'Données projet'!$C$27)</f>
        <v>1.9122232229196927</v>
      </c>
      <c r="J6" s="150">
        <f>IF(OR('Données projet'!B9="",'Données projet'!C9="",'Données projet'!C9=0%),0,SUM(Calculateur!$V$3:$V$33)*VLOOKUP('Données projet'!$B$9,Paramètres!$A$1:$I$89,9,0)*B6)</f>
        <v>25.928999999999995</v>
      </c>
      <c r="K6" s="151">
        <f>J6*(100%-'Données projet'!$C$24)*(100%-'Données projet'!$C$25)*(100%-'Données projet'!$C$26)*(100%-'Données projet'!$C$27)</f>
        <v>19.835684999999994</v>
      </c>
      <c r="L6" s="152">
        <f ca="1">G6+I6+K6</f>
        <v>167.57524376120878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ht="14.95" x14ac:dyDescent="0.25">
      <c r="A7" s="153" t="str">
        <f>IF('Données projet'!$B$10="","",'Données projet'!$B$10)</f>
        <v>Pin sylvestre</v>
      </c>
      <c r="B7" s="154">
        <f>'Données projet'!D10</f>
        <v>0.60000000000000009</v>
      </c>
      <c r="C7" s="147">
        <f ca="1">IF(OR('Données projet'!B10="",'Données projet'!C10="",'Données projet'!C10=0%),0,Calculateur!AN3)</f>
        <v>302.26866345315602</v>
      </c>
      <c r="D7" s="147">
        <f>IF(OR('Données projet'!B10="",'Données projet'!C10="",'Données projet'!C10=0%),0,Calculateur!AO3)</f>
        <v>229.97213730997649</v>
      </c>
      <c r="E7" s="147">
        <f t="shared" ref="E7:E15" ca="1" si="0">MIN(C7,D7)</f>
        <v>229.97213730997649</v>
      </c>
      <c r="F7" s="147">
        <f t="shared" ref="F7:F15" ca="1" si="1">E7*B7</f>
        <v>137.98328238598592</v>
      </c>
      <c r="G7" s="147">
        <f ca="1">F7*(100%-'Données projet'!$C$24)*(100%-'Données projet'!$C$25)*(100%-'Données projet'!$C$26)*(100%-'Données projet'!$C$27)</f>
        <v>105.55721102527923</v>
      </c>
      <c r="H7" s="155">
        <f>IF(OR('Données projet'!B10="",'Données projet'!C10="",'Données projet'!C10=0%),0,AVERAGE(Calculateur!$AX$3:$AX$33)*B7)</f>
        <v>1.1090840665906463</v>
      </c>
      <c r="I7" s="149">
        <f>H7*(100%-'Données projet'!$C$24)*(100%-'Données projet'!$C$25)*(100%-'Données projet'!$C$26)*(100%-'Données projet'!$C$27)</f>
        <v>0.84844931094184439</v>
      </c>
      <c r="J7" s="150">
        <f>IF(OR('Données projet'!B10="",'Données projet'!C10="",'Données projet'!C10=0%),0,SUM(Calculateur!$AQ$3:$AQ$33)*VLOOKUP('Données projet'!$B$10,Paramètres!$A$1:$I$89,9,0)*B7)</f>
        <v>14.706000000000001</v>
      </c>
      <c r="K7" s="151">
        <f>J7*(100%-'Données projet'!$C$24)*(100%-'Données projet'!$C$25)*(100%-'Données projet'!$C$26)*(100%-'Données projet'!$C$27)</f>
        <v>11.250090000000002</v>
      </c>
      <c r="L7" s="152">
        <f t="shared" ref="L7:L15" ca="1" si="2">G7+I7+K7</f>
        <v>117.65575033622108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ht="14.95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ht="14.95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ht="14.95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ht="14.95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ht="14.95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ht="14.95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ht="14.95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8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8" thickBot="1" x14ac:dyDescent="0.3">
      <c r="A16" s="209"/>
      <c r="B16" s="213"/>
      <c r="C16" s="214"/>
      <c r="D16" s="23"/>
      <c r="E16" s="23"/>
      <c r="F16" s="165">
        <f t="shared" ref="F16:L16" ca="1" si="3">SUM(F6:F15)</f>
        <v>328.60725040989325</v>
      </c>
      <c r="G16" s="166">
        <f t="shared" ca="1" si="3"/>
        <v>251.38454656356834</v>
      </c>
      <c r="H16" s="167">
        <f t="shared" si="3"/>
        <v>3.6087222664856693</v>
      </c>
      <c r="I16" s="167">
        <f t="shared" si="3"/>
        <v>2.7606725338615372</v>
      </c>
      <c r="J16" s="168">
        <f t="shared" si="3"/>
        <v>40.634999999999998</v>
      </c>
      <c r="K16" s="168">
        <f t="shared" si="3"/>
        <v>31.085774999999998</v>
      </c>
      <c r="L16" s="169">
        <f t="shared" ca="1" si="3"/>
        <v>285.23099409742986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ht="14.95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8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8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ht="14.95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ht="14.95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ht="14.95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ht="14.95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ht="14.95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ht="14.95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ht="14.95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ht="14.95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ht="14.95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ht="14.95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9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95" thickBot="1" x14ac:dyDescent="0.3">
      <c r="A39" s="170" t="str">
        <f>A7</f>
        <v>Pin sylvestre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9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9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9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9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9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9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9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9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9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9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9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9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9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9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9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9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80" zoomScaleNormal="80" workbookViewId="0">
      <selection activeCell="I21" sqref="I21"/>
    </sheetView>
  </sheetViews>
  <sheetFormatPr baseColWidth="10" defaultColWidth="11.375" defaultRowHeight="14.3" x14ac:dyDescent="0.25"/>
  <cols>
    <col min="1" max="1" width="11.375" style="1"/>
    <col min="2" max="2" width="30.875" style="1" bestFit="1" customWidth="1"/>
    <col min="3" max="3" width="18.125" style="1" bestFit="1" customWidth="1"/>
    <col min="4" max="5" width="11.375" style="1"/>
    <col min="6" max="6" width="14" style="1" customWidth="1"/>
    <col min="7" max="7" width="17.625" style="1" customWidth="1"/>
    <col min="8" max="8" width="21.75" style="1" customWidth="1"/>
    <col min="9" max="9" width="37" style="1" customWidth="1"/>
    <col min="10" max="10" width="11.375" style="1"/>
    <col min="11" max="11" width="8.875" style="1" customWidth="1"/>
    <col min="12" max="12" width="11.375" style="1"/>
    <col min="13" max="13" width="21" style="1" customWidth="1"/>
    <col min="14" max="16" width="11.375" style="1"/>
    <col min="17" max="17" width="8" style="1" customWidth="1"/>
    <col min="18" max="18" width="11.375" style="1"/>
    <col min="19" max="19" width="31" style="1" customWidth="1"/>
    <col min="20" max="20" width="18.125" style="1" customWidth="1"/>
    <col min="21" max="21" width="16.375" style="1" customWidth="1"/>
    <col min="22" max="22" width="17.875" style="1" customWidth="1"/>
    <col min="23" max="16384" width="11.375" style="1"/>
  </cols>
  <sheetData>
    <row r="1" spans="1:42" ht="15.8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4.95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4.95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8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" customHeight="1" thickBot="1" x14ac:dyDescent="0.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14.95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1781.7073753122409</v>
      </c>
      <c r="U10" s="178">
        <f>'Données projet'!D9</f>
        <v>0.89999999999999991</v>
      </c>
      <c r="V10" s="177">
        <f>U10*T10</f>
        <v>1603.5366377810167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sylvestre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0.60000000000000009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14.95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4.9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4.9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350000000000001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4.95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8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8" customHeight="1" x14ac:dyDescent="0.25">
      <c r="A23" s="180">
        <f>'Données projet'!A36</f>
        <v>22</v>
      </c>
      <c r="B23" s="181">
        <f>'Données projet'!D36</f>
        <v>16</v>
      </c>
      <c r="C23" s="193">
        <v>15</v>
      </c>
      <c r="D23" s="182">
        <f>B23*C23</f>
        <v>240</v>
      </c>
      <c r="E23" s="193">
        <v>150</v>
      </c>
      <c r="F23" s="230"/>
      <c r="H23" s="190">
        <v>4</v>
      </c>
      <c r="I23" s="191">
        <v>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-6681.9634796627379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8" customHeight="1" x14ac:dyDescent="0.25">
      <c r="A24" s="180">
        <f>'Données projet'!A37</f>
        <v>25</v>
      </c>
      <c r="B24" s="181">
        <f>'Données projet'!D37</f>
        <v>17</v>
      </c>
      <c r="C24" s="193">
        <v>25</v>
      </c>
      <c r="D24" s="182">
        <f t="shared" ref="D24:D42" si="2">B24*C24</f>
        <v>425</v>
      </c>
      <c r="E24" s="193">
        <v>150</v>
      </c>
      <c r="F24" s="233"/>
      <c r="H24" s="190">
        <v>5</v>
      </c>
      <c r="I24" s="191">
        <v>500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8" customHeight="1" x14ac:dyDescent="0.25">
      <c r="A25" s="180">
        <f>'Données projet'!A38</f>
        <v>30</v>
      </c>
      <c r="B25" s="181">
        <f>'Données projet'!D38</f>
        <v>34</v>
      </c>
      <c r="C25" s="193">
        <v>27</v>
      </c>
      <c r="D25" s="182">
        <f t="shared" si="2"/>
        <v>918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-6681.9634796627379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8" customHeight="1" x14ac:dyDescent="0.25">
      <c r="A26" s="180">
        <f>'Données projet'!A39</f>
        <v>35</v>
      </c>
      <c r="B26" s="181">
        <f>'Données projet'!D39</f>
        <v>41</v>
      </c>
      <c r="C26" s="193">
        <v>30</v>
      </c>
      <c r="D26" s="182">
        <f t="shared" si="2"/>
        <v>1230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8" customHeight="1" x14ac:dyDescent="0.25">
      <c r="A27" s="180">
        <f>'Données projet'!A40</f>
        <v>40</v>
      </c>
      <c r="B27" s="181">
        <f>'Données projet'!D40</f>
        <v>41</v>
      </c>
      <c r="C27" s="193">
        <v>35</v>
      </c>
      <c r="D27" s="182">
        <f t="shared" si="2"/>
        <v>1435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8" customHeight="1" x14ac:dyDescent="0.25">
      <c r="A28" s="180">
        <f>'Données projet'!A41</f>
        <v>45</v>
      </c>
      <c r="B28" s="181">
        <f>'Données projet'!D41</f>
        <v>53</v>
      </c>
      <c r="C28" s="193">
        <v>40</v>
      </c>
      <c r="D28" s="182">
        <f t="shared" si="2"/>
        <v>2120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ht="14.95" x14ac:dyDescent="0.25">
      <c r="A29" s="180">
        <f>'Données projet'!A42</f>
        <v>50</v>
      </c>
      <c r="B29" s="181">
        <f>'Données projet'!D42</f>
        <v>53</v>
      </c>
      <c r="C29" s="193">
        <v>45</v>
      </c>
      <c r="D29" s="182">
        <f t="shared" si="2"/>
        <v>2385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ht="14.95" x14ac:dyDescent="0.25">
      <c r="A30" s="180">
        <f>'Données projet'!A43</f>
        <v>58</v>
      </c>
      <c r="B30" s="181">
        <f>'Données projet'!D43</f>
        <v>78</v>
      </c>
      <c r="C30" s="193">
        <v>50</v>
      </c>
      <c r="D30" s="182">
        <f t="shared" si="2"/>
        <v>3900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ht="14.95" x14ac:dyDescent="0.25">
      <c r="A31" s="180">
        <f>'Données projet'!A44</f>
        <v>66</v>
      </c>
      <c r="B31" s="181">
        <f>'Données projet'!D44</f>
        <v>65</v>
      </c>
      <c r="C31" s="193">
        <v>55</v>
      </c>
      <c r="D31" s="182">
        <f t="shared" si="2"/>
        <v>3575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4.95" customHeight="1" x14ac:dyDescent="0.25">
      <c r="A32" s="180">
        <f>'Données projet'!A45</f>
        <v>74</v>
      </c>
      <c r="B32" s="181">
        <f>'Données projet'!D45</f>
        <v>37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ht="14.95" x14ac:dyDescent="0.25">
      <c r="A33" s="180">
        <f>'Données projet'!A46</f>
        <v>82</v>
      </c>
      <c r="B33" s="181">
        <f>'Données projet'!D46</f>
        <v>541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ht="14.95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ht="14.95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ht="14.95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ht="14.95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ht="14.95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ht="14.95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sylvestre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350000000000001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4.9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4.95" customHeight="1" x14ac:dyDescent="0.25">
      <c r="A54" s="180">
        <f>'Données projet'!A62</f>
        <v>22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4.95" customHeight="1" x14ac:dyDescent="0.25">
      <c r="A55" s="180">
        <f>'Données projet'!A63</f>
        <v>25</v>
      </c>
      <c r="B55" s="181">
        <f>'Données projet'!D63</f>
        <v>21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4.95" customHeight="1" x14ac:dyDescent="0.25">
      <c r="A56" s="180">
        <f>'Données projet'!A64</f>
        <v>30</v>
      </c>
      <c r="B56" s="181">
        <f>'Données projet'!D64</f>
        <v>36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4.95" customHeight="1" x14ac:dyDescent="0.25">
      <c r="A57" s="180">
        <f>'Données projet'!A65</f>
        <v>35</v>
      </c>
      <c r="B57" s="181">
        <f>'Données projet'!D65</f>
        <v>49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4.95" customHeight="1" x14ac:dyDescent="0.25">
      <c r="A58" s="180">
        <f>'Données projet'!A66</f>
        <v>40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4.95" customHeight="1" x14ac:dyDescent="0.25">
      <c r="A59" s="180">
        <f>'Données projet'!A67</f>
        <v>45</v>
      </c>
      <c r="B59" s="181">
        <f>'Données projet'!D67</f>
        <v>38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37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58</v>
      </c>
      <c r="B61" s="181">
        <f>'Données projet'!D69</f>
        <v>48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66</v>
      </c>
      <c r="B62" s="181">
        <f>'Données projet'!D70</f>
        <v>50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74</v>
      </c>
      <c r="B63" s="181">
        <f>'Données projet'!D71</f>
        <v>20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82</v>
      </c>
      <c r="B64" s="181">
        <f>'Données projet'!D72</f>
        <v>17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str">
        <f>IF(O115+1&lt;=MIN('Données projet'!$E$9:$E$18),O115+1,"STOP")</f>
        <v>STOP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8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8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8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8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8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8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8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4.9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DELTA TECHNOLOGIES</cp:lastModifiedBy>
  <dcterms:created xsi:type="dcterms:W3CDTF">2021-02-01T08:22:39Z</dcterms:created>
  <dcterms:modified xsi:type="dcterms:W3CDTF">2024-10-03T15:06:32Z</dcterms:modified>
</cp:coreProperties>
</file>