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HERMOUET/PIVETEAU - CD/"/>
    </mc:Choice>
  </mc:AlternateContent>
  <xr:revisionPtr revIDLastSave="57" documentId="13_ncr:1_{91C62E09-7A97-40C6-8A6D-8C8B5668C142}" xr6:coauthVersionLast="47" xr6:coauthVersionMax="47" xr10:uidLastSave="{BA10389C-BC5F-4CBC-A67A-31A8B4DC8029}"/>
  <bookViews>
    <workbookView xWindow="-103" yWindow="-103" windowWidth="19543" windowHeight="12377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A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ED160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Y161" i="2"/>
  <c r="EW162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ED163" i="2"/>
  <c r="EA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B167" i="2"/>
  <c r="EA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B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W185" i="2"/>
  <c r="EY184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W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W192" i="2"/>
  <c r="HG192" i="2"/>
  <c r="EA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AA195" i="2"/>
  <c r="EX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EA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A201" i="2"/>
  <c r="EB201" i="2"/>
  <c r="HH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9" i="2" a="1"/>
  <c r="AH199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CS38" i="2" l="1" a="1"/>
  <c r="CS38" i="2" s="1"/>
  <c r="CS105" i="2" a="1"/>
  <c r="CS105" i="2" s="1"/>
  <c r="CS161" i="2" a="1"/>
  <c r="CS161" i="2" s="1"/>
  <c r="CS77" i="2" a="1"/>
  <c r="CS77" i="2" s="1"/>
  <c r="AH163" i="2" a="1"/>
  <c r="AH163" i="2" s="1"/>
  <c r="AH62" i="2" a="1"/>
  <c r="AH62" i="2" s="1"/>
  <c r="BX107" i="2" a="1"/>
  <c r="BX107" i="2" s="1"/>
  <c r="BC185" i="2" a="1"/>
  <c r="BC185" i="2" s="1"/>
  <c r="BC117" i="2" a="1"/>
  <c r="BC117" i="2" s="1"/>
  <c r="BC181" i="2" a="1"/>
  <c r="BC181" i="2" s="1"/>
  <c r="AH19" i="2" a="1"/>
  <c r="AH19" i="2" s="1"/>
  <c r="AH90" i="2" a="1"/>
  <c r="AH90" i="2" s="1"/>
  <c r="AH166" i="2" a="1"/>
  <c r="AH166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32" i="2" l="1"/>
  <c r="AN106" i="2"/>
  <c r="AN16" i="2"/>
  <c r="AN121" i="2"/>
  <c r="AN82" i="2"/>
  <c r="AN22" i="2"/>
  <c r="AN108" i="2"/>
  <c r="AN142" i="2"/>
  <c r="AN173" i="2"/>
  <c r="AN89" i="2"/>
  <c r="AN128" i="2"/>
  <c r="AN196" i="2"/>
  <c r="AN167" i="2"/>
  <c r="AN114" i="2"/>
  <c r="AN136" i="2"/>
  <c r="AN164" i="2"/>
  <c r="AN178" i="2"/>
  <c r="AN191" i="2"/>
  <c r="AN189" i="2"/>
  <c r="AN172" i="2"/>
  <c r="AN71" i="2"/>
  <c r="AN28" i="2"/>
  <c r="AN118" i="2"/>
  <c r="AN169" i="2"/>
  <c r="AN3" i="2"/>
  <c r="C7" i="4" s="1"/>
  <c r="E7" i="4" s="1"/>
  <c r="F7" i="4" s="1"/>
  <c r="G7" i="4" s="1"/>
  <c r="L7" i="4" s="1"/>
  <c r="AN53" i="2"/>
  <c r="AN176" i="2"/>
  <c r="AN97" i="2"/>
  <c r="AN42" i="2"/>
  <c r="AN81" i="2"/>
  <c r="AN43" i="2"/>
  <c r="AN91" i="2"/>
  <c r="AN94" i="2"/>
  <c r="AN13" i="2"/>
  <c r="AN77" i="2"/>
  <c r="AN200" i="2"/>
  <c r="AN184" i="2"/>
  <c r="AN27" i="2"/>
  <c r="AN135" i="2"/>
  <c r="AN49" i="2"/>
  <c r="AN146" i="2"/>
  <c r="AN88" i="2"/>
  <c r="AN67" i="2"/>
  <c r="AN69" i="2"/>
  <c r="AN124" i="2"/>
  <c r="AN74" i="2"/>
  <c r="AN159" i="2"/>
  <c r="AN160" i="2"/>
  <c r="AN95" i="2"/>
  <c r="AN145" i="2"/>
  <c r="AN25" i="2"/>
  <c r="AN126" i="2"/>
  <c r="AN192" i="2"/>
  <c r="AN113" i="2"/>
  <c r="AN133" i="2"/>
  <c r="AN112" i="2"/>
  <c r="AN24" i="2"/>
  <c r="AN90" i="2"/>
  <c r="AN47" i="2"/>
  <c r="AN20" i="2"/>
  <c r="AN17" i="2"/>
  <c r="AN201" i="2"/>
  <c r="AN85" i="2"/>
  <c r="AN5" i="2"/>
  <c r="AN68" i="2"/>
  <c r="AN35" i="2"/>
  <c r="AN182" i="2"/>
  <c r="AN117" i="2"/>
  <c r="AN15" i="2"/>
  <c r="AN181" i="2"/>
  <c r="AN123" i="2"/>
  <c r="AN140" i="2"/>
  <c r="AN96" i="2"/>
  <c r="AN198" i="2"/>
  <c r="AN131" i="2"/>
  <c r="AN70" i="2"/>
  <c r="AN76" i="2"/>
  <c r="AN166" i="2"/>
  <c r="AN87" i="2"/>
  <c r="AN100" i="2"/>
  <c r="AN8" i="2"/>
  <c r="AN165" i="2"/>
  <c r="AN40" i="2"/>
  <c r="AN203" i="2"/>
  <c r="AN18" i="2"/>
  <c r="AN34" i="2"/>
  <c r="AN60" i="2"/>
  <c r="AN161" i="2"/>
  <c r="AN26" i="2"/>
  <c r="AN6" i="2"/>
  <c r="AN75" i="2"/>
  <c r="AN105" i="2"/>
  <c r="AN193" i="2"/>
  <c r="AN33" i="2"/>
  <c r="AN144" i="2"/>
  <c r="AN72" i="2"/>
  <c r="AN151" i="2"/>
  <c r="AN56" i="2"/>
  <c r="AN107" i="2"/>
  <c r="AN120" i="2"/>
  <c r="AN152" i="2"/>
  <c r="AN187" i="2"/>
  <c r="AN12" i="2"/>
  <c r="AN66" i="2"/>
  <c r="AN138" i="2"/>
  <c r="AN39" i="2"/>
  <c r="AN156" i="2"/>
  <c r="AN63" i="2"/>
  <c r="AN59" i="2"/>
  <c r="AN102" i="2"/>
  <c r="AN45" i="2"/>
  <c r="AN162" i="2"/>
  <c r="AN50" i="2"/>
  <c r="AN137" i="2"/>
  <c r="AN73" i="2"/>
  <c r="AN149" i="2"/>
  <c r="AN36" i="2"/>
  <c r="AN168" i="2"/>
  <c r="AN174" i="2"/>
  <c r="AN51" i="2"/>
  <c r="AN134" i="2"/>
  <c r="AN64" i="2"/>
  <c r="AN116" i="2"/>
  <c r="AN177" i="2"/>
  <c r="AN31" i="2"/>
  <c r="AN179" i="2"/>
  <c r="AN9" i="2"/>
  <c r="AN197" i="2"/>
  <c r="AN80" i="2"/>
  <c r="AN154" i="2"/>
  <c r="AN103" i="2"/>
  <c r="AN175" i="2"/>
  <c r="AN58" i="2"/>
  <c r="AN127" i="2"/>
  <c r="AN147" i="2"/>
  <c r="AN38" i="2"/>
  <c r="AN190" i="2"/>
  <c r="AN98" i="2"/>
  <c r="AN93" i="2"/>
  <c r="AN29" i="2"/>
  <c r="AN78" i="2"/>
  <c r="AN101" i="2"/>
  <c r="AN57" i="2"/>
  <c r="AN4" i="2"/>
  <c r="AN62" i="2"/>
  <c r="AN199" i="2"/>
  <c r="AN99" i="2"/>
  <c r="AN37" i="2"/>
  <c r="AN194" i="2"/>
  <c r="AN104" i="2"/>
  <c r="AN30" i="2"/>
  <c r="AN132" i="2"/>
  <c r="AN119" i="2"/>
  <c r="AN163" i="2"/>
  <c r="AN185" i="2"/>
  <c r="AN83" i="2"/>
  <c r="AN61" i="2"/>
  <c r="AN143" i="2"/>
  <c r="AN180" i="2"/>
  <c r="AN183" i="2"/>
  <c r="AN188" i="2"/>
  <c r="AN52" i="2"/>
  <c r="AN11" i="2"/>
  <c r="AN46" i="2"/>
  <c r="AN150" i="2"/>
  <c r="AN148" i="2"/>
  <c r="AN157" i="2"/>
  <c r="AN54" i="2"/>
  <c r="AN55" i="2"/>
  <c r="AN202" i="2"/>
  <c r="AN19" i="2"/>
  <c r="AN158" i="2"/>
  <c r="AN115" i="2"/>
  <c r="AN139" i="2"/>
  <c r="AN48" i="2"/>
  <c r="AN110" i="2"/>
  <c r="AN84" i="2"/>
  <c r="AN130" i="2"/>
  <c r="AN14" i="2"/>
  <c r="AN141" i="2"/>
  <c r="AN23" i="2"/>
  <c r="AN186" i="2"/>
  <c r="AN10" i="2"/>
  <c r="AN129" i="2"/>
  <c r="AN21" i="2"/>
  <c r="AN109" i="2"/>
  <c r="AN195" i="2"/>
  <c r="AN65" i="2"/>
  <c r="AN171" i="2"/>
  <c r="AN92" i="2"/>
  <c r="AN155" i="2"/>
  <c r="AN7" i="2"/>
  <c r="AN153" i="2"/>
  <c r="AN41" i="2"/>
  <c r="AN86" i="2"/>
  <c r="AN125" i="2"/>
  <c r="AN44" i="2"/>
  <c r="AN122" i="2"/>
  <c r="AN111" i="2"/>
  <c r="AN79" i="2"/>
  <c r="AN170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<sst xmlns="http://schemas.openxmlformats.org/spreadsheetml/2006/main" count="1175" uniqueCount="324">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</sst>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9.455062698144042</c:v>
                </c:pt>
                <c:pt idx="2">
                  <c:v>18.496310297315823</c:v>
                </c:pt>
                <c:pt idx="3">
                  <c:v>27.403916391738104</c:v>
                </c:pt>
                <c:pt idx="4">
                  <c:v>36.229142753137985</c:v>
                </c:pt>
                <c:pt idx="5">
                  <c:v>44.995222896934202</c:v>
                </c:pt>
                <c:pt idx="6">
                  <c:v>53.715410190347939</c:v>
                </c:pt>
                <c:pt idx="7">
                  <c:v>62.398248566777788</c:v>
                </c:pt>
                <c:pt idx="8">
                  <c:v>71.049689213150188</c:v>
                </c:pt>
                <c:pt idx="9">
                  <c:v>79.674106327561205</c:v>
                </c:pt>
                <c:pt idx="10">
                  <c:v>88.274845038996318</c:v>
                </c:pt>
                <c:pt idx="11">
                  <c:v>96.854542735909192</c:v>
                </c:pt>
                <c:pt idx="12">
                  <c:v>105.41532977759353</c:v>
                </c:pt>
                <c:pt idx="13">
                  <c:v>113.9589612164482</c:v>
                </c:pt>
                <c:pt idx="14">
                  <c:v>122.48690675861542</c:v>
                </c:pt>
                <c:pt idx="15">
                  <c:v>131.0004142550055</c:v>
                </c:pt>
                <c:pt idx="16">
                  <c:v>139.50055576351562</c:v>
                </c:pt>
                <c:pt idx="17">
                  <c:v>147.98826176069258</c:v>
                </c:pt>
                <c:pt idx="18">
                  <c:v>156.46434707133648</c:v>
                </c:pt>
                <c:pt idx="19">
                  <c:v>164.92953087077578</c:v>
                </c:pt>
                <c:pt idx="20">
                  <c:v>173.38445235600605</c:v>
                </c:pt>
                <c:pt idx="21">
                  <c:v>181.82968319353185</c:v>
                </c:pt>
                <c:pt idx="22">
                  <c:v>190.26573752901183</c:v>
                </c:pt>
                <c:pt idx="23">
                  <c:v>198.69308012552312</c:v>
                </c:pt>
                <c:pt idx="24">
                  <c:v>207.11213304653862</c:v>
                </c:pt>
                <c:pt idx="25">
                  <c:v>215.52328119368903</c:v>
                </c:pt>
                <c:pt idx="26">
                  <c:v>223.92687693354154</c:v>
                </c:pt>
                <c:pt idx="27">
                  <c:v>232.32324399254557</c:v>
                </c:pt>
                <c:pt idx="28">
                  <c:v>240.71268075872808</c:v>
                </c:pt>
                <c:pt idx="29">
                  <c:v>249.0954630984634</c:v>
                </c:pt>
                <c:pt idx="30">
                  <c:v>257.47184677380858</c:v>
                </c:pt>
                <c:pt idx="31">
                  <c:v>265.842069528472</c:v>
                </c:pt>
                <c:pt idx="32">
                  <c:v>274.20635289706468</c:v>
                </c:pt>
                <c:pt idx="33">
                  <c:v>282.56490378184208</c:v>
                </c:pt>
                <c:pt idx="34">
                  <c:v>290.91791583295509</c:v>
                </c:pt>
                <c:pt idx="35">
                  <c:v>299.26557066175616</c:v>
                </c:pt>
                <c:pt idx="36">
                  <c:v>307.60803891154438</c:v>
                </c:pt>
                <c:pt idx="37">
                  <c:v>315.94548120599461</c:v>
                </c:pt>
                <c:pt idx="38">
                  <c:v>324.27804899216886</c:v>
                </c:pt>
                <c:pt idx="39">
                  <c:v>332.60588529229494</c:v>
                </c:pt>
                <c:pt idx="40">
                  <c:v>340.92912537626927</c:v>
                </c:pt>
                <c:pt idx="41">
                  <c:v>349.24789736501674</c:v>
                </c:pt>
                <c:pt idx="42">
                  <c:v>357.56232277332811</c:v>
                </c:pt>
                <c:pt idx="43">
                  <c:v>287.56104355196334</c:v>
                </c:pt>
                <c:pt idx="44">
                  <c:v>308.16964872324991</c:v>
                </c:pt>
                <c:pt idx="45">
                  <c:v>328.74764878240444</c:v>
                </c:pt>
                <c:pt idx="46">
                  <c:v>349.29722800821287</c:v>
                </c:pt>
                <c:pt idx="47">
                  <c:v>369.82029275047915</c:v>
                </c:pt>
                <c:pt idx="48">
                  <c:v>390.31852057493785</c:v>
                </c:pt>
                <c:pt idx="49">
                  <c:v>410.79339854102176</c:v>
                </c:pt>
                <c:pt idx="50">
                  <c:v>431.24625344812392</c:v>
                </c:pt>
                <c:pt idx="51">
                  <c:v>376.21717632117338</c:v>
                </c:pt>
                <c:pt idx="52">
                  <c:v>397.22196486755848</c:v>
                </c:pt>
                <c:pt idx="53">
                  <c:v>418.20270341284862</c:v>
                </c:pt>
                <c:pt idx="54">
                  <c:v>439.16076742381068</c:v>
                </c:pt>
                <c:pt idx="55">
                  <c:v>460.09739045242594</c:v>
                </c:pt>
                <c:pt idx="56">
                  <c:v>481.0136847012173</c:v>
                </c:pt>
                <c:pt idx="57">
                  <c:v>501.91065782584752</c:v>
                </c:pt>
                <c:pt idx="58">
                  <c:v>522.78922679449613</c:v>
                </c:pt>
                <c:pt idx="59">
                  <c:v>446.78431102556823</c:v>
                </c:pt>
                <c:pt idx="60">
                  <c:v>467.19617134398754</c:v>
                </c:pt>
                <c:pt idx="61">
                  <c:v>487.5890317396167</c:v>
                </c:pt>
                <c:pt idx="62">
                  <c:v>507.96379808113971</c:v>
                </c:pt>
                <c:pt idx="63">
                  <c:v>528.3212976939875</c:v>
                </c:pt>
                <c:pt idx="64">
                  <c:v>548.66228899587838</c:v>
                </c:pt>
                <c:pt idx="65">
                  <c:v>568.987469629781</c:v>
                </c:pt>
                <c:pt idx="66">
                  <c:v>589.2974833749621</c:v>
                </c:pt>
                <c:pt idx="67">
                  <c:v>500.87771692974269</c:v>
                </c:pt>
                <c:pt idx="68">
                  <c:v>520.48844904322118</c:v>
                </c:pt>
                <c:pt idx="69">
                  <c:v>540.0836078592547</c:v>
                </c:pt>
                <c:pt idx="70">
                  <c:v>559.66383749078398</c:v>
                </c:pt>
                <c:pt idx="71">
                  <c:v>579.2297333416999</c:v>
                </c:pt>
                <c:pt idx="72">
                  <c:v>598.78184734461729</c:v>
                </c:pt>
                <c:pt idx="73">
                  <c:v>618.32069247937864</c:v>
                </c:pt>
                <c:pt idx="74">
                  <c:v>637.8467466911145</c:v>
                </c:pt>
                <c:pt idx="75">
                  <c:v>553.91625030160219</c:v>
                </c:pt>
                <c:pt idx="76">
                  <c:v>573.11096118864532</c:v>
                </c:pt>
                <c:pt idx="77">
                  <c:v>592.29225224370759</c:v>
                </c:pt>
                <c:pt idx="78">
                  <c:v>611.46061888545398</c:v>
                </c:pt>
                <c:pt idx="79">
                  <c:v>630.61652296523562</c:v>
                </c:pt>
                <c:pt idx="80">
                  <c:v>649.76039601269781</c:v>
                </c:pt>
                <c:pt idx="81">
                  <c:v>668.89264207928784</c:v>
                </c:pt>
                <c:pt idx="82">
                  <c:v>688.01364023978613</c:v>
                </c:pt>
                <c:pt idx="83">
                  <c:v>707.12374680152777</c:v>
                </c:pt>
                <c:pt idx="84">
                  <c:v>726.22329726260705</c:v>
                </c:pt>
                <c:pt idx="85">
                  <c:v>610.98893978348235</c:v>
                </c:pt>
                <c:pt idx="86">
                  <c:v>629.39493779693078</c:v>
                </c:pt>
                <c:pt idx="87">
                  <c:v>647.78980447071194</c:v>
                </c:pt>
                <c:pt idx="88">
                  <c:v>666.17390012859926</c:v>
                </c:pt>
                <c:pt idx="89">
                  <c:v>684.5475636033417</c:v>
                </c:pt>
                <c:pt idx="90">
                  <c:v>702.91111407260257</c:v>
                </c:pt>
                <c:pt idx="91">
                  <c:v>721.26485269323393</c:v>
                </c:pt>
                <c:pt idx="92">
                  <c:v>739.60906406070796</c:v>
                </c:pt>
                <c:pt idx="93">
                  <c:v>757.94401751636781</c:v>
                </c:pt>
                <c:pt idx="94">
                  <c:v>776.26996832173552</c:v>
                </c:pt>
                <c:pt idx="95">
                  <c:v>659.42113423858666</c:v>
                </c:pt>
                <c:pt idx="96">
                  <c:v>677.3359268973162</c:v>
                </c:pt>
                <c:pt idx="97">
                  <c:v>695.24099261109666</c:v>
                </c:pt>
                <c:pt idx="98">
                  <c:v>713.13661693628671</c:v>
                </c:pt>
                <c:pt idx="99">
                  <c:v>731.02306994260732</c:v>
                </c:pt>
                <c:pt idx="100">
                  <c:v>748.90060741910065</c:v>
                </c:pt>
                <c:pt idx="101">
                  <c:v>766.76947195905461</c:v>
                </c:pt>
                <c:pt idx="102">
                  <c:v>784.62989393864109</c:v>
                </c:pt>
                <c:pt idx="103">
                  <c:v>802.48209240190306</c:v>
                </c:pt>
                <c:pt idx="104">
                  <c:v>820.3262758629827</c:v>
                </c:pt>
                <c:pt idx="105">
                  <c:v>705.94706318478438</c:v>
                </c:pt>
                <c:pt idx="106">
                  <c:v>723.64315240865346</c:v>
                </c:pt>
                <c:pt idx="107">
                  <c:v>741.33041684983391</c:v>
                </c:pt>
                <c:pt idx="108">
                  <c:v>759.00909650804977</c:v>
                </c:pt>
                <c:pt idx="109">
                  <c:v>776.67941930263157</c:v>
                </c:pt>
                <c:pt idx="110">
                  <c:v>794.34160194716833</c:v>
                </c:pt>
                <c:pt idx="111">
                  <c:v>811.9958507424044</c:v>
                </c:pt>
                <c:pt idx="112">
                  <c:v>829.64236229667119</c:v>
                </c:pt>
                <c:pt idx="113">
                  <c:v>847.28132418190387</c:v>
                </c:pt>
                <c:pt idx="114">
                  <c:v>864.91291553225085</c:v>
                </c:pt>
                <c:pt idx="115">
                  <c:v>759.26087434764747</c:v>
                </c:pt>
                <c:pt idx="116">
                  <c:v>777.07288758905304</c:v>
                </c:pt>
                <c:pt idx="117">
                  <c:v>794.87663423882407</c:v>
                </c:pt>
                <c:pt idx="118">
                  <c:v>812.67232533708591</c:v>
                </c:pt>
                <c:pt idx="119">
                  <c:v>830.46016193785681</c:v>
                </c:pt>
                <c:pt idx="120">
                  <c:v>848.24033578968101</c:v>
                </c:pt>
                <c:pt idx="121">
                  <c:v>866.01302995629032</c:v>
                </c:pt>
                <c:pt idx="122">
                  <c:v>883.77841938372865</c:v>
                </c:pt>
                <c:pt idx="123">
                  <c:v>901.53667141955941</c:v>
                </c:pt>
                <c:pt idx="124">
                  <c:v>919.28794628908884</c:v>
                </c:pt>
                <c:pt idx="125">
                  <c:v>822.06796668502648</c:v>
                </c:pt>
                <c:pt idx="126">
                  <c:v>840.06510771199294</c:v>
                </c:pt>
                <c:pt idx="127">
                  <c:v>858.05450328578445</c:v>
                </c:pt>
                <c:pt idx="128">
                  <c:v>876.03633847743095</c:v>
                </c:pt>
                <c:pt idx="129">
                  <c:v>894.0107901498958</c:v>
                </c:pt>
                <c:pt idx="130">
                  <c:v>911.97802748315098</c:v>
                </c:pt>
                <c:pt idx="131">
                  <c:v>929.93821245577226</c:v>
                </c:pt>
                <c:pt idx="132">
                  <c:v>947.89150028744427</c:v>
                </c:pt>
                <c:pt idx="133">
                  <c:v>965.83803984624228</c:v>
                </c:pt>
                <c:pt idx="134">
                  <c:v>983.77797402411124</c:v>
                </c:pt>
                <c:pt idx="135">
                  <c:v>881.0212312212476</c:v>
                </c:pt>
                <c:pt idx="136">
                  <c:v>899.2346301814199</c:v>
                </c:pt>
                <c:pt idx="137">
                  <c:v>917.44066909799074</c:v>
                </c:pt>
                <c:pt idx="138">
                  <c:v>935.63951441682673</c:v>
                </c:pt>
                <c:pt idx="139">
                  <c:v>953.8313255892258</c:v>
                </c:pt>
                <c:pt idx="140">
                  <c:v>972.016255496334</c:v>
                </c:pt>
                <c:pt idx="141">
                  <c:v>990.19445084019083</c:v>
                </c:pt>
                <c:pt idx="142">
                  <c:v>1008.3660525046098</c:v>
                </c:pt>
                <c:pt idx="143">
                  <c:v>1026.5311958887266</c:v>
                </c:pt>
                <c:pt idx="144">
                  <c:v>1044.6900112157464</c:v>
                </c:pt>
                <c:pt idx="145">
                  <c:v>940.4129528327752</c:v>
                </c:pt>
                <c:pt idx="146">
                  <c:v>958.98282344104257</c:v>
                </c:pt>
                <c:pt idx="147">
                  <c:v>977.54556623107385</c:v>
                </c:pt>
                <c:pt idx="148">
                  <c:v>996.10133543663414</c:v>
                </c:pt>
                <c:pt idx="149">
                  <c:v>1014.6502790846899</c:v>
                </c:pt>
                <c:pt idx="150">
                  <c:v>1033.1925393563622</c:v>
                </c:pt>
                <c:pt idx="151">
                  <c:v>1051.7282529206625</c:v>
                </c:pt>
                <c:pt idx="152">
                  <c:v>1070.2575512435144</c:v>
                </c:pt>
                <c:pt idx="153">
                  <c:v>1088.7805608742954</c:v>
                </c:pt>
                <c:pt idx="154">
                  <c:v>1107.2974037118909</c:v>
                </c:pt>
                <c:pt idx="155">
                  <c:v>1004.9404961857837</c:v>
                </c:pt>
                <c:pt idx="156">
                  <c:v>1023.7901458311022</c:v>
                </c:pt>
                <c:pt idx="157">
                  <c:v>1042.6329614876088</c:v>
                </c:pt>
                <c:pt idx="158">
                  <c:v>1061.4690838798804</c:v>
                </c:pt>
                <c:pt idx="159">
                  <c:v>1080.2986483382792</c:v>
                </c:pt>
                <c:pt idx="160">
                  <c:v>1099.121785098017</c:v>
                </c:pt>
                <c:pt idx="161">
                  <c:v>1117.9386195767026</c:v>
                </c:pt>
                <c:pt idx="162">
                  <c:v>1136.7492726322619</c:v>
                </c:pt>
                <c:pt idx="163">
                  <c:v>1155.5538608029244</c:v>
                </c:pt>
                <c:pt idx="164">
                  <c:v>1174.3524965308034</c:v>
                </c:pt>
                <c:pt idx="165">
                  <c:v>1062.5210756861318</c:v>
                </c:pt>
                <c:pt idx="166">
                  <c:v>1081.6161581821882</c:v>
                </c:pt>
                <c:pt idx="167">
                  <c:v>1100.7046393125474</c:v>
                </c:pt>
                <c:pt idx="168">
                  <c:v>1119.7866495093174</c:v>
                </c:pt>
                <c:pt idx="169">
                  <c:v>1138.8623144037938</c:v>
                </c:pt>
                <c:pt idx="170">
                  <c:v>1157.9317550822202</c:v>
                </c:pt>
                <c:pt idx="171">
                  <c:v>1176.9950883238507</c:v>
                </c:pt>
                <c:pt idx="172">
                  <c:v>1196.052426822816</c:v>
                </c:pt>
                <c:pt idx="173">
                  <c:v>1215.1038793951363</c:v>
                </c:pt>
                <c:pt idx="174">
                  <c:v>1234.1495511720993</c:v>
                </c:pt>
                <c:pt idx="175">
                  <c:v>769.33859558608037</c:v>
                </c:pt>
                <c:pt idx="176">
                  <c:v>781.60247607267286</c:v>
                </c:pt>
                <c:pt idx="177">
                  <c:v>793.86246237038984</c:v>
                </c:pt>
                <c:pt idx="178">
                  <c:v>543.60244296324618</c:v>
                </c:pt>
                <c:pt idx="179">
                  <c:v>551.16670089321383</c:v>
                </c:pt>
                <c:pt idx="180">
                  <c:v>558.72878275271785</c:v>
                </c:pt>
                <c:pt idx="181">
                  <c:v>387.83270199165668</c:v>
                </c:pt>
                <c:pt idx="182">
                  <c:v>392.47982260646131</c:v>
                </c:pt>
                <c:pt idx="183">
                  <c:v>397.12574994745228</c:v>
                </c:pt>
                <c:pt idx="184">
                  <c:v>1.6973245871741914E-11</c:v>
                </c:pt>
                <c:pt idx="185">
                  <c:v>1.6973245871741914E-11</c:v>
                </c:pt>
                <c:pt idx="186">
                  <c:v>1.6973245871741914E-11</c:v>
                </c:pt>
                <c:pt idx="187">
                  <c:v>1.6973245871741914E-11</c:v>
                </c:pt>
                <c:pt idx="188">
                  <c:v>1.6973245871741914E-11</c:v>
                </c:pt>
                <c:pt idx="189">
                  <c:v>1.6973245871741914E-11</c:v>
                </c:pt>
                <c:pt idx="190">
                  <c:v>1.6973245871741914E-11</c:v>
                </c:pt>
                <c:pt idx="191">
                  <c:v>1.6973245871741914E-11</c:v>
                </c:pt>
                <c:pt idx="192">
                  <c:v>1.6973245871741914E-11</c:v>
                </c:pt>
                <c:pt idx="193">
                  <c:v>1.6973245871741914E-11</c:v>
                </c:pt>
                <c:pt idx="194">
                  <c:v>1.6973245871741914E-11</c:v>
                </c:pt>
                <c:pt idx="195">
                  <c:v>1.6973245871741914E-11</c:v>
                </c:pt>
                <c:pt idx="196">
                  <c:v>1.6973245871741914E-11</c:v>
                </c:pt>
                <c:pt idx="197">
                  <c:v>1.6973245871741914E-11</c:v>
                </c:pt>
                <c:pt idx="198">
                  <c:v>1.6973245871741914E-11</c:v>
                </c:pt>
                <c:pt idx="199">
                  <c:v>1.6973245871741914E-11</c:v>
                </c:pt>
                <c:pt idx="200">
                  <c:v>1.6973245871741914E-11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10.652069090183831</c:v>
                </c:pt>
                <c:pt idx="2">
                  <c:v>20.842718677242118</c:v>
                </c:pt>
                <c:pt idx="3">
                  <c:v>30.884352926600993</c:v>
                </c:pt>
                <c:pt idx="4">
                  <c:v>40.834130654597537</c:v>
                </c:pt>
                <c:pt idx="5">
                  <c:v>50.717958110585563</c:v>
                </c:pt>
                <c:pt idx="6">
                  <c:v>60.550613300812671</c:v>
                </c:pt>
                <c:pt idx="7">
                  <c:v>70.341623034506696</c:v>
                </c:pt>
                <c:pt idx="8">
                  <c:v>80.097623110413053</c:v>
                </c:pt>
                <c:pt idx="9">
                  <c:v>89.823490925023762</c:v>
                </c:pt>
                <c:pt idx="10">
                  <c:v>99.522956423810157</c:v>
                </c:pt>
                <c:pt idx="11">
                  <c:v>109.19896039475422</c:v>
                </c:pt>
                <c:pt idx="12">
                  <c:v>118.85387826912762</c:v>
                </c:pt>
                <c:pt idx="13">
                  <c:v>128.48966699680452</c:v>
                </c:pt>
                <c:pt idx="14">
                  <c:v>138.10796535577904</c:v>
                </c:pt>
                <c:pt idx="15">
                  <c:v>147.71016474706212</c:v>
                </c:pt>
                <c:pt idx="16">
                  <c:v>157.29746055579915</c:v>
                </c:pt>
                <c:pt idx="17">
                  <c:v>166.87089029856921</c:v>
                </c:pt>
                <c:pt idx="18">
                  <c:v>176.43136253587519</c:v>
                </c:pt>
                <c:pt idx="19">
                  <c:v>185.97967917543755</c:v>
                </c:pt>
                <c:pt idx="20">
                  <c:v>195.51655294610748</c:v>
                </c:pt>
                <c:pt idx="21">
                  <c:v>205.04262127768183</c:v>
                </c:pt>
                <c:pt idx="22">
                  <c:v>214.5584574620365</c:v>
                </c:pt>
                <c:pt idx="23">
                  <c:v>224.06457972759929</c:v>
                </c:pt>
                <c:pt idx="24">
                  <c:v>233.56145869112254</c:v>
                </c:pt>
                <c:pt idx="25">
                  <c:v>243.04952353249737</c:v>
                </c:pt>
                <c:pt idx="26">
                  <c:v>252.5291671537876</c:v>
                </c:pt>
                <c:pt idx="27">
                  <c:v>262.00075052224111</c:v>
                </c:pt>
                <c:pt idx="28">
                  <c:v>271.4646063518054</c:v>
                </c:pt>
                <c:pt idx="29">
                  <c:v>280.92104224393296</c:v>
                </c:pt>
                <c:pt idx="30">
                  <c:v>290.3703433830006</c:v>
                </c:pt>
                <c:pt idx="31">
                  <c:v>299.81277486224468</c:v>
                </c:pt>
                <c:pt idx="32">
                  <c:v>309.24858370114447</c:v>
                </c:pt>
                <c:pt idx="33">
                  <c:v>318.67800060354801</c:v>
                </c:pt>
                <c:pt idx="34">
                  <c:v>328.10124149670571</c:v>
                </c:pt>
                <c:pt idx="35">
                  <c:v>337.51850888415163</c:v>
                </c:pt>
                <c:pt idx="36">
                  <c:v>346.92999303962557</c:v>
                </c:pt>
                <c:pt idx="37">
                  <c:v>356.33587306460578</c:v>
                </c:pt>
                <c:pt idx="38">
                  <c:v>365.7363178283008</c:v>
                </c:pt>
                <c:pt idx="39">
                  <c:v>375.13148680590967</c:v>
                </c:pt>
                <c:pt idx="40">
                  <c:v>384.52153082848844</c:v>
                </c:pt>
                <c:pt idx="41">
                  <c:v>393.9065927557192</c:v>
                </c:pt>
                <c:pt idx="42">
                  <c:v>403.28680808119469</c:v>
                </c:pt>
                <c:pt idx="43">
                  <c:v>324.31426173014296</c:v>
                </c:pt>
                <c:pt idx="44">
                  <c:v>347.56357073166754</c:v>
                </c:pt>
                <c:pt idx="45">
                  <c:v>370.77875387440105</c:v>
                </c:pt>
                <c:pt idx="46">
                  <c:v>393.96224671189083</c:v>
                </c:pt>
                <c:pt idx="47">
                  <c:v>417.11617489634568</c:v>
                </c:pt>
                <c:pt idx="48">
                  <c:v>440.24240897707568</c:v>
                </c:pt>
                <c:pt idx="49">
                  <c:v>463.34260708165061</c:v>
                </c:pt>
                <c:pt idx="50">
                  <c:v>486.41824864162896</c:v>
                </c:pt>
                <c:pt idx="51">
                  <c:v>424.33314645084437</c:v>
                </c:pt>
                <c:pt idx="52">
                  <c:v>448.03098996443867</c:v>
                </c:pt>
                <c:pt idx="53">
                  <c:v>471.70201681623604</c:v>
                </c:pt>
                <c:pt idx="54">
                  <c:v>495.34776070376029</c:v>
                </c:pt>
                <c:pt idx="55">
                  <c:v>518.96959708417387</c:v>
                </c:pt>
                <c:pt idx="56">
                  <c:v>542.56876610540041</c:v>
                </c:pt>
                <c:pt idx="57">
                  <c:v>566.1463913416552</c:v>
                </c:pt>
                <c:pt idx="58">
                  <c:v>589.70349524717665</c:v>
                </c:pt>
                <c:pt idx="59">
                  <c:v>503.94902507519402</c:v>
                </c:pt>
                <c:pt idx="60">
                  <c:v>526.97888936741572</c:v>
                </c:pt>
                <c:pt idx="61">
                  <c:v>549.98756802635592</c:v>
                </c:pt>
                <c:pt idx="62">
                  <c:v>572.97607112989465</c:v>
                </c:pt>
                <c:pt idx="63">
                  <c:v>595.94532117721189</c:v>
                </c:pt>
                <c:pt idx="64">
                  <c:v>618.89616383277814</c:v>
                </c:pt>
                <c:pt idx="65">
                  <c:v>641.82937699491765</c:v>
                </c:pt>
                <c:pt idx="66">
                  <c:v>664.7456785018876</c:v>
                </c:pt>
                <c:pt idx="67">
                  <c:v>564.98093953777095</c:v>
                </c:pt>
                <c:pt idx="68">
                  <c:v>587.10753653683673</c:v>
                </c:pt>
                <c:pt idx="69">
                  <c:v>609.2167687196187</c:v>
                </c:pt>
                <c:pt idx="70">
                  <c:v>631.30935429643307</c:v>
                </c:pt>
                <c:pt idx="71">
                  <c:v>653.38595716516113</c:v>
                </c:pt>
                <c:pt idx="72">
                  <c:v>675.44719275156592</c:v>
                </c:pt>
                <c:pt idx="73">
                  <c:v>697.4936330475939</c:v>
                </c:pt>
                <c:pt idx="74">
                  <c:v>719.52581098016128</c:v>
                </c:pt>
                <c:pt idx="75">
                  <c:v>624.82426922682123</c:v>
                </c:pt>
                <c:pt idx="76">
                  <c:v>646.48200063831644</c:v>
                </c:pt>
                <c:pt idx="77">
                  <c:v>668.12476842905392</c:v>
                </c:pt>
                <c:pt idx="78">
                  <c:v>689.75312500960342</c:v>
                </c:pt>
                <c:pt idx="79">
                  <c:v>711.36758536170771</c:v>
                </c:pt>
                <c:pt idx="80">
                  <c:v>732.96863065725938</c:v>
                </c:pt>
                <c:pt idx="81">
                  <c:v>754.55671142892061</c:v>
                </c:pt>
                <c:pt idx="82">
                  <c:v>776.13225035942412</c:v>
                </c:pt>
                <c:pt idx="83">
                  <c:v>797.69564474493848</c:v>
                </c:pt>
                <c:pt idx="84">
                  <c:v>819.24726867854179</c:v>
                </c:pt>
                <c:pt idx="85">
                  <c:v>689.22091052302585</c:v>
                </c:pt>
                <c:pt idx="86">
                  <c:v>709.98921153095716</c:v>
                </c:pt>
                <c:pt idx="87">
                  <c:v>730.74510067370727</c:v>
                </c:pt>
                <c:pt idx="88">
                  <c:v>751.48897972592613</c:v>
                </c:pt>
                <c:pt idx="89">
                  <c:v>772.22122649895766</c:v>
                </c:pt>
                <c:pt idx="90">
                  <c:v>792.94219688798103</c:v>
                </c:pt>
                <c:pt idx="91">
                  <c:v>813.65222669428829</c:v>
                </c:pt>
                <c:pt idx="92">
                  <c:v>834.3516332526068</c:v>
                </c:pt>
                <c:pt idx="93">
                  <c:v>855.04071688873125</c:v>
                </c:pt>
                <c:pt idx="94">
                  <c:v>875.71976222892374</c:v>
                </c:pt>
                <c:pt idx="95">
                  <c:v>743.86941210113582</c:v>
                </c:pt>
                <c:pt idx="96">
                  <c:v>764.0838329101739</c:v>
                </c:pt>
                <c:pt idx="97">
                  <c:v>784.28740780731459</c:v>
                </c:pt>
                <c:pt idx="98">
                  <c:v>804.48045519870891</c:v>
                </c:pt>
                <c:pt idx="99">
                  <c:v>824.66327622232177</c:v>
                </c:pt>
                <c:pt idx="100">
                  <c:v>844.83615609261949</c:v>
                </c:pt>
                <c:pt idx="101">
                  <c:v>864.99936531030323</c:v>
                </c:pt>
                <c:pt idx="102">
                  <c:v>885.15316075352678</c:v>
                </c:pt>
                <c:pt idx="103">
                  <c:v>905.2977866646911</c:v>
                </c:pt>
                <c:pt idx="104">
                  <c:v>925.43347554496052</c:v>
                </c:pt>
                <c:pt idx="105">
                  <c:v>796.36789853791095</c:v>
                </c:pt>
                <c:pt idx="106">
                  <c:v>816.33586686577382</c:v>
                </c:pt>
                <c:pt idx="107">
                  <c:v>836.29399522681695</c:v>
                </c:pt>
                <c:pt idx="108">
                  <c:v>856.2425512298197</c:v>
                </c:pt>
                <c:pt idx="109">
                  <c:v>876.18178901346482</c:v>
                </c:pt>
                <c:pt idx="110">
                  <c:v>896.11195022160882</c:v>
                </c:pt>
                <c:pt idx="111">
                  <c:v>916.03326488739322</c:v>
                </c:pt>
                <c:pt idx="112">
                  <c:v>935.94595223655108</c:v>
                </c:pt>
                <c:pt idx="113">
                  <c:v>955.85022141889249</c:v>
                </c:pt>
                <c:pt idx="114">
                  <c:v>975.74627217577506</c:v>
                </c:pt>
                <c:pt idx="115">
                  <c:v>856.52665721580433</c:v>
                </c:pt>
                <c:pt idx="116">
                  <c:v>876.62578089094075</c:v>
                </c:pt>
                <c:pt idx="117">
                  <c:v>896.71568700341675</c:v>
                </c:pt>
                <c:pt idx="118">
                  <c:v>916.79661087096258</c:v>
                </c:pt>
                <c:pt idx="119">
                  <c:v>936.86877667642091</c:v>
                </c:pt>
                <c:pt idx="120">
                  <c:v>956.9323982266784</c:v>
                </c:pt>
                <c:pt idx="121">
                  <c:v>976.987679644727</c:v>
                </c:pt>
                <c:pt idx="122">
                  <c:v>997.0348160020294</c:v>
                </c:pt>
                <c:pt idx="123">
                  <c:v>1017.0739938974557</c:v>
                </c:pt>
                <c:pt idx="124">
                  <c:v>1037.1053919882879</c:v>
                </c:pt>
                <c:pt idx="125">
                  <c:v>927.39883559229656</c:v>
                </c:pt>
                <c:pt idx="126">
                  <c:v>947.70724062539603</c:v>
                </c:pt>
                <c:pt idx="127">
                  <c:v>968.00700918494886</c:v>
                </c:pt>
                <c:pt idx="128">
                  <c:v>988.29834763216047</c:v>
                </c:pt>
                <c:pt idx="129">
                  <c:v>1008.5814531759315</c:v>
                </c:pt>
                <c:pt idx="130">
                  <c:v>1028.8565144583363</c:v>
                </c:pt>
                <c:pt idx="131">
                  <c:v>1049.1237120916189</c:v>
                </c:pt>
                <c:pt idx="132">
                  <c:v>1069.3832191516055</c:v>
                </c:pt>
                <c:pt idx="133">
                  <c:v>1089.6352016318363</c:v>
                </c:pt>
                <c:pt idx="134">
                  <c:v>1109.8798188622395</c:v>
                </c:pt>
                <c:pt idx="135">
                  <c:v>993.92349442537125</c:v>
                </c:pt>
                <c:pt idx="136">
                  <c:v>1014.4762659054865</c:v>
                </c:pt>
                <c:pt idx="137">
                  <c:v>1035.0208306583224</c:v>
                </c:pt>
                <c:pt idx="138">
                  <c:v>1055.5573742773213</c:v>
                </c:pt>
                <c:pt idx="139">
                  <c:v>1076.0860745567184</c:v>
                </c:pt>
                <c:pt idx="140">
                  <c:v>1096.6071019647786</c:v>
                </c:pt>
                <c:pt idx="141">
                  <c:v>1117.1206200798313</c:v>
                </c:pt>
                <c:pt idx="142">
                  <c:v>1137.6267859926627</c:v>
                </c:pt>
                <c:pt idx="143">
                  <c:v>1158.1257506784348</c:v>
                </c:pt>
                <c:pt idx="144">
                  <c:v>1178.6176593409525</c:v>
                </c:pt>
                <c:pt idx="145">
                  <c:v>1060.9439914199227</c:v>
                </c:pt>
                <c:pt idx="146">
                  <c:v>1081.8993419268288</c:v>
                </c:pt>
                <c:pt idx="147">
                  <c:v>1102.8467446465284</c:v>
                </c:pt>
                <c:pt idx="148">
                  <c:v>1123.786371555512</c:v>
                </c:pt>
                <c:pt idx="149">
                  <c:v>1144.7183877094499</c:v>
                </c:pt>
                <c:pt idx="150">
                  <c:v>1165.6429516456753</c:v>
                </c:pt>
                <c:pt idx="151">
                  <c:v>1186.5602157553112</c:v>
                </c:pt>
                <c:pt idx="152">
                  <c:v>1207.4703266278404</c:v>
                </c:pt>
                <c:pt idx="153">
                  <c:v>1228.3734253706086</c:v>
                </c:pt>
                <c:pt idx="154">
                  <c:v>1249.26964790549</c:v>
                </c:pt>
                <c:pt idx="155">
                  <c:v>1133.7611307184045</c:v>
                </c:pt>
                <c:pt idx="156">
                  <c:v>1155.0325304985047</c:v>
                </c:pt>
                <c:pt idx="157">
                  <c:v>1176.296310122332</c:v>
                </c:pt>
                <c:pt idx="158">
                  <c:v>1197.5526265031187</c:v>
                </c:pt>
                <c:pt idx="159">
                  <c:v>1218.8016305393428</c:v>
                </c:pt>
                <c:pt idx="160">
                  <c:v>1240.0434674481953</c:v>
                </c:pt>
                <c:pt idx="161">
                  <c:v>1261.2782770750593</c:v>
                </c:pt>
                <c:pt idx="162">
                  <c:v>1282.5061941810975</c:v>
                </c:pt>
                <c:pt idx="163">
                  <c:v>1303.7273487108484</c:v>
                </c:pt>
                <c:pt idx="164">
                  <c:v>1324.9418660415267</c:v>
                </c:pt>
                <c:pt idx="165">
                  <c:v>1198.739788037851</c:v>
                </c:pt>
                <c:pt idx="166">
                  <c:v>1220.2884324987176</c:v>
                </c:pt>
                <c:pt idx="167">
                  <c:v>1241.8297161868911</c:v>
                </c:pt>
                <c:pt idx="168">
                  <c:v>1263.363784539112</c:v>
                </c:pt>
                <c:pt idx="169">
                  <c:v>1284.8907776390317</c:v>
                </c:pt>
                <c:pt idx="170">
                  <c:v>1306.4108305023954</c:v>
                </c:pt>
                <c:pt idx="171">
                  <c:v>1327.9240733424931</c:v>
                </c:pt>
                <c:pt idx="172">
                  <c:v>1349.4306318175479</c:v>
                </c:pt>
                <c:pt idx="173">
                  <c:v>1370.930627261542</c:v>
                </c:pt>
                <c:pt idx="174">
                  <c:v>1392.4241768998411</c:v>
                </c:pt>
                <c:pt idx="175">
                  <c:v>867.89837123896712</c:v>
                </c:pt>
                <c:pt idx="176">
                  <c:v>881.73699846583179</c:v>
                </c:pt>
                <c:pt idx="177">
                  <c:v>895.57128352465918</c:v>
                </c:pt>
                <c:pt idx="178">
                  <c:v>613.18709418858668</c:v>
                </c:pt>
                <c:pt idx="179">
                  <c:v>621.72191904507645</c:v>
                </c:pt>
                <c:pt idx="180">
                  <c:v>630.2543175006092</c:v>
                </c:pt>
                <c:pt idx="181">
                  <c:v>437.43787550840597</c:v>
                </c:pt>
                <c:pt idx="182">
                  <c:v>442.68082225191824</c:v>
                </c:pt>
                <c:pt idx="183">
                  <c:v>447.92243844994863</c:v>
                </c:pt>
                <c:pt idx="184">
                  <c:v>1.8947059614562397E-11</c:v>
                </c:pt>
                <c:pt idx="185">
                  <c:v>1.8947059614562397E-11</c:v>
                </c:pt>
                <c:pt idx="186">
                  <c:v>1.8947059614562397E-11</c:v>
                </c:pt>
                <c:pt idx="187">
                  <c:v>1.8947059614562397E-11</c:v>
                </c:pt>
                <c:pt idx="188">
                  <c:v>1.8947059614562397E-11</c:v>
                </c:pt>
                <c:pt idx="189">
                  <c:v>1.8947059614562397E-11</c:v>
                </c:pt>
                <c:pt idx="190">
                  <c:v>1.8947059614562397E-11</c:v>
                </c:pt>
                <c:pt idx="191">
                  <c:v>1.8947059614562397E-11</c:v>
                </c:pt>
                <c:pt idx="192">
                  <c:v>1.8947059614562397E-11</c:v>
                </c:pt>
                <c:pt idx="193">
                  <c:v>1.8947059614562397E-11</c:v>
                </c:pt>
                <c:pt idx="194">
                  <c:v>1.8947059614562397E-11</c:v>
                </c:pt>
                <c:pt idx="195">
                  <c:v>1.8947059614562397E-11</c:v>
                </c:pt>
                <c:pt idx="196">
                  <c:v>1.8947059614562397E-11</c:v>
                </c:pt>
                <c:pt idx="197">
                  <c:v>1.8947059614562397E-11</c:v>
                </c:pt>
                <c:pt idx="198">
                  <c:v>1.8947059614562397E-11</c:v>
                </c:pt>
                <c:pt idx="199">
                  <c:v>1.8947059614562397E-11</c:v>
                </c:pt>
                <c:pt idx="200">
                  <c:v>1.8947059614562397E-11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9.6049334774478581</c:v>
                </c:pt>
                <c:pt idx="2">
                  <c:v>18.790063326936387</c:v>
                </c:pt>
                <c:pt idx="3">
                  <c:v>27.839617677417948</c:v>
                </c:pt>
                <c:pt idx="4">
                  <c:v>36.805600135817727</c:v>
                </c:pt>
                <c:pt idx="5">
                  <c:v>45.711580441585177</c:v>
                </c:pt>
                <c:pt idx="6">
                  <c:v>54.571003758166377</c:v>
                </c:pt>
                <c:pt idx="7">
                  <c:v>63.392537662570199</c:v>
                </c:pt>
                <c:pt idx="8">
                  <c:v>72.18221946437906</c:v>
                </c:pt>
                <c:pt idx="9">
                  <c:v>80.944486662936754</c:v>
                </c:pt>
                <c:pt idx="10">
                  <c:v>89.682732796293465</c:v>
                </c:pt>
                <c:pt idx="11">
                  <c:v>98.399633419893973</c:v>
                </c:pt>
                <c:pt idx="12">
                  <c:v>107.09734972254596</c:v>
                </c:pt>
                <c:pt idx="13">
                  <c:v>115.77766215490512</c:v>
                </c:pt>
                <c:pt idx="14">
                  <c:v>124.44206169197953</c:v>
                </c:pt>
                <c:pt idx="15">
                  <c:v>133.0918142429654</c:v>
                </c:pt>
                <c:pt idx="16">
                  <c:v>141.72800738005557</c:v>
                </c:pt>
                <c:pt idx="17">
                  <c:v>150.35158504519657</c:v>
                </c:pt>
                <c:pt idx="18">
                  <c:v>158.96337385493317</c:v>
                </c:pt>
                <c:pt idx="19">
                  <c:v>167.56410339214617</c:v>
                </c:pt>
                <c:pt idx="20">
                  <c:v>176.15442210397626</c:v>
                </c:pt>
                <c:pt idx="21">
                  <c:v>184.73490992980501</c:v>
                </c:pt>
                <c:pt idx="22">
                  <c:v>193.30608845575475</c:v>
                </c:pt>
                <c:pt idx="23">
                  <c:v>201.86842917072565</c:v>
                </c:pt>
                <c:pt idx="24">
                  <c:v>210.4223602460861</c:v>
                </c:pt>
                <c:pt idx="25">
                  <c:v>218.96827215357416</c:v>
                </c:pt>
                <c:pt idx="26">
                  <c:v>227.50652235903308</c:v>
                </c:pt>
                <c:pt idx="27">
                  <c:v>236.03743927372258</c:v>
                </c:pt>
                <c:pt idx="28">
                  <c:v>244.56132560379464</c:v>
                </c:pt>
                <c:pt idx="29">
                  <c:v>253.07846120782642</c:v>
                </c:pt>
                <c:pt idx="30">
                  <c:v>261.5891055491378</c:v>
                </c:pt>
                <c:pt idx="31">
                  <c:v>270.09349981194748</c:v>
                </c:pt>
                <c:pt idx="32">
                  <c:v>278.59186873680665</c:v>
                </c:pt>
                <c:pt idx="33">
                  <c:v>287.08442222015856</c:v>
                </c:pt>
                <c:pt idx="34">
                  <c:v>295.5713567145641</c:v>
                </c:pt>
                <c:pt idx="35">
                  <c:v>304.05285645956593</c:v>
                </c:pt>
                <c:pt idx="36">
                  <c:v>312.52909456792958</c:v>
                </c:pt>
                <c:pt idx="37">
                  <c:v>321.00023398779655</c:v>
                </c:pt>
                <c:pt idx="38">
                  <c:v>329.46642835789629</c:v>
                </c:pt>
                <c:pt idx="39">
                  <c:v>337.92782277020427</c:v>
                </c:pt>
                <c:pt idx="40">
                  <c:v>346.38455445217664</c:v>
                </c:pt>
                <c:pt idx="41">
                  <c:v>354.83675337884102</c:v>
                </c:pt>
                <c:pt idx="42">
                  <c:v>363.28454282349094</c:v>
                </c:pt>
                <c:pt idx="43">
                  <c:v>292.16066324161756</c:v>
                </c:pt>
                <c:pt idx="44">
                  <c:v>313.0997099690083</c:v>
                </c:pt>
                <c:pt idx="45">
                  <c:v>334.00770868210697</c:v>
                </c:pt>
                <c:pt idx="46">
                  <c:v>354.88687526951003</c:v>
                </c:pt>
                <c:pt idx="47">
                  <c:v>375.73914366878006</c:v>
                </c:pt>
                <c:pt idx="48">
                  <c:v>396.56621572255932</c:v>
                </c:pt>
                <c:pt idx="49">
                  <c:v>417.36960001027518</c:v>
                </c:pt>
                <c:pt idx="50">
                  <c:v>438.15064253210954</c:v>
                </c:pt>
                <c:pt idx="51">
                  <c:v>382.23864561154033</c:v>
                </c:pt>
                <c:pt idx="52">
                  <c:v>403.58041736916852</c:v>
                </c:pt>
                <c:pt idx="53">
                  <c:v>424.89779108589073</c:v>
                </c:pt>
                <c:pt idx="54">
                  <c:v>446.19216213355452</c:v>
                </c:pt>
                <c:pt idx="55">
                  <c:v>467.46478191549932</c:v>
                </c:pt>
                <c:pt idx="56">
                  <c:v>488.71677872949732</c:v>
                </c:pt>
                <c:pt idx="57">
                  <c:v>509.94917481350916</c:v>
                </c:pt>
                <c:pt idx="58">
                  <c:v>531.16290040562774</c:v>
                </c:pt>
                <c:pt idx="59">
                  <c:v>453.93804666757165</c:v>
                </c:pt>
                <c:pt idx="60">
                  <c:v>474.67749338377138</c:v>
                </c:pt>
                <c:pt idx="61">
                  <c:v>495.39766521962451</c:v>
                </c:pt>
                <c:pt idx="62">
                  <c:v>516.09948115310215</c:v>
                </c:pt>
                <c:pt idx="63">
                  <c:v>536.78378048228285</c:v>
                </c:pt>
                <c:pt idx="64">
                  <c:v>557.45133260033356</c:v>
                </c:pt>
                <c:pt idx="65">
                  <c:v>578.10284524616964</c:v>
                </c:pt>
                <c:pt idx="66">
                  <c:v>598.73897151551569</c:v>
                </c:pt>
                <c:pt idx="67">
                  <c:v>508.89965320940058</c:v>
                </c:pt>
                <c:pt idx="68">
                  <c:v>528.82518766012663</c:v>
                </c:pt>
                <c:pt idx="69">
                  <c:v>548.73492344429144</c:v>
                </c:pt>
                <c:pt idx="70">
                  <c:v>568.62951399612211</c:v>
                </c:pt>
                <c:pt idx="71">
                  <c:v>588.50956333590204</c:v>
                </c:pt>
                <c:pt idx="72">
                  <c:v>608.37563138354426</c:v>
                </c:pt>
                <c:pt idx="73">
                  <c:v>628.22823854248372</c:v>
                </c:pt>
                <c:pt idx="74">
                  <c:v>648.06786967443816</c:v>
                </c:pt>
                <c:pt idx="75">
                  <c:v>562.78964680210413</c:v>
                </c:pt>
                <c:pt idx="76">
                  <c:v>582.29254470638762</c:v>
                </c:pt>
                <c:pt idx="77">
                  <c:v>601.78182857346826</c:v>
                </c:pt>
                <c:pt idx="78">
                  <c:v>621.25800099146807</c:v>
                </c:pt>
                <c:pt idx="79">
                  <c:v>640.72153049542385</c:v>
                </c:pt>
                <c:pt idx="80">
                  <c:v>660.17285485986531</c:v>
                </c:pt>
                <c:pt idx="81">
                  <c:v>679.6123839834753</c:v>
                </c:pt>
                <c:pt idx="82">
                  <c:v>699.04050242681751</c:v>
                </c:pt>
                <c:pt idx="83">
                  <c:v>718.45757165353189</c:v>
                </c:pt>
                <c:pt idx="84">
                  <c:v>737.8639320168769</c:v>
                </c:pt>
                <c:pt idx="85">
                  <c:v>620.77874742266067</c:v>
                </c:pt>
                <c:pt idx="86">
                  <c:v>639.48032726505824</c:v>
                </c:pt>
                <c:pt idx="87">
                  <c:v>658.17061468050531</c:v>
                </c:pt>
                <c:pt idx="88">
                  <c:v>676.8499752072031</c:v>
                </c:pt>
                <c:pt idx="89">
                  <c:v>695.51875258132259</c:v>
                </c:pt>
                <c:pt idx="90">
                  <c:v>714.17727059950914</c:v>
                </c:pt>
                <c:pt idx="91">
                  <c:v>732.8258347768093</c:v>
                </c:pt>
                <c:pt idx="92">
                  <c:v>751.4647338272207</c:v>
                </c:pt>
                <c:pt idx="93">
                  <c:v>770.09424098986267</c:v>
                </c:pt>
                <c:pt idx="94">
                  <c:v>788.7146152202763</c:v>
                </c:pt>
                <c:pt idx="95">
                  <c:v>669.98875195789117</c:v>
                </c:pt>
                <c:pt idx="96">
                  <c:v>688.19128214580849</c:v>
                </c:pt>
                <c:pt idx="97">
                  <c:v>706.38394462520421</c:v>
                </c:pt>
                <c:pt idx="98">
                  <c:v>724.56702908486795</c:v>
                </c:pt>
                <c:pt idx="99">
                  <c:v>742.74080950283769</c:v>
                </c:pt>
                <c:pt idx="100">
                  <c:v>760.90554536980881</c:v>
                </c:pt>
                <c:pt idx="101">
                  <c:v>779.06148278976013</c:v>
                </c:pt>
                <c:pt idx="102">
                  <c:v>797.20885547275418</c:v>
                </c:pt>
                <c:pt idx="103">
                  <c:v>815.34788563273207</c:v>
                </c:pt>
                <c:pt idx="104">
                  <c:v>833.47878480135057</c:v>
                </c:pt>
                <c:pt idx="105">
                  <c:v>717.26198666039488</c:v>
                </c:pt>
                <c:pt idx="106">
                  <c:v>735.24233946527045</c:v>
                </c:pt>
                <c:pt idx="107">
                  <c:v>753.21373977953363</c:v>
                </c:pt>
                <c:pt idx="108">
                  <c:v>771.17643107606762</c:v>
                </c:pt>
                <c:pt idx="109">
                  <c:v>789.1306445725387</c:v>
                </c:pt>
                <c:pt idx="110">
                  <c:v>807.07660011870905</c:v>
                </c:pt>
                <c:pt idx="111">
                  <c:v>825.01450700080625</c:v>
                </c:pt>
                <c:pt idx="112">
                  <c:v>842.94456467238035</c:v>
                </c:pt>
                <c:pt idx="113">
                  <c:v>860.86696341981622</c:v>
                </c:pt>
                <c:pt idx="114">
                  <c:v>878.78188496960354</c:v>
                </c:pt>
                <c:pt idx="115">
                  <c:v>771.43225387568907</c:v>
                </c:pt>
                <c:pt idx="116">
                  <c:v>789.53043445377807</c:v>
                </c:pt>
                <c:pt idx="117">
                  <c:v>807.62022881017595</c:v>
                </c:pt>
                <c:pt idx="118">
                  <c:v>825.7018510390775</c:v>
                </c:pt>
                <c:pt idx="119">
                  <c:v>843.77550510405615</c:v>
                </c:pt>
                <c:pt idx="120">
                  <c:v>861.8413855285462</c:v>
                </c:pt>
                <c:pt idx="121">
                  <c:v>879.8996780254887</c:v>
                </c:pt>
                <c:pt idx="122">
                  <c:v>897.9505600726601</c:v>
                </c:pt>
                <c:pt idx="123">
                  <c:v>915.99420143939653</c:v>
                </c:pt>
                <c:pt idx="124">
                  <c:v>934.03076466970526</c:v>
                </c:pt>
                <c:pt idx="125">
                  <c:v>835.24846133286928</c:v>
                </c:pt>
                <c:pt idx="126">
                  <c:v>853.53478960793382</c:v>
                </c:pt>
                <c:pt idx="127">
                  <c:v>871.81326034142705</c:v>
                </c:pt>
                <c:pt idx="128">
                  <c:v>890.08406128263584</c:v>
                </c:pt>
                <c:pt idx="129">
                  <c:v>908.34737185399808</c:v>
                </c:pt>
                <c:pt idx="130">
                  <c:v>926.60336368377432</c:v>
                </c:pt>
                <c:pt idx="131">
                  <c:v>944.85220109461545</c:v>
                </c:pt>
                <c:pt idx="132">
                  <c:v>963.09404155246921</c:v>
                </c:pt>
                <c:pt idx="133">
                  <c:v>981.32903607975641</c:v>
                </c:pt>
                <c:pt idx="134">
                  <c:v>999.55732963628373</c:v>
                </c:pt>
                <c:pt idx="135">
                  <c:v>895.14906270530844</c:v>
                </c:pt>
                <c:pt idx="136">
                  <c:v>913.6551639201781</c:v>
                </c:pt>
                <c:pt idx="137">
                  <c:v>932.15379858050812</c:v>
                </c:pt>
                <c:pt idx="138">
                  <c:v>950.64513554088808</c:v>
                </c:pt>
                <c:pt idx="139">
                  <c:v>969.12933656011683</c:v>
                </c:pt>
                <c:pt idx="140">
                  <c:v>987.60655673176097</c:v>
                </c:pt>
                <c:pt idx="141">
                  <c:v>1006.0769448808602</c:v>
                </c:pt>
                <c:pt idx="142">
                  <c:v>1024.5406439300291</c:v>
                </c:pt>
                <c:pt idx="143">
                  <c:v>1042.9977912378338</c:v>
                </c:pt>
                <c:pt idx="144">
                  <c:v>1061.4485189120048</c:v>
                </c:pt>
                <c:pt idx="145">
                  <c:v>955.49529448089913</c:v>
                </c:pt>
                <c:pt idx="146">
                  <c:v>974.36363442936329</c:v>
                </c:pt>
                <c:pt idx="147">
                  <c:v>993.22474340930387</c:v>
                </c:pt>
                <c:pt idx="148">
                  <c:v>1012.0787778864825</c:v>
                </c:pt>
                <c:pt idx="149">
                  <c:v>1030.9258880300388</c:v>
                </c:pt>
                <c:pt idx="150">
                  <c:v>1049.766218078669</c:v>
                </c:pt>
                <c:pt idx="151">
                  <c:v>1068.5999066791917</c:v>
                </c:pt>
                <c:pt idx="152">
                  <c:v>1087.4270872000411</c:v>
                </c:pt>
                <c:pt idx="153">
                  <c:v>1106.2478880219542</c:v>
                </c:pt>
                <c:pt idx="154">
                  <c:v>1125.0624328078782</c:v>
                </c:pt>
                <c:pt idx="155">
                  <c:v>1021.0600230897836</c:v>
                </c:pt>
                <c:pt idx="156">
                  <c:v>1040.2126782594898</c:v>
                </c:pt>
                <c:pt idx="157">
                  <c:v>1059.358400542252</c:v>
                </c:pt>
                <c:pt idx="158">
                  <c:v>1078.4973326991451</c:v>
                </c:pt>
                <c:pt idx="159">
                  <c:v>1097.6296120189652</c:v>
                </c:pt>
                <c:pt idx="160">
                  <c:v>1116.7553706216247</c:v>
                </c:pt>
                <c:pt idx="161">
                  <c:v>1135.874735739714</c:v>
                </c:pt>
                <c:pt idx="162">
                  <c:v>1154.9878299801551</c:v>
                </c:pt>
                <c:pt idx="163">
                  <c:v>1174.094771567663</c:v>
                </c:pt>
                <c:pt idx="164">
                  <c:v>1193.1956745715572</c:v>
                </c:pt>
                <c:pt idx="165">
                  <c:v>1079.566236652531</c:v>
                </c:pt>
                <c:pt idx="166">
                  <c:v>1098.9683032942742</c:v>
                </c:pt>
                <c:pt idx="167">
                  <c:v>1118.3636730385954</c:v>
                </c:pt>
                <c:pt idx="168">
                  <c:v>1137.752478205153</c:v>
                </c:pt>
                <c:pt idx="169">
                  <c:v>1157.134846243317</c:v>
                </c:pt>
                <c:pt idx="170">
                  <c:v>1176.5108999916313</c:v>
                </c:pt>
                <c:pt idx="171">
                  <c:v>1195.8807579193226</c:v>
                </c:pt>
                <c:pt idx="172">
                  <c:v>1215.2445343513755</c:v>
                </c:pt>
                <c:pt idx="173">
                  <c:v>1234.602339678542</c:v>
                </c:pt>
                <c:pt idx="174">
                  <c:v>1253.9542805535184</c:v>
                </c:pt>
                <c:pt idx="175">
                  <c:v>781.6718818792333</c:v>
                </c:pt>
                <c:pt idx="176">
                  <c:v>794.13279730344448</c:v>
                </c:pt>
                <c:pt idx="177">
                  <c:v>806.58976218399073</c:v>
                </c:pt>
                <c:pt idx="178">
                  <c:v>552.31025179202811</c:v>
                </c:pt>
                <c:pt idx="179">
                  <c:v>559.99595288417788</c:v>
                </c:pt>
                <c:pt idx="180">
                  <c:v>567.67944641484053</c:v>
                </c:pt>
                <c:pt idx="181">
                  <c:v>394.04051622425658</c:v>
                </c:pt>
                <c:pt idx="182">
                  <c:v>398.76219276807609</c:v>
                </c:pt>
                <c:pt idx="183">
                  <c:v>403.48265876960892</c:v>
                </c:pt>
                <c:pt idx="184">
                  <c:v>1.7221409284987601E-11</c:v>
                </c:pt>
                <c:pt idx="185">
                  <c:v>1.7221409284987601E-11</c:v>
                </c:pt>
                <c:pt idx="186">
                  <c:v>1.7221409284987601E-11</c:v>
                </c:pt>
                <c:pt idx="187">
                  <c:v>1.7221409284987601E-11</c:v>
                </c:pt>
                <c:pt idx="188">
                  <c:v>1.7221409284987601E-11</c:v>
                </c:pt>
                <c:pt idx="189">
                  <c:v>1.7221409284987601E-11</c:v>
                </c:pt>
                <c:pt idx="190">
                  <c:v>1.7221409284987601E-11</c:v>
                </c:pt>
                <c:pt idx="191">
                  <c:v>1.7221409284987601E-11</c:v>
                </c:pt>
                <c:pt idx="192">
                  <c:v>1.7221409284987601E-11</c:v>
                </c:pt>
                <c:pt idx="193">
                  <c:v>1.7221409284987601E-11</c:v>
                </c:pt>
                <c:pt idx="194">
                  <c:v>1.7221409284987601E-11</c:v>
                </c:pt>
                <c:pt idx="195">
                  <c:v>1.7221409284987601E-11</c:v>
                </c:pt>
                <c:pt idx="196">
                  <c:v>1.7221409284987601E-11</c:v>
                </c:pt>
                <c:pt idx="197">
                  <c:v>1.7221409284987601E-11</c:v>
                </c:pt>
                <c:pt idx="198">
                  <c:v>1.7221409284987601E-11</c:v>
                </c:pt>
                <c:pt idx="199">
                  <c:v>1.7221409284987601E-11</c:v>
                </c:pt>
                <c:pt idx="200">
                  <c:v>1.7221409284987601E-11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2.4666401082077529</c:v>
                </c:pt>
                <c:pt idx="2">
                  <c:v>3.038131488248808</c:v>
                </c:pt>
                <c:pt idx="3">
                  <c:v>3.7425387547668367</c:v>
                </c:pt>
                <c:pt idx="4">
                  <c:v>4.6108866206039663</c:v>
                </c:pt>
                <c:pt idx="5">
                  <c:v>5.6814658439892973</c:v>
                </c:pt>
                <c:pt idx="6">
                  <c:v>7.0015402599437531</c:v>
                </c:pt>
                <c:pt idx="7">
                  <c:v>8.6294560019543258</c:v>
                </c:pt>
                <c:pt idx="8">
                  <c:v>10.637247922670763</c:v>
                </c:pt>
                <c:pt idx="9">
                  <c:v>13.113860719985803</c:v>
                </c:pt>
                <c:pt idx="10">
                  <c:v>16.169130111381239</c:v>
                </c:pt>
                <c:pt idx="11">
                  <c:v>19.938703844324056</c:v>
                </c:pt>
                <c:pt idx="12">
                  <c:v>24.590124955629083</c:v>
                </c:pt>
                <c:pt idx="13">
                  <c:v>30.33035244444093</c:v>
                </c:pt>
                <c:pt idx="14">
                  <c:v>37.415059812099081</c:v>
                </c:pt>
                <c:pt idx="15">
                  <c:v>46.160132732540724</c:v>
                </c:pt>
                <c:pt idx="16">
                  <c:v>53.544050503850364</c:v>
                </c:pt>
                <c:pt idx="17">
                  <c:v>64.237401598357238</c:v>
                </c:pt>
                <c:pt idx="18">
                  <c:v>74.884579280274849</c:v>
                </c:pt>
                <c:pt idx="19">
                  <c:v>85.493098566478125</c:v>
                </c:pt>
                <c:pt idx="20">
                  <c:v>96.068445641261476</c:v>
                </c:pt>
                <c:pt idx="21">
                  <c:v>80.193291162399461</c:v>
                </c:pt>
                <c:pt idx="22">
                  <c:v>91.886046932171325</c:v>
                </c:pt>
                <c:pt idx="23">
                  <c:v>103.54156485887916</c:v>
                </c:pt>
                <c:pt idx="24">
                  <c:v>115.16463575201853</c:v>
                </c:pt>
                <c:pt idx="25">
                  <c:v>126.75900094885519</c:v>
                </c:pt>
                <c:pt idx="26">
                  <c:v>109.79548104191571</c:v>
                </c:pt>
                <c:pt idx="27">
                  <c:v>122.38693696465789</c:v>
                </c:pt>
                <c:pt idx="28">
                  <c:v>134.94687886983328</c:v>
                </c:pt>
                <c:pt idx="29">
                  <c:v>147.47865649814872</c:v>
                </c:pt>
                <c:pt idx="30">
                  <c:v>159.98500254922158</c:v>
                </c:pt>
                <c:pt idx="31">
                  <c:v>172.46818680341792</c:v>
                </c:pt>
                <c:pt idx="32">
                  <c:v>145.84557228360381</c:v>
                </c:pt>
                <c:pt idx="33">
                  <c:v>158.35509811111217</c:v>
                </c:pt>
                <c:pt idx="34">
                  <c:v>170.84118819614926</c:v>
                </c:pt>
                <c:pt idx="35">
                  <c:v>183.30579795772098</c:v>
                </c:pt>
                <c:pt idx="36">
                  <c:v>195.75059480584989</c:v>
                </c:pt>
                <c:pt idx="37">
                  <c:v>208.17701657982505</c:v>
                </c:pt>
                <c:pt idx="38">
                  <c:v>181.29426173871184</c:v>
                </c:pt>
                <c:pt idx="39">
                  <c:v>193.35586169716734</c:v>
                </c:pt>
                <c:pt idx="40">
                  <c:v>205.39996584148545</c:v>
                </c:pt>
                <c:pt idx="41">
                  <c:v>217.42774527281196</c:v>
                </c:pt>
                <c:pt idx="42">
                  <c:v>229.44023082304497</c:v>
                </c:pt>
                <c:pt idx="43">
                  <c:v>241.43833647949381</c:v>
                </c:pt>
                <c:pt idx="44">
                  <c:v>253.42287790323667</c:v>
                </c:pt>
                <c:pt idx="45">
                  <c:v>218.29453042918621</c:v>
                </c:pt>
                <c:pt idx="46">
                  <c:v>229.47870880055882</c:v>
                </c:pt>
                <c:pt idx="47">
                  <c:v>240.6504241738447</c:v>
                </c:pt>
                <c:pt idx="48">
                  <c:v>251.81033702718767</c:v>
                </c:pt>
                <c:pt idx="49">
                  <c:v>262.95904447060485</c:v>
                </c:pt>
                <c:pt idx="50">
                  <c:v>274.09708881265965</c:v>
                </c:pt>
                <c:pt idx="51">
                  <c:v>285.224964660598</c:v>
                </c:pt>
                <c:pt idx="52">
                  <c:v>296.34312485361016</c:v>
                </c:pt>
                <c:pt idx="53">
                  <c:v>254.90083615003348</c:v>
                </c:pt>
                <c:pt idx="54">
                  <c:v>264.97271844500727</c:v>
                </c:pt>
                <c:pt idx="55">
                  <c:v>275.03597041080951</c:v>
                </c:pt>
                <c:pt idx="56">
                  <c:v>285.09095256078473</c:v>
                </c:pt>
                <c:pt idx="57">
                  <c:v>295.13799788320961</c:v>
                </c:pt>
                <c:pt idx="58">
                  <c:v>305.17741482861635</c:v>
                </c:pt>
                <c:pt idx="59">
                  <c:v>315.2094898832018</c:v>
                </c:pt>
                <c:pt idx="60">
                  <c:v>325.23448979729528</c:v>
                </c:pt>
                <c:pt idx="61">
                  <c:v>284.19750247594328</c:v>
                </c:pt>
                <c:pt idx="62">
                  <c:v>293.4863491195228</c:v>
                </c:pt>
                <c:pt idx="63">
                  <c:v>302.76863479871071</c:v>
                </c:pt>
                <c:pt idx="64">
                  <c:v>312.04458917169069</c:v>
                </c:pt>
                <c:pt idx="65">
                  <c:v>321.31442711818204</c:v>
                </c:pt>
                <c:pt idx="66">
                  <c:v>330.57835009864004</c:v>
                </c:pt>
                <c:pt idx="67">
                  <c:v>339.83654735304776</c:v>
                </c:pt>
                <c:pt idx="68">
                  <c:v>349.08919696217669</c:v>
                </c:pt>
                <c:pt idx="69">
                  <c:v>358.33646679039742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6" x14ac:dyDescent="0.4"/>
  <cols>
    <col min="1" max="1" width="6.61328125" customWidth="1"/>
    <col min="2" max="13" width="15.9218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6" sqref="E16"/>
    </sheetView>
  </sheetViews>
  <sheetFormatPr baseColWidth="10" defaultColWidth="11.4609375" defaultRowHeight="14.6" x14ac:dyDescent="0.4"/>
  <cols>
    <col min="1" max="1" width="13.61328125" style="23" customWidth="1"/>
    <col min="2" max="2" width="36.07421875" style="23" customWidth="1"/>
    <col min="3" max="3" width="14.921875" style="23" bestFit="1" customWidth="1"/>
    <col min="4" max="4" width="16.4609375" style="23" customWidth="1"/>
    <col min="5" max="5" width="23.3828125" style="23" customWidth="1"/>
    <col min="6" max="6" width="28.921875" style="23" bestFit="1" customWidth="1"/>
    <col min="7" max="8" width="14.61328125" style="23" customWidth="1"/>
    <col min="9" max="9" width="17" style="23" customWidth="1"/>
    <col min="10" max="10" width="13.9218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4">
        <v>2.2000000000000002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165</v>
      </c>
      <c r="B9" s="31" t="s">
        <v>14</v>
      </c>
      <c r="C9" s="32">
        <v>0.25</v>
      </c>
      <c r="D9" s="33">
        <f t="shared" ref="D9:D18" si="0">C9*$C$5</f>
        <v>0.55000000000000004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166</v>
      </c>
      <c r="B10" s="31" t="s">
        <v>12</v>
      </c>
      <c r="C10" s="32">
        <v>0.25</v>
      </c>
      <c r="D10" s="33">
        <f t="shared" si="0"/>
        <v>0.55000000000000004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167</v>
      </c>
      <c r="B11" s="31" t="s">
        <v>6</v>
      </c>
      <c r="C11" s="32">
        <v>0.4</v>
      </c>
      <c r="D11" s="33">
        <f t="shared" si="0"/>
        <v>0.88000000000000012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168</v>
      </c>
      <c r="B12" s="31" t="s">
        <v>52</v>
      </c>
      <c r="C12" s="32">
        <v>0.03</v>
      </c>
      <c r="D12" s="33">
        <f t="shared" si="0"/>
        <v>6.6000000000000003E-2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169</v>
      </c>
      <c r="B13" s="31" t="s">
        <v>1</v>
      </c>
      <c r="C13" s="32">
        <v>0.03</v>
      </c>
      <c r="D13" s="33">
        <f t="shared" si="0"/>
        <v>6.6000000000000003E-2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171</v>
      </c>
      <c r="B15" s="31" t="s">
        <v>29</v>
      </c>
      <c r="C15" s="32">
        <v>0.02</v>
      </c>
      <c r="D15" s="33">
        <f t="shared" si="0"/>
        <v>4.4000000000000004E-2</v>
      </c>
      <c r="E15" s="34">
        <v>69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175</v>
      </c>
      <c r="C19" s="37">
        <f>SUM(C9:C18)</f>
        <v>0.98000000000000009</v>
      </c>
      <c r="D19" s="38">
        <f>SUM(D9:D18)</f>
        <v>2.1560000000000001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42</v>
      </c>
      <c r="B62" s="60">
        <v>171.96</v>
      </c>
      <c r="C62" s="60">
        <v>1</v>
      </c>
      <c r="D62" s="60">
        <v>44.510000000000005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4.0942857142857143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50</v>
      </c>
      <c r="B63" s="60">
        <v>208.33</v>
      </c>
      <c r="C63" s="60">
        <v>2</v>
      </c>
      <c r="D63" s="60">
        <v>37.54000000000002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10.110000000000001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58</v>
      </c>
      <c r="B64" s="60">
        <v>253.7</v>
      </c>
      <c r="C64" s="60">
        <v>3</v>
      </c>
      <c r="D64" s="60">
        <v>47.789999999999992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10.36375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66</v>
      </c>
      <c r="B65" s="60">
        <v>286.77</v>
      </c>
      <c r="C65" s="60">
        <v>4</v>
      </c>
      <c r="D65" s="60">
        <v>53.679999999999978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10.107499999999998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74</v>
      </c>
      <c r="B66" s="60">
        <v>310.95999999999998</v>
      </c>
      <c r="C66" s="60">
        <v>5</v>
      </c>
      <c r="D66" s="60">
        <v>51.339999999999975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9.733749999999997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84</v>
      </c>
      <c r="B67" s="60">
        <v>355.09</v>
      </c>
      <c r="C67" s="60">
        <v>6</v>
      </c>
      <c r="D67" s="60">
        <v>66.69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9.546999999999997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94</v>
      </c>
      <c r="B68" s="60">
        <v>380.13</v>
      </c>
      <c r="C68" s="60">
        <v>7</v>
      </c>
      <c r="D68" s="60">
        <v>67.350000000000023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9.1730000000000018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>
        <v>104</v>
      </c>
      <c r="B69" s="50">
        <v>402.2</v>
      </c>
      <c r="C69" s="50">
        <v>8</v>
      </c>
      <c r="D69" s="50">
        <v>66.089999999999975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8.9420000000000019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>
        <v>114</v>
      </c>
      <c r="B70" s="50">
        <v>424.56</v>
      </c>
      <c r="C70" s="50">
        <v>9</v>
      </c>
      <c r="D70" s="50">
        <v>61.860000000000014</v>
      </c>
      <c r="E70" s="51">
        <v>0.35</v>
      </c>
      <c r="F70" s="51">
        <v>0.2</v>
      </c>
      <c r="G70" s="51">
        <v>0.1</v>
      </c>
      <c r="H70" s="51">
        <v>0.35</v>
      </c>
      <c r="I70" s="49">
        <f t="shared" si="2"/>
        <v>8.8449999999999989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>
        <v>124</v>
      </c>
      <c r="B71" s="50">
        <v>451.86</v>
      </c>
      <c r="C71" s="50">
        <v>10</v>
      </c>
      <c r="D71" s="50">
        <v>57.81</v>
      </c>
      <c r="E71" s="51">
        <v>0.35</v>
      </c>
      <c r="F71" s="51">
        <v>0.2</v>
      </c>
      <c r="G71" s="51">
        <v>0.1</v>
      </c>
      <c r="H71" s="51">
        <v>0.35</v>
      </c>
      <c r="I71" s="49">
        <f t="shared" si="2"/>
        <v>8.9160000000000021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>
        <v>134</v>
      </c>
      <c r="B72" s="50">
        <v>484.28</v>
      </c>
      <c r="C72" s="50">
        <v>11</v>
      </c>
      <c r="D72" s="50">
        <v>60.779999999999973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9.0229999999999961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>
        <v>144</v>
      </c>
      <c r="B73" s="50">
        <v>514.94000000000005</v>
      </c>
      <c r="C73" s="50">
        <v>12</v>
      </c>
      <c r="D73" s="50">
        <v>61.800000000000068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2"/>
        <v>9.1440000000000055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>
        <v>154</v>
      </c>
      <c r="B74" s="50">
        <v>546.49</v>
      </c>
      <c r="C74" s="50">
        <v>13</v>
      </c>
      <c r="D74" s="50">
        <v>61.050000000000011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2"/>
        <v>9.3350000000000026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>
        <v>164</v>
      </c>
      <c r="B75" s="50">
        <v>580.32000000000005</v>
      </c>
      <c r="C75" s="50">
        <v>14</v>
      </c>
      <c r="D75" s="50">
        <v>66.020000000000095</v>
      </c>
      <c r="E75" s="51">
        <v>0.5</v>
      </c>
      <c r="F75" s="51">
        <v>0.2</v>
      </c>
      <c r="G75" s="51">
        <v>0</v>
      </c>
      <c r="H75" s="51">
        <v>0.3</v>
      </c>
      <c r="I75" s="49">
        <f t="shared" si="2"/>
        <v>9.4880000000000049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>
        <v>174</v>
      </c>
      <c r="B76" s="50">
        <v>610.52</v>
      </c>
      <c r="C76" s="50">
        <v>15</v>
      </c>
      <c r="D76" s="50">
        <v>240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9.6220000000000034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>
        <v>177</v>
      </c>
      <c r="B77" s="50">
        <v>388.94</v>
      </c>
      <c r="C77" s="50">
        <v>16</v>
      </c>
      <c r="D77" s="50">
        <v>128.66000000000003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6.140000000000005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>
        <v>180</v>
      </c>
      <c r="B78" s="50">
        <v>271.56</v>
      </c>
      <c r="C78" s="50">
        <v>17</v>
      </c>
      <c r="D78" s="50">
        <v>86.97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2"/>
        <v>3.76000000000001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>
        <v>183</v>
      </c>
      <c r="B79" s="50">
        <v>191.47</v>
      </c>
      <c r="C79" s="50">
        <v>18</v>
      </c>
      <c r="D79" s="50">
        <v>191.47</v>
      </c>
      <c r="E79" s="51">
        <v>0.45</v>
      </c>
      <c r="F79" s="51">
        <v>0.05</v>
      </c>
      <c r="G79" s="51">
        <v>0.05</v>
      </c>
      <c r="H79" s="51">
        <v>0.45</v>
      </c>
      <c r="I79" s="49">
        <f t="shared" si="2"/>
        <v>2.2933333333333317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>
        <v>42</v>
      </c>
      <c r="B114" s="60">
        <v>171.96</v>
      </c>
      <c r="C114" s="50">
        <v>1</v>
      </c>
      <c r="D114" s="60">
        <v>44.510000000000005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4.0942857142857143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>
        <v>50</v>
      </c>
      <c r="B115" s="60">
        <v>208.33</v>
      </c>
      <c r="C115" s="50">
        <v>2</v>
      </c>
      <c r="D115" s="60">
        <v>37.54000000000002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10.110000000000001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>
        <v>58</v>
      </c>
      <c r="B116" s="60">
        <v>253.7</v>
      </c>
      <c r="C116" s="50">
        <v>3</v>
      </c>
      <c r="D116" s="60">
        <v>47.789999999999992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10.36375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>
        <v>66</v>
      </c>
      <c r="B117" s="60">
        <v>286.77</v>
      </c>
      <c r="C117" s="50">
        <v>4</v>
      </c>
      <c r="D117" s="60">
        <v>53.679999999999978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10.107499999999998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>
        <v>74</v>
      </c>
      <c r="B118" s="60">
        <v>310.95999999999998</v>
      </c>
      <c r="C118" s="50">
        <v>5</v>
      </c>
      <c r="D118" s="60">
        <v>51.339999999999975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9.733749999999997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>
        <v>84</v>
      </c>
      <c r="B119" s="60">
        <v>355.09</v>
      </c>
      <c r="C119" s="50">
        <v>6</v>
      </c>
      <c r="D119" s="60">
        <v>66.69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9.546999999999997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>
        <v>94</v>
      </c>
      <c r="B120" s="60">
        <v>380.13</v>
      </c>
      <c r="C120" s="60">
        <v>7</v>
      </c>
      <c r="D120" s="60">
        <v>67.350000000000023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9.1730000000000018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>
        <v>104</v>
      </c>
      <c r="B121" s="60">
        <v>402.2</v>
      </c>
      <c r="C121" s="60">
        <v>8</v>
      </c>
      <c r="D121" s="60">
        <v>66.089999999999975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8.9420000000000019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>
        <v>114</v>
      </c>
      <c r="B122" s="60">
        <v>424.56</v>
      </c>
      <c r="C122" s="60">
        <v>9</v>
      </c>
      <c r="D122" s="60">
        <v>61.860000000000014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8.8449999999999989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>
        <v>124</v>
      </c>
      <c r="B123" s="60">
        <v>451.86</v>
      </c>
      <c r="C123" s="60">
        <v>10</v>
      </c>
      <c r="D123" s="60">
        <v>57.81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8.9160000000000021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>
        <v>134</v>
      </c>
      <c r="B124" s="60">
        <v>484.28</v>
      </c>
      <c r="C124" s="60">
        <v>11</v>
      </c>
      <c r="D124" s="60">
        <v>60.779999999999973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9.0229999999999961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>
        <v>144</v>
      </c>
      <c r="B125" s="60">
        <v>514.94000000000005</v>
      </c>
      <c r="C125" s="60">
        <v>12</v>
      </c>
      <c r="D125" s="60">
        <v>61.800000000000068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9.1440000000000055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>
        <v>154</v>
      </c>
      <c r="B126" s="60">
        <v>546.49</v>
      </c>
      <c r="C126" s="60">
        <v>13</v>
      </c>
      <c r="D126" s="60">
        <v>61.050000000000011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9.3350000000000026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>
        <v>164</v>
      </c>
      <c r="B127" s="60">
        <v>580.32000000000005</v>
      </c>
      <c r="C127" s="60">
        <v>14</v>
      </c>
      <c r="D127" s="60">
        <v>66.020000000000095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9.4880000000000049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>
        <v>174</v>
      </c>
      <c r="B128" s="50">
        <v>610.52</v>
      </c>
      <c r="C128" s="50">
        <v>15</v>
      </c>
      <c r="D128" s="50">
        <v>240</v>
      </c>
      <c r="E128" s="54">
        <v>0.45</v>
      </c>
      <c r="F128" s="54">
        <v>0.05</v>
      </c>
      <c r="G128" s="54">
        <v>0.05</v>
      </c>
      <c r="H128" s="54">
        <v>0.45</v>
      </c>
      <c r="I128" s="53">
        <f t="shared" si="4"/>
        <v>9.6220000000000034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>
        <v>177</v>
      </c>
      <c r="B129" s="50">
        <v>388.94</v>
      </c>
      <c r="C129" s="50">
        <v>16</v>
      </c>
      <c r="D129" s="50">
        <v>128.66000000000003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6.140000000000005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>
        <v>180</v>
      </c>
      <c r="B130" s="50">
        <v>271.56</v>
      </c>
      <c r="C130" s="50">
        <v>17</v>
      </c>
      <c r="D130" s="50">
        <v>86.97</v>
      </c>
      <c r="E130" s="54">
        <v>0.45</v>
      </c>
      <c r="F130" s="54">
        <v>0.05</v>
      </c>
      <c r="G130" s="54">
        <v>0.05</v>
      </c>
      <c r="H130" s="54">
        <v>0.45</v>
      </c>
      <c r="I130" s="53">
        <f t="shared" si="4"/>
        <v>3.76000000000001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>
        <v>183</v>
      </c>
      <c r="B131" s="50">
        <v>191.47</v>
      </c>
      <c r="C131" s="50">
        <v>18</v>
      </c>
      <c r="D131" s="50">
        <v>191.47</v>
      </c>
      <c r="E131" s="54">
        <v>0.45</v>
      </c>
      <c r="F131" s="54">
        <v>0.05</v>
      </c>
      <c r="G131" s="54">
        <v>0.05</v>
      </c>
      <c r="H131" s="54">
        <v>0.45</v>
      </c>
      <c r="I131" s="53">
        <f t="shared" si="4"/>
        <v>2.2933333333333317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169</v>
      </c>
      <c r="B136" s="52" t="str">
        <f>IF(B13="","",B13)</f>
        <v>Alisier torminal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>
        <v>42</v>
      </c>
      <c r="B140" s="60">
        <v>171.96</v>
      </c>
      <c r="C140" s="50">
        <v>1</v>
      </c>
      <c r="D140" s="60">
        <v>44.510000000000005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4.0942857142857143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>
        <v>50</v>
      </c>
      <c r="B141" s="60">
        <v>208.33</v>
      </c>
      <c r="C141" s="50">
        <v>2</v>
      </c>
      <c r="D141" s="60">
        <v>37.54000000000002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10.110000000000001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>
        <v>58</v>
      </c>
      <c r="B142" s="60">
        <v>253.7</v>
      </c>
      <c r="C142" s="50">
        <v>3</v>
      </c>
      <c r="D142" s="60">
        <v>47.789999999999992</v>
      </c>
      <c r="E142" s="51">
        <v>0</v>
      </c>
      <c r="F142" s="51">
        <v>0.8</v>
      </c>
      <c r="G142" s="51">
        <v>0.2</v>
      </c>
      <c r="H142" s="51">
        <v>0</v>
      </c>
      <c r="I142" s="57">
        <f t="shared" si="5"/>
        <v>10.36375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>
        <v>66</v>
      </c>
      <c r="B143" s="60">
        <v>286.77</v>
      </c>
      <c r="C143" s="50">
        <v>4</v>
      </c>
      <c r="D143" s="60">
        <v>53.679999999999978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10.107499999999998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>
        <v>74</v>
      </c>
      <c r="B144" s="60">
        <v>310.95999999999998</v>
      </c>
      <c r="C144" s="50">
        <v>5</v>
      </c>
      <c r="D144" s="60">
        <v>51.339999999999975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9.733749999999997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>
        <v>84</v>
      </c>
      <c r="B145" s="60">
        <v>355.09</v>
      </c>
      <c r="C145" s="50">
        <v>6</v>
      </c>
      <c r="D145" s="60">
        <v>66.69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9.546999999999997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>
        <v>94</v>
      </c>
      <c r="B146" s="60">
        <v>380.13</v>
      </c>
      <c r="C146" s="50">
        <v>7</v>
      </c>
      <c r="D146" s="60">
        <v>67.350000000000023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9.1730000000000018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>
        <v>104</v>
      </c>
      <c r="B147" s="60">
        <v>402.2</v>
      </c>
      <c r="C147" s="50">
        <v>8</v>
      </c>
      <c r="D147" s="60">
        <v>66.089999999999975</v>
      </c>
      <c r="E147" s="51">
        <v>0.35</v>
      </c>
      <c r="F147" s="51">
        <v>0.2</v>
      </c>
      <c r="G147" s="51">
        <v>0.1</v>
      </c>
      <c r="H147" s="51">
        <v>0.35</v>
      </c>
      <c r="I147" s="57">
        <f>IF(A147&lt;&gt;0,(B147-(B146-D146))/(A147-A146),"")</f>
        <v>8.9420000000000019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>
        <v>114</v>
      </c>
      <c r="B148" s="60">
        <v>424.56</v>
      </c>
      <c r="C148" s="50">
        <v>9</v>
      </c>
      <c r="D148" s="60">
        <v>61.860000000000014</v>
      </c>
      <c r="E148" s="51">
        <v>0.35</v>
      </c>
      <c r="F148" s="51">
        <v>0.2</v>
      </c>
      <c r="G148" s="51">
        <v>0.1</v>
      </c>
      <c r="H148" s="51">
        <v>0.35</v>
      </c>
      <c r="I148" s="57">
        <f t="shared" si="5"/>
        <v>8.8449999999999989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>
        <v>124</v>
      </c>
      <c r="B149" s="60">
        <v>451.86</v>
      </c>
      <c r="C149" s="50">
        <v>10</v>
      </c>
      <c r="D149" s="60">
        <v>57.81</v>
      </c>
      <c r="E149" s="51">
        <v>0.35</v>
      </c>
      <c r="F149" s="51">
        <v>0.2</v>
      </c>
      <c r="G149" s="51">
        <v>0.1</v>
      </c>
      <c r="H149" s="51">
        <v>0.35</v>
      </c>
      <c r="I149" s="57">
        <f t="shared" si="5"/>
        <v>8.9160000000000021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>
        <v>134</v>
      </c>
      <c r="B150" s="60">
        <v>484.28</v>
      </c>
      <c r="C150" s="50">
        <v>11</v>
      </c>
      <c r="D150" s="60">
        <v>60.779999999999973</v>
      </c>
      <c r="E150" s="51">
        <v>0.5</v>
      </c>
      <c r="F150" s="51">
        <v>0.2</v>
      </c>
      <c r="G150" s="51">
        <v>0</v>
      </c>
      <c r="H150" s="51">
        <v>0.3</v>
      </c>
      <c r="I150" s="57">
        <f t="shared" si="5"/>
        <v>9.0229999999999961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>
        <v>144</v>
      </c>
      <c r="B151" s="60">
        <v>514.94000000000005</v>
      </c>
      <c r="C151" s="50">
        <v>12</v>
      </c>
      <c r="D151" s="60">
        <v>61.800000000000068</v>
      </c>
      <c r="E151" s="51">
        <v>0.5</v>
      </c>
      <c r="F151" s="51">
        <v>0.2</v>
      </c>
      <c r="G151" s="51">
        <v>0</v>
      </c>
      <c r="H151" s="51">
        <v>0.3</v>
      </c>
      <c r="I151" s="57">
        <f t="shared" si="5"/>
        <v>9.1440000000000055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>
        <v>154</v>
      </c>
      <c r="B152" s="60">
        <v>546.49</v>
      </c>
      <c r="C152" s="50">
        <v>13</v>
      </c>
      <c r="D152" s="60">
        <v>61.050000000000011</v>
      </c>
      <c r="E152" s="54">
        <v>0.5</v>
      </c>
      <c r="F152" s="54">
        <v>0.2</v>
      </c>
      <c r="G152" s="54">
        <v>0</v>
      </c>
      <c r="H152" s="54">
        <v>0.3</v>
      </c>
      <c r="I152" s="57">
        <f t="shared" si="5"/>
        <v>9.3350000000000026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>
        <v>164</v>
      </c>
      <c r="B153" s="60">
        <v>580.32000000000005</v>
      </c>
      <c r="C153" s="50">
        <v>14</v>
      </c>
      <c r="D153" s="60">
        <v>66.020000000000095</v>
      </c>
      <c r="E153" s="54">
        <v>0.5</v>
      </c>
      <c r="F153" s="54">
        <v>0.2</v>
      </c>
      <c r="G153" s="54">
        <v>0</v>
      </c>
      <c r="H153" s="54">
        <v>0.3</v>
      </c>
      <c r="I153" s="57">
        <f t="shared" si="5"/>
        <v>9.4880000000000049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>
        <v>174</v>
      </c>
      <c r="B154" s="56">
        <v>610.52</v>
      </c>
      <c r="C154" s="50">
        <v>15</v>
      </c>
      <c r="D154" s="50">
        <v>240</v>
      </c>
      <c r="E154" s="54">
        <v>0.45</v>
      </c>
      <c r="F154" s="54">
        <v>0.05</v>
      </c>
      <c r="G154" s="54">
        <v>0.05</v>
      </c>
      <c r="H154" s="54">
        <v>0.45</v>
      </c>
      <c r="I154" s="57">
        <f t="shared" si="5"/>
        <v>9.6220000000000034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>
        <v>177</v>
      </c>
      <c r="B155" s="56">
        <v>388.94</v>
      </c>
      <c r="C155" s="50">
        <v>16</v>
      </c>
      <c r="D155" s="50">
        <v>128.66000000000003</v>
      </c>
      <c r="E155" s="54">
        <v>0.45</v>
      </c>
      <c r="F155" s="54">
        <v>0.05</v>
      </c>
      <c r="G155" s="54">
        <v>0.05</v>
      </c>
      <c r="H155" s="54">
        <v>0.45</v>
      </c>
      <c r="I155" s="57">
        <f t="shared" si="5"/>
        <v>6.140000000000005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>
        <v>180</v>
      </c>
      <c r="B156" s="56">
        <v>271.56</v>
      </c>
      <c r="C156" s="50">
        <v>17</v>
      </c>
      <c r="D156" s="50">
        <v>86.97</v>
      </c>
      <c r="E156" s="54">
        <v>0.45</v>
      </c>
      <c r="F156" s="54">
        <v>0.05</v>
      </c>
      <c r="G156" s="54">
        <v>0.05</v>
      </c>
      <c r="H156" s="54">
        <v>0.45</v>
      </c>
      <c r="I156" s="57">
        <f t="shared" si="5"/>
        <v>3.76000000000001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>
        <v>183</v>
      </c>
      <c r="B157" s="56">
        <v>191.47</v>
      </c>
      <c r="C157" s="50">
        <v>18</v>
      </c>
      <c r="D157" s="50">
        <v>191.47</v>
      </c>
      <c r="E157" s="54">
        <v>0.45</v>
      </c>
      <c r="F157" s="54">
        <v>0.05</v>
      </c>
      <c r="G157" s="54">
        <v>0.05</v>
      </c>
      <c r="H157" s="54">
        <v>0.45</v>
      </c>
      <c r="I157" s="57">
        <f t="shared" si="5"/>
        <v>2.2933333333333317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171</v>
      </c>
      <c r="B188" s="52" t="str">
        <f>IF(B15="","",B15)</f>
        <v>Merisier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>
        <v>15</v>
      </c>
      <c r="B192" s="60">
        <v>25.641025641025639</v>
      </c>
      <c r="C192" s="60">
        <v>1</v>
      </c>
      <c r="D192" s="60">
        <v>1.9230769230769229</v>
      </c>
      <c r="E192" s="51">
        <v>0</v>
      </c>
      <c r="F192" s="51">
        <v>0.25</v>
      </c>
      <c r="G192" s="51">
        <v>0.25</v>
      </c>
      <c r="H192" s="51">
        <v>0.5</v>
      </c>
      <c r="I192" s="49">
        <f>IFERROR(B192/A192,"")</f>
        <v>1.7094017094017093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>
        <v>20</v>
      </c>
      <c r="B193" s="60">
        <v>54.487179487179482</v>
      </c>
      <c r="C193" s="60">
        <v>2</v>
      </c>
      <c r="D193" s="60">
        <v>16.025641025641026</v>
      </c>
      <c r="E193" s="51">
        <v>0</v>
      </c>
      <c r="F193" s="51">
        <v>0.25</v>
      </c>
      <c r="G193" s="51">
        <v>0.25</v>
      </c>
      <c r="H193" s="51">
        <v>0.5</v>
      </c>
      <c r="I193" s="49">
        <f t="shared" ref="I193:I211" si="7">IF(A193&lt;&gt;0,(B193-(B192-D192))/(A193-A192),"")</f>
        <v>6.1538461538461533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>
        <v>25</v>
      </c>
      <c r="B194" s="60">
        <v>72.435897435897431</v>
      </c>
      <c r="C194" s="60">
        <v>3</v>
      </c>
      <c r="D194" s="60">
        <v>17.307692307692307</v>
      </c>
      <c r="E194" s="51">
        <v>0</v>
      </c>
      <c r="F194" s="51">
        <v>0.25</v>
      </c>
      <c r="G194" s="51">
        <v>0.25</v>
      </c>
      <c r="H194" s="51">
        <v>0.5</v>
      </c>
      <c r="I194" s="49">
        <f t="shared" si="7"/>
        <v>6.7948717948717956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>
        <v>31</v>
      </c>
      <c r="B195" s="60">
        <v>99.358974358974351</v>
      </c>
      <c r="C195" s="60">
        <v>4</v>
      </c>
      <c r="D195" s="60">
        <v>23.076923076923077</v>
      </c>
      <c r="E195" s="51">
        <v>0.25</v>
      </c>
      <c r="F195" s="51">
        <v>0.25</v>
      </c>
      <c r="G195" s="51">
        <v>0.25</v>
      </c>
      <c r="H195" s="51">
        <v>0.25</v>
      </c>
      <c r="I195" s="49">
        <f t="shared" si="7"/>
        <v>7.3717948717948714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>
        <v>37</v>
      </c>
      <c r="B196" s="60">
        <v>120.51282051282051</v>
      </c>
      <c r="C196" s="60">
        <v>5</v>
      </c>
      <c r="D196" s="60">
        <v>23.076923076923077</v>
      </c>
      <c r="E196" s="51">
        <v>0.25</v>
      </c>
      <c r="F196" s="51">
        <v>0.25</v>
      </c>
      <c r="G196" s="51">
        <v>0.25</v>
      </c>
      <c r="H196" s="51">
        <v>0.25</v>
      </c>
      <c r="I196" s="49">
        <f t="shared" si="7"/>
        <v>7.3717948717948731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>
        <v>44</v>
      </c>
      <c r="B197" s="60">
        <v>147.43589743589743</v>
      </c>
      <c r="C197" s="60">
        <v>6</v>
      </c>
      <c r="D197" s="60">
        <v>27.564102564102562</v>
      </c>
      <c r="E197" s="51">
        <v>0.25</v>
      </c>
      <c r="F197" s="51">
        <v>0.25</v>
      </c>
      <c r="G197" s="51">
        <v>0.25</v>
      </c>
      <c r="H197" s="51">
        <v>0.25</v>
      </c>
      <c r="I197" s="49">
        <f t="shared" si="7"/>
        <v>7.1428571428571432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>
        <v>52</v>
      </c>
      <c r="B198" s="60">
        <v>173.07692307692307</v>
      </c>
      <c r="C198" s="60">
        <v>7</v>
      </c>
      <c r="D198" s="60">
        <v>30.769230769230766</v>
      </c>
      <c r="E198" s="51">
        <v>0.25</v>
      </c>
      <c r="F198" s="51">
        <v>0.25</v>
      </c>
      <c r="G198" s="51">
        <v>0.25</v>
      </c>
      <c r="H198" s="51">
        <v>0.25</v>
      </c>
      <c r="I198" s="49">
        <f t="shared" si="7"/>
        <v>6.6506410256410255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>
        <v>60</v>
      </c>
      <c r="B199" s="50">
        <v>190.38461538461539</v>
      </c>
      <c r="C199" s="50">
        <v>8</v>
      </c>
      <c r="D199" s="50">
        <v>30.128205128205128</v>
      </c>
      <c r="E199" s="51">
        <v>0.25</v>
      </c>
      <c r="F199" s="51">
        <v>0.25</v>
      </c>
      <c r="G199" s="51">
        <v>0.25</v>
      </c>
      <c r="H199" s="51">
        <v>0.25</v>
      </c>
      <c r="I199" s="49">
        <f t="shared" si="7"/>
        <v>6.0096153846153868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>
        <v>69</v>
      </c>
      <c r="B200" s="50">
        <v>210.25641025641025</v>
      </c>
      <c r="C200" s="50">
        <v>9</v>
      </c>
      <c r="D200" s="50">
        <v>210.25641025641025</v>
      </c>
      <c r="E200" s="51">
        <v>0.25</v>
      </c>
      <c r="F200" s="51">
        <v>0.25</v>
      </c>
      <c r="G200" s="51">
        <v>0.25</v>
      </c>
      <c r="H200" s="51">
        <v>0.25</v>
      </c>
      <c r="I200" s="49">
        <f t="shared" si="7"/>
        <v>5.5555555555555554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609375" defaultRowHeight="14.6" x14ac:dyDescent="0.4"/>
  <cols>
    <col min="1" max="1" width="5.921875" style="1" customWidth="1"/>
    <col min="2" max="2" width="14.07421875" style="1" customWidth="1"/>
    <col min="3" max="3" width="62.07421875" style="1" customWidth="1"/>
    <col min="4" max="5" width="4.3828125" style="1" customWidth="1"/>
    <col min="6" max="6" width="14.3828125" style="1" customWidth="1"/>
    <col min="7" max="7" width="73.382812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921875" style="4" bestFit="1" customWidth="1"/>
    <col min="2" max="4" width="11.4609375" style="4"/>
    <col min="5" max="5" width="9.53515625" style="4" customWidth="1"/>
    <col min="6" max="7" width="11.4609375" style="4"/>
    <col min="8" max="8" width="10.613281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61328125" style="4" bestFit="1" customWidth="1"/>
    <col min="25" max="25" width="14.53515625" style="4" bestFit="1" customWidth="1"/>
    <col min="26" max="26" width="12.4609375" style="4" bestFit="1" customWidth="1"/>
    <col min="27" max="27" width="9.613281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828125" style="4" bestFit="1" customWidth="1"/>
    <col min="45" max="45" width="11.61328125" style="4" bestFit="1" customWidth="1"/>
    <col min="46" max="46" width="8.4609375" style="4" bestFit="1" customWidth="1"/>
    <col min="47" max="47" width="9.4609375" style="4" bestFit="1" customWidth="1"/>
    <col min="48" max="48" width="9.613281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82812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828125" style="4" bestFit="1" customWidth="1"/>
    <col min="66" max="66" width="11.61328125" style="4" bestFit="1" customWidth="1"/>
    <col min="67" max="67" width="8.4609375" style="4" bestFit="1" customWidth="1"/>
    <col min="68" max="68" width="9.4609375" style="4" bestFit="1" customWidth="1"/>
    <col min="69" max="69" width="9.613281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9218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828125" style="4" bestFit="1" customWidth="1"/>
    <col min="87" max="87" width="11.61328125" style="4" bestFit="1" customWidth="1"/>
    <col min="88" max="88" width="8.4609375" style="4" bestFit="1" customWidth="1"/>
    <col min="89" max="89" width="9.4609375" style="4" bestFit="1" customWidth="1"/>
    <col min="90" max="90" width="9.613281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828125" style="4" bestFit="1" customWidth="1"/>
    <col min="108" max="108" width="11.61328125" style="4" bestFit="1" customWidth="1"/>
    <col min="109" max="109" width="8.4609375" style="4" bestFit="1" customWidth="1"/>
    <col min="110" max="110" width="9.4609375" style="4" bestFit="1" customWidth="1"/>
    <col min="111" max="111" width="9.613281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82812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828125" style="4" bestFit="1" customWidth="1"/>
    <col min="129" max="129" width="11.61328125" style="4" bestFit="1" customWidth="1"/>
    <col min="130" max="130" width="8.4609375" style="4" bestFit="1" customWidth="1"/>
    <col min="131" max="131" width="9.4609375" style="4" bestFit="1" customWidth="1"/>
    <col min="132" max="132" width="9.613281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828125" style="4" bestFit="1" customWidth="1"/>
    <col min="150" max="150" width="11.61328125" style="4" bestFit="1" customWidth="1"/>
    <col min="151" max="151" width="8.4609375" style="4" bestFit="1" customWidth="1"/>
    <col min="152" max="152" width="9.4609375" style="4" bestFit="1" customWidth="1"/>
    <col min="153" max="153" width="9.613281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828125" style="4" bestFit="1" customWidth="1"/>
    <col min="171" max="171" width="11.61328125" style="4" bestFit="1" customWidth="1"/>
    <col min="172" max="172" width="8.07421875" style="4" bestFit="1" customWidth="1"/>
    <col min="173" max="173" width="9.4609375" style="4" bestFit="1" customWidth="1"/>
    <col min="174" max="174" width="9.613281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82812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613281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82812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828125" style="4" bestFit="1" customWidth="1"/>
    <col min="213" max="213" width="11.61328125" style="4" bestFit="1" customWidth="1"/>
    <col min="214" max="214" width="8.4609375" style="4" bestFit="1" customWidth="1"/>
    <col min="215" max="215" width="9.4609375" style="4" bestFit="1" customWidth="1"/>
    <col min="216" max="216" width="9.613281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Cormier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Alisier torminal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Merisier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635.71275911100679</v>
      </c>
      <c r="T3" s="59">
        <f>IF('Données projet'!E9&gt;30,$R$33-$H$33,LOOKUP('Données projet'!$E$9,$A$3:$A$203,R3:R203)-LOOKUP('Données projet'!$E$9,$A$3:$A$203,$H$3:$H$203))</f>
        <v>281.7776857269169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706.69239849991595</v>
      </c>
      <c r="AO3" s="59">
        <f>IF('Données projet'!E10&gt;30,$AM$33-$H$33,LOOKUP('Données projet'!$E$10,$A$3:$A$203,AM3:AM203)-LOOKUP('Données projet'!$E$10,$A$3:$A$203,$H$3:$H$203))</f>
        <v>310.59887275116529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666.1523645983184</v>
      </c>
      <c r="BJ3" s="59">
        <f>IF('Données projet'!E11&gt;30,$BH$33-$H$33,LOOKUP('Données projet'!$E$11,$A$3:$A$203,BH3:BH203)-LOOKUP('Données projet'!$E$11,$A$3:$A$203,$H$3:$H$203))</f>
        <v>294.13851344047526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747.18304127457918</v>
      </c>
      <c r="CE3" s="59">
        <f>IF('Données projet'!E12&gt;30,$CC$33-$H$33,LOOKUP('Données projet'!$E$12,$A$3:$A$203,CC3:CC203)-LOOKUP('Données projet'!$E$12,$A$3:$A$203,$H$3:$H$203))</f>
        <v>327.03701004966723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676.29219382388692</v>
      </c>
      <c r="CZ3" s="59">
        <f>IF('Données projet'!E13&gt;30,$CX$33-$H$33,LOOKUP('Données projet'!$E$13,$A$3:$A$203,CX3:CX203)-LOOKUP('Données projet'!$E$13,$A$3:$A$203,$H$3:$H$203))</f>
        <v>298.25577221580448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197.51452239559433</v>
      </c>
      <c r="EP3" s="59">
        <f>IF('Données projet'!E15&gt;30,$EN$33-$H$33,LOOKUP('Données projet'!$E$15,$A$3:$A$203,EN3:EN203)-LOOKUP('Données projet'!$E$15,$A$3:$A$203,$H$3:$H$203))</f>
        <v>196.65166921588821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266.89389098826081</v>
      </c>
      <c r="S4" s="59">
        <f ca="1">AVERAGE(OFFSET($R$3,0,0,'Données projet'!$E$9+1,1))-AVERAGE(OFFSET($H$3,0,0,'Données projet'!$E$9+1,1))</f>
        <v>635.71275911100679</v>
      </c>
      <c r="T4" s="59">
        <f>$T$3</f>
        <v>281.7776857269169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4.0942857142857143</v>
      </c>
      <c r="AI4" s="13">
        <f>IF('Données projet'!$A$62&gt;35,AI3+AH4-AQ3,IF(A4&lt;'Données projet'!$A$62,$AF$205^A4,IF(A4='Données projet'!$A$62,'Données projet'!$B$62,AI3+AH4-AQ3)))</f>
        <v>4.0942857142857143</v>
      </c>
      <c r="AJ4" s="13">
        <f>AI4*VLOOKUP('Données projet'!$B$10,Paramètres!$A$1:$I$89,3,0)*VLOOKUP('Données projet'!$B$10,Paramètres!$A$1:$I$89,5,0)</f>
        <v>4.151605714285715</v>
      </c>
      <c r="AK4" s="13">
        <f>EXP(-1.0587+0.8836*LN(AJ4)+0.284)</f>
        <v>1.6210925568488095</v>
      </c>
      <c r="AL4" s="20">
        <f t="shared" ref="AL4:AL67" si="4">(AJ4+AK4)*0.475*44/12</f>
        <v>10.054116155559297</v>
      </c>
      <c r="AM4" s="59">
        <f t="shared" ref="AM4:AM67" si="5">AL4+(AD4+AE4)*44/12</f>
        <v>267.94300504444817</v>
      </c>
      <c r="AN4" s="59">
        <f ca="1">AVERAGE(OFFSET($AM$3,0,0,'Données projet'!$E$10+1,1))-AVERAGE(OFFSET($H$3,0,0,'Données projet'!$E$10+1,1))</f>
        <v>706.69239849991595</v>
      </c>
      <c r="AO4" s="59">
        <f>$AO$3</f>
        <v>310.59887275116529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3.8961222857142861</v>
      </c>
      <c r="BF4" s="13">
        <f>EXP(-1.0587+0.8836*LN(BE4)+0.284)</f>
        <v>1.5326218471913844</v>
      </c>
      <c r="BG4" s="20">
        <f t="shared" ref="BG4:BG67" si="7">(BE4+BF4)*0.475*44/12</f>
        <v>9.455062698144042</v>
      </c>
      <c r="BH4" s="59">
        <f t="shared" ref="BH4:BH67" si="8">BG4+(AY4+AZ4)*44/12</f>
        <v>267.3439515870329</v>
      </c>
      <c r="BI4" s="59">
        <f ca="1">AVERAGE(OFFSET($BH$3,0,0,'Données projet'!$E$11+1,1))-AVERAGE(OFFSET($H$3,0,0,'Données projet'!$E$11+1,1))</f>
        <v>666.1523645983184</v>
      </c>
      <c r="BJ4" s="59">
        <f>$BJ$3</f>
        <v>294.13851344047526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4.0942857142857143</v>
      </c>
      <c r="BY4" s="12">
        <f>IF('Données projet'!$A$114&gt;35,BY3+BX4-CG3,IF(A4&lt;'Données projet'!$A$114,$BV$205^A4,IF(A4='Données projet'!$A$114,'Données projet'!$B$114,BY3+BX4-CG3)))</f>
        <v>4.0942857142857143</v>
      </c>
      <c r="BZ4" s="13">
        <f>BY4*VLOOKUP('Données projet'!$B$12,Paramètres!$A$1:$I$89,3,0)*VLOOKUP('Données projet'!$B$12,Paramètres!$A$1:$I$89,5,0)</f>
        <v>4.407089142857143</v>
      </c>
      <c r="CA4" s="13">
        <f>EXP(-1.0587+0.8836*LN(BZ4)+0.284)</f>
        <v>1.7089313873919469</v>
      </c>
      <c r="CB4" s="20">
        <f t="shared" ref="CB4:CB67" si="10">(BZ4+CA4)*0.475*44/12</f>
        <v>10.652069090183831</v>
      </c>
      <c r="CC4" s="59">
        <f t="shared" ref="CC4:CC67" si="11">CB4+(BT4+BU4)*44/12</f>
        <v>268.54095797907269</v>
      </c>
      <c r="CD4" s="59">
        <f ca="1">AVERAGE(OFFSET($CC$3,0,0,'Données projet'!$E$12+1,1))-AVERAGE(OFFSET($H$3,0,0,'Données projet'!$E$12+1,1))</f>
        <v>747.18304127457918</v>
      </c>
      <c r="CE4" s="59">
        <f>$CE$3</f>
        <v>327.03701004966723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4.0942857142857143</v>
      </c>
      <c r="CT4" s="12">
        <f>IF('Données projet'!$A$140&gt;35,CT3+CS4-DB3,IF(A4&lt;'Données projet'!$A$140,$CQ$205^A4,IF(A4='Données projet'!$A$140,'Données projet'!$B$140,CT3+CS4-DB3)))</f>
        <v>4.0942857142857143</v>
      </c>
      <c r="CU4" s="17">
        <f>CT4*VLOOKUP('Données projet'!$B$13,Paramètres!$A$1:$I$89,3,0)*VLOOKUP('Données projet'!$B$13,Paramètres!$A$1:$I$89,5,0)</f>
        <v>3.9599931428571429</v>
      </c>
      <c r="CV4" s="13">
        <f>EXP(-1.0587+0.8836*LN(CU4)+0.284)</f>
        <v>1.5548011982612446</v>
      </c>
      <c r="CW4" s="20">
        <f t="shared" ref="CW4:CW67" si="13">(CU4+CV4)*0.475*44/12</f>
        <v>9.6049334774478581</v>
      </c>
      <c r="CX4" s="59">
        <f t="shared" ref="CX4:CX67" si="14">CW4+(CO4+CP4)*44/12</f>
        <v>267.4938223663367</v>
      </c>
      <c r="CY4" s="59">
        <f ca="1">AVERAGE(OFFSET($CX$3,0,0,'Données projet'!$E$13+1,1))-AVERAGE(OFFSET($H$3,0,0,'Données projet'!$E$13+1,1))</f>
        <v>676.29219382388692</v>
      </c>
      <c r="CZ4" s="59">
        <f>$CZ$3</f>
        <v>298.25577221580448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1.7094017094017093</v>
      </c>
      <c r="EJ4" s="12">
        <f>IF('Données projet'!$A$192&gt;35,EJ3+EI4-ER3,IF(A4&lt;'Données projet'!$A$192,$EG$205^A4,IF(A4='Données projet'!$A$192,'Données projet'!$B$192,EJ3+EI4-ER3)))</f>
        <v>1.2414494093563335</v>
      </c>
      <c r="EK4" s="17">
        <f>EJ4*VLOOKUP('Données projet'!$B$15,Paramètres!$A$1:$I$89,3,0)*VLOOKUP('Données projet'!$B$15,Paramètres!$A$1:$I$89,5,0)</f>
        <v>0.96833053929794022</v>
      </c>
      <c r="EL4" s="13">
        <f>EXP(-1.0587+0.8836*LN(EK4)+0.284)</f>
        <v>0.44792215440986066</v>
      </c>
      <c r="EM4" s="20">
        <f t="shared" ref="EM4:EM67" si="19">(EK4+EL4)*0.475*44/12</f>
        <v>2.4666401082077529</v>
      </c>
      <c r="EN4" s="59">
        <f t="shared" ref="EN4:EN67" si="20">EM4+(EE4+EF4)*44/12</f>
        <v>260.3555289970966</v>
      </c>
      <c r="EO4" s="59">
        <f ca="1">AVERAGE(OFFSET($EN$3,0,0,'Données projet'!$E$15+1,1))-AVERAGE(OFFSET($H$3,0,0,'Données projet'!$E$15+1,1))</f>
        <v>197.51452239559433</v>
      </c>
      <c r="EP4" s="59">
        <f>$EP$3</f>
        <v>196.65166921588821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276.72533529021041</v>
      </c>
      <c r="S5" s="59">
        <f ca="1">AVERAGE(OFFSET($R$3,0,0,'Données projet'!$E$9+1,1))-AVERAGE(OFFSET($H$3,0,0,'Données projet'!$E$9+1,1))</f>
        <v>635.71275911100679</v>
      </c>
      <c r="T5" s="59">
        <f t="shared" ref="T5:T68" si="34">$T$3</f>
        <v>281.7776857269169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4.0942857142857143</v>
      </c>
      <c r="AI5" s="13">
        <f>IF('Données projet'!$A$62&gt;35,AI4+AH5-AQ4,IF(A5&lt;'Données projet'!$A$62,$AF$205^A5,IF(A5='Données projet'!$A$62,'Données projet'!$B$62,AI4+AH5-AQ4)))</f>
        <v>8.1885714285714286</v>
      </c>
      <c r="AJ5" s="13">
        <f>AI5*VLOOKUP('Données projet'!$B$10,Paramètres!$A$1:$I$89,3,0)*VLOOKUP('Données projet'!$B$10,Paramètres!$A$1:$I$89,5,0)</f>
        <v>8.30321142857143</v>
      </c>
      <c r="AK5" s="13">
        <f t="shared" ref="AK5:AK68" si="35">EXP(-1.0587+0.8836*LN(AJ5)+0.284)</f>
        <v>2.9908726125223399</v>
      </c>
      <c r="AL5" s="20">
        <f t="shared" si="4"/>
        <v>19.670529704904983</v>
      </c>
      <c r="AM5" s="59">
        <f t="shared" si="5"/>
        <v>278.78164081601614</v>
      </c>
      <c r="AN5" s="59">
        <f ca="1">AVERAGE(OFFSET($AM$3,0,0,'Données projet'!$E$10+1,1))-AVERAGE(OFFSET($H$3,0,0,'Données projet'!$E$10+1,1))</f>
        <v>706.69239849991595</v>
      </c>
      <c r="AO5" s="59">
        <f t="shared" ref="AO5:AO68" si="36">$AO$3</f>
        <v>310.59887275116529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7.7922445714285722</v>
      </c>
      <c r="BF5" s="13">
        <f t="shared" ref="BF5:BF68" si="37">EXP(-1.0587+0.8836*LN(BE5)+0.284)</f>
        <v>2.8276465083699871</v>
      </c>
      <c r="BG5" s="20">
        <f t="shared" si="7"/>
        <v>18.496310297315823</v>
      </c>
      <c r="BH5" s="59">
        <f t="shared" si="8"/>
        <v>277.60742140842694</v>
      </c>
      <c r="BI5" s="59">
        <f ca="1">AVERAGE(OFFSET($BH$3,0,0,'Données projet'!$E$11+1,1))-AVERAGE(OFFSET($H$3,0,0,'Données projet'!$E$11+1,1))</f>
        <v>666.1523645983184</v>
      </c>
      <c r="BJ5" s="59">
        <f t="shared" ref="BJ5:BJ68" si="38">$BJ$3</f>
        <v>294.13851344047526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4.0942857142857143</v>
      </c>
      <c r="BY5" s="12">
        <f>IF('Données projet'!$A$114&gt;35,BY4+BX5-CG4,IF(A5&lt;'Données projet'!$A$114,$BV$205^A5,IF(A5='Données projet'!$A$114,'Données projet'!$B$114,BY4+BX5-CG4)))</f>
        <v>8.1885714285714286</v>
      </c>
      <c r="BZ5" s="13">
        <f>BY5*VLOOKUP('Données projet'!$B$12,Paramètres!$A$1:$I$89,3,0)*VLOOKUP('Données projet'!$B$12,Paramètres!$A$1:$I$89,5,0)</f>
        <v>8.8141782857142861</v>
      </c>
      <c r="CA5" s="13">
        <f t="shared" ref="CA5:CA68" si="39">EXP(-1.0587+0.8836*LN(BZ5)+0.284)</f>
        <v>3.1529329165299926</v>
      </c>
      <c r="CB5" s="20">
        <f t="shared" si="10"/>
        <v>20.842718677242118</v>
      </c>
      <c r="CC5" s="59">
        <f t="shared" si="11"/>
        <v>279.95382978835323</v>
      </c>
      <c r="CD5" s="59">
        <f ca="1">AVERAGE(OFFSET($CC$3,0,0,'Données projet'!$E$12+1,1))-AVERAGE(OFFSET($H$3,0,0,'Données projet'!$E$12+1,1))</f>
        <v>747.18304127457918</v>
      </c>
      <c r="CE5" s="59">
        <f t="shared" ref="CE5:CE68" si="40">$CE$3</f>
        <v>327.03701004966723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4.0942857142857143</v>
      </c>
      <c r="CT5" s="12">
        <f>IF('Données projet'!$A$140&gt;35,CT4+CS5-DB4,IF(A5&lt;'Données projet'!$A$140,$CQ$205^A5,IF(A5='Données projet'!$A$140,'Données projet'!$B$140,CT4+CS5-DB4)))</f>
        <v>8.1885714285714286</v>
      </c>
      <c r="CU5" s="17">
        <f>CT5*VLOOKUP('Données projet'!$B$13,Paramètres!$A$1:$I$89,3,0)*VLOOKUP('Données projet'!$B$13,Paramètres!$A$1:$I$89,5,0)</f>
        <v>7.9199862857142858</v>
      </c>
      <c r="CV5" s="13">
        <f t="shared" ref="CV5:CV68" si="41">EXP(-1.0587+0.8836*LN(CU5)+0.284)</f>
        <v>2.868566820660674</v>
      </c>
      <c r="CW5" s="20">
        <f t="shared" si="13"/>
        <v>18.790063326936387</v>
      </c>
      <c r="CX5" s="59">
        <f t="shared" si="14"/>
        <v>277.90117443804752</v>
      </c>
      <c r="CY5" s="59">
        <f ca="1">AVERAGE(OFFSET($CX$3,0,0,'Données projet'!$E$13+1,1))-AVERAGE(OFFSET($H$3,0,0,'Données projet'!$E$13+1,1))</f>
        <v>676.29219382388692</v>
      </c>
      <c r="CZ5" s="59">
        <f t="shared" ref="CZ5:CZ68" si="42">$CZ$3</f>
        <v>298.25577221580448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1.7094017094017093</v>
      </c>
      <c r="EJ5" s="12">
        <f>IF('Données projet'!$A$192&gt;35,EJ4+EI5-ER4,IF(A5&lt;'Données projet'!$A$192,$EG$205^A5,IF(A5='Données projet'!$A$192,'Données projet'!$B$192,EJ4+EI5-ER4)))</f>
        <v>1.5411966359911893</v>
      </c>
      <c r="EK5" s="17">
        <f>EJ5*VLOOKUP('Données projet'!$B$15,Paramètres!$A$1:$I$89,3,0)*VLOOKUP('Données projet'!$B$15,Paramètres!$A$1:$I$89,5,0)</f>
        <v>1.2021333760731276</v>
      </c>
      <c r="EL5" s="13">
        <f t="shared" ref="EL5:EL68" si="45">EXP(-1.0587+0.8836*LN(EK5)+0.284)</f>
        <v>0.54224833966781483</v>
      </c>
      <c r="EM5" s="20">
        <f t="shared" si="19"/>
        <v>3.038131488248808</v>
      </c>
      <c r="EN5" s="59">
        <f t="shared" si="20"/>
        <v>262.14924259935992</v>
      </c>
      <c r="EO5" s="59">
        <f ca="1">AVERAGE(OFFSET($EN$3,0,0,'Données projet'!$E$15+1,1))-AVERAGE(OFFSET($H$3,0,0,'Données projet'!$E$15+1,1))</f>
        <v>197.51452239559433</v>
      </c>
      <c r="EP5" s="59">
        <f t="shared" ref="EP5:EP68" si="46">$EP$3</f>
        <v>196.65166921588821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286.42896251272896</v>
      </c>
      <c r="S6" s="59">
        <f ca="1">AVERAGE(OFFSET($R$3,0,0,'Données projet'!$E$9+1,1))-AVERAGE(OFFSET($H$3,0,0,'Données projet'!$E$9+1,1))</f>
        <v>635.71275911100679</v>
      </c>
      <c r="T6" s="59">
        <f t="shared" si="34"/>
        <v>281.7776857269169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4.0942857142857143</v>
      </c>
      <c r="AI6" s="13">
        <f>IF('Données projet'!$A$62&gt;35,AI5+AH6-AQ5,IF(A6&lt;'Données projet'!$A$62,$AF$205^A6,IF(A6='Données projet'!$A$62,'Données projet'!$B$62,AI5+AH6-AQ5)))</f>
        <v>12.282857142857143</v>
      </c>
      <c r="AJ6" s="13">
        <f>AI6*VLOOKUP('Données projet'!$B$10,Paramètres!$A$1:$I$89,3,0)*VLOOKUP('Données projet'!$B$10,Paramètres!$A$1:$I$89,5,0)</f>
        <v>12.454817142857145</v>
      </c>
      <c r="AK6" s="13">
        <f t="shared" si="35"/>
        <v>4.279491345414665</v>
      </c>
      <c r="AL6" s="20">
        <f t="shared" si="4"/>
        <v>29.145587283740067</v>
      </c>
      <c r="AM6" s="59">
        <f t="shared" si="5"/>
        <v>289.47892061707336</v>
      </c>
      <c r="AN6" s="59">
        <f ca="1">AVERAGE(OFFSET($AM$3,0,0,'Données projet'!$E$10+1,1))-AVERAGE(OFFSET($H$3,0,0,'Données projet'!$E$10+1,1))</f>
        <v>706.69239849991595</v>
      </c>
      <c r="AO6" s="59">
        <f t="shared" si="36"/>
        <v>310.59887275116529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11.688366857142858</v>
      </c>
      <c r="BF6" s="13">
        <f t="shared" si="37"/>
        <v>4.0459392050991161</v>
      </c>
      <c r="BG6" s="20">
        <f t="shared" si="7"/>
        <v>27.403916391738104</v>
      </c>
      <c r="BH6" s="59">
        <f t="shared" si="8"/>
        <v>287.73724972507142</v>
      </c>
      <c r="BI6" s="59">
        <f ca="1">AVERAGE(OFFSET($BH$3,0,0,'Données projet'!$E$11+1,1))-AVERAGE(OFFSET($H$3,0,0,'Données projet'!$E$11+1,1))</f>
        <v>666.1523645983184</v>
      </c>
      <c r="BJ6" s="59">
        <f t="shared" si="38"/>
        <v>294.13851344047526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4.0942857142857143</v>
      </c>
      <c r="BY6" s="12">
        <f>IF('Données projet'!$A$114&gt;35,BY5+BX6-CG5,IF(A6&lt;'Données projet'!$A$114,$BV$205^A6,IF(A6='Données projet'!$A$114,'Données projet'!$B$114,BY5+BX6-CG5)))</f>
        <v>12.282857142857143</v>
      </c>
      <c r="BZ6" s="13">
        <f>BY6*VLOOKUP('Données projet'!$B$12,Paramètres!$A$1:$I$89,3,0)*VLOOKUP('Données projet'!$B$12,Paramètres!$A$1:$I$89,5,0)</f>
        <v>13.221267428571428</v>
      </c>
      <c r="CA6" s="13">
        <f t="shared" si="39"/>
        <v>4.5113754000990003</v>
      </c>
      <c r="CB6" s="20">
        <f t="shared" si="10"/>
        <v>30.884352926600993</v>
      </c>
      <c r="CC6" s="59">
        <f t="shared" si="11"/>
        <v>291.21768625993428</v>
      </c>
      <c r="CD6" s="59">
        <f ca="1">AVERAGE(OFFSET($CC$3,0,0,'Données projet'!$E$12+1,1))-AVERAGE(OFFSET($H$3,0,0,'Données projet'!$E$12+1,1))</f>
        <v>747.18304127457918</v>
      </c>
      <c r="CE6" s="59">
        <f t="shared" si="40"/>
        <v>327.03701004966723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4.0942857142857143</v>
      </c>
      <c r="CT6" s="12">
        <f>IF('Données projet'!$A$140&gt;35,CT5+CS6-DB5,IF(A6&lt;'Données projet'!$A$140,$CQ$205^A6,IF(A6='Données projet'!$A$140,'Données projet'!$B$140,CT5+CS6-DB5)))</f>
        <v>12.282857142857143</v>
      </c>
      <c r="CU6" s="17">
        <f>CT6*VLOOKUP('Données projet'!$B$13,Paramètres!$A$1:$I$89,3,0)*VLOOKUP('Données projet'!$B$13,Paramètres!$A$1:$I$89,5,0)</f>
        <v>11.87997942857143</v>
      </c>
      <c r="CV6" s="13">
        <f t="shared" si="41"/>
        <v>4.1044900512857669</v>
      </c>
      <c r="CW6" s="20">
        <f t="shared" si="13"/>
        <v>27.839617677417948</v>
      </c>
      <c r="CX6" s="59">
        <f t="shared" si="14"/>
        <v>288.17295101075126</v>
      </c>
      <c r="CY6" s="59">
        <f ca="1">AVERAGE(OFFSET($CX$3,0,0,'Données projet'!$E$13+1,1))-AVERAGE(OFFSET($H$3,0,0,'Données projet'!$E$13+1,1))</f>
        <v>676.29219382388692</v>
      </c>
      <c r="CZ6" s="59">
        <f t="shared" si="42"/>
        <v>298.25577221580448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1.7094017094017093</v>
      </c>
      <c r="EJ6" s="12">
        <f>IF('Données projet'!$A$192&gt;35,EJ5+EI6-ER5,IF(A6&lt;'Données projet'!$A$192,$EG$205^A6,IF(A6='Données projet'!$A$192,'Données projet'!$B$192,EJ5+EI6-ER5)))</f>
        <v>1.9133176534532301</v>
      </c>
      <c r="EK6" s="17">
        <f>EJ6*VLOOKUP('Données projet'!$B$15,Paramètres!$A$1:$I$89,3,0)*VLOOKUP('Données projet'!$B$15,Paramètres!$A$1:$I$89,5,0)</f>
        <v>1.4923877696935195</v>
      </c>
      <c r="EL6" s="13">
        <f t="shared" si="45"/>
        <v>0.65643830959844374</v>
      </c>
      <c r="EM6" s="20">
        <f t="shared" si="19"/>
        <v>3.7425387547668367</v>
      </c>
      <c r="EN6" s="59">
        <f t="shared" si="20"/>
        <v>264.07587208810014</v>
      </c>
      <c r="EO6" s="59">
        <f ca="1">AVERAGE(OFFSET($EN$3,0,0,'Données projet'!$E$15+1,1))-AVERAGE(OFFSET($H$3,0,0,'Données projet'!$E$15+1,1))</f>
        <v>197.51452239559433</v>
      </c>
      <c r="EP6" s="59">
        <f t="shared" si="46"/>
        <v>196.65166921588821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296.05380031351086</v>
      </c>
      <c r="S7" s="59">
        <f ca="1">AVERAGE(OFFSET($R$3,0,0,'Données projet'!$E$9+1,1))-AVERAGE(OFFSET($H$3,0,0,'Données projet'!$E$9+1,1))</f>
        <v>635.71275911100679</v>
      </c>
      <c r="T7" s="59">
        <f t="shared" si="34"/>
        <v>281.7776857269169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4.0942857142857143</v>
      </c>
      <c r="AI7" s="13">
        <f>IF('Données projet'!$A$62&gt;35,AI6+AH7-AQ6,IF(A7&lt;'Données projet'!$A$62,$AF$205^A7,IF(A7='Données projet'!$A$62,'Données projet'!$B$62,AI6+AH7-AQ6)))</f>
        <v>16.377142857142857</v>
      </c>
      <c r="AJ7" s="13">
        <f>AI7*VLOOKUP('Données projet'!$B$10,Paramètres!$A$1:$I$89,3,0)*VLOOKUP('Données projet'!$B$10,Paramètres!$A$1:$I$89,5,0)</f>
        <v>16.60642285714286</v>
      </c>
      <c r="AK7" s="13">
        <f t="shared" si="35"/>
        <v>5.5180803505289857</v>
      </c>
      <c r="AL7" s="20">
        <f t="shared" si="4"/>
        <v>38.533509753361791</v>
      </c>
      <c r="AM7" s="59">
        <f t="shared" si="5"/>
        <v>300.08906530891733</v>
      </c>
      <c r="AN7" s="59">
        <f ca="1">AVERAGE(OFFSET($AM$3,0,0,'Données projet'!$E$10+1,1))-AVERAGE(OFFSET($H$3,0,0,'Données projet'!$E$10+1,1))</f>
        <v>706.69239849991595</v>
      </c>
      <c r="AO7" s="59">
        <f t="shared" si="36"/>
        <v>310.59887275116529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15.584489142857144</v>
      </c>
      <c r="BF7" s="13">
        <f t="shared" si="37"/>
        <v>5.2169325335857213</v>
      </c>
      <c r="BG7" s="20">
        <f t="shared" si="7"/>
        <v>36.229142753137985</v>
      </c>
      <c r="BH7" s="59">
        <f t="shared" si="8"/>
        <v>297.78469830869352</v>
      </c>
      <c r="BI7" s="59">
        <f ca="1">AVERAGE(OFFSET($BH$3,0,0,'Données projet'!$E$11+1,1))-AVERAGE(OFFSET($H$3,0,0,'Données projet'!$E$11+1,1))</f>
        <v>666.1523645983184</v>
      </c>
      <c r="BJ7" s="59">
        <f t="shared" si="38"/>
        <v>294.13851344047526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4.0942857142857143</v>
      </c>
      <c r="BY7" s="12">
        <f>IF('Données projet'!$A$114&gt;35,BY6+BX7-CG6,IF(A7&lt;'Données projet'!$A$114,$BV$205^A7,IF(A7='Données projet'!$A$114,'Données projet'!$B$114,BY6+BX7-CG6)))</f>
        <v>16.377142857142857</v>
      </c>
      <c r="BZ7" s="13">
        <f>BY7*VLOOKUP('Données projet'!$B$12,Paramètres!$A$1:$I$89,3,0)*VLOOKUP('Données projet'!$B$12,Paramètres!$A$1:$I$89,5,0)</f>
        <v>17.628356571428572</v>
      </c>
      <c r="CA7" s="13">
        <f t="shared" si="39"/>
        <v>5.8170772972398694</v>
      </c>
      <c r="CB7" s="20">
        <f t="shared" si="10"/>
        <v>40.834130654597537</v>
      </c>
      <c r="CC7" s="59">
        <f t="shared" si="11"/>
        <v>302.38968621015306</v>
      </c>
      <c r="CD7" s="59">
        <f ca="1">AVERAGE(OFFSET($CC$3,0,0,'Données projet'!$E$12+1,1))-AVERAGE(OFFSET($H$3,0,0,'Données projet'!$E$12+1,1))</f>
        <v>747.18304127457918</v>
      </c>
      <c r="CE7" s="59">
        <f t="shared" si="40"/>
        <v>327.03701004966723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4.0942857142857143</v>
      </c>
      <c r="CT7" s="12">
        <f>IF('Données projet'!$A$140&gt;35,CT6+CS7-DB6,IF(A7&lt;'Données projet'!$A$140,$CQ$205^A7,IF(A7='Données projet'!$A$140,'Données projet'!$B$140,CT6+CS7-DB6)))</f>
        <v>16.377142857142857</v>
      </c>
      <c r="CU7" s="17">
        <f>CT7*VLOOKUP('Données projet'!$B$13,Paramètres!$A$1:$I$89,3,0)*VLOOKUP('Données projet'!$B$13,Paramètres!$A$1:$I$89,5,0)</f>
        <v>15.839972571428572</v>
      </c>
      <c r="CV7" s="13">
        <f t="shared" si="41"/>
        <v>5.2924294204284976</v>
      </c>
      <c r="CW7" s="20">
        <f t="shared" si="13"/>
        <v>36.805600135817727</v>
      </c>
      <c r="CX7" s="59">
        <f t="shared" si="14"/>
        <v>298.36115569137326</v>
      </c>
      <c r="CY7" s="59">
        <f ca="1">AVERAGE(OFFSET($CX$3,0,0,'Données projet'!$E$13+1,1))-AVERAGE(OFFSET($H$3,0,0,'Données projet'!$E$13+1,1))</f>
        <v>676.29219382388692</v>
      </c>
      <c r="CZ7" s="59">
        <f t="shared" si="42"/>
        <v>298.25577221580448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1.7094017094017093</v>
      </c>
      <c r="EJ7" s="12">
        <f>IF('Données projet'!$A$192&gt;35,EJ6+EI7-ER6,IF(A7&lt;'Données projet'!$A$192,$EG$205^A7,IF(A7='Données projet'!$A$192,'Données projet'!$B$192,EJ6+EI7-ER6)))</f>
        <v>2.3752870707905585</v>
      </c>
      <c r="EK7" s="17">
        <f>EJ7*VLOOKUP('Données projet'!$B$15,Paramètres!$A$1:$I$89,3,0)*VLOOKUP('Données projet'!$B$15,Paramètres!$A$1:$I$89,5,0)</f>
        <v>1.8527239152166357</v>
      </c>
      <c r="EL7" s="13">
        <f t="shared" si="45"/>
        <v>0.79467510139808173</v>
      </c>
      <c r="EM7" s="20">
        <f t="shared" si="19"/>
        <v>4.6108866206039663</v>
      </c>
      <c r="EN7" s="59">
        <f t="shared" si="20"/>
        <v>266.16644217615953</v>
      </c>
      <c r="EO7" s="59">
        <f ca="1">AVERAGE(OFFSET($EN$3,0,0,'Données projet'!$E$15+1,1))-AVERAGE(OFFSET($H$3,0,0,'Données projet'!$E$15+1,1))</f>
        <v>197.51452239559433</v>
      </c>
      <c r="EP7" s="59">
        <f t="shared" si="46"/>
        <v>196.65166921588821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305.62206963425615</v>
      </c>
      <c r="S8" s="59">
        <f ca="1">AVERAGE(OFFSET($R$3,0,0,'Données projet'!$E$9+1,1))-AVERAGE(OFFSET($H$3,0,0,'Données projet'!$E$9+1,1))</f>
        <v>635.71275911100679</v>
      </c>
      <c r="T8" s="59">
        <f t="shared" si="34"/>
        <v>281.7776857269169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4.0942857142857143</v>
      </c>
      <c r="AI8" s="13">
        <f>IF('Données projet'!$A$62&gt;35,AI7+AH8-AQ7,IF(A8&lt;'Données projet'!$A$62,$AF$205^A8,IF(A8='Données projet'!$A$62,'Données projet'!$B$62,AI7+AH8-AQ7)))</f>
        <v>20.471428571428572</v>
      </c>
      <c r="AJ8" s="13">
        <f>AI8*VLOOKUP('Données projet'!$B$10,Paramètres!$A$1:$I$89,3,0)*VLOOKUP('Données projet'!$B$10,Paramètres!$A$1:$I$89,5,0)</f>
        <v>20.758028571428575</v>
      </c>
      <c r="AK8" s="13">
        <f t="shared" si="35"/>
        <v>6.7207494872819238</v>
      </c>
      <c r="AL8" s="20">
        <f t="shared" si="4"/>
        <v>47.858871785587461</v>
      </c>
      <c r="AM8" s="59">
        <f t="shared" si="5"/>
        <v>310.63664956336521</v>
      </c>
      <c r="AN8" s="59">
        <f ca="1">AVERAGE(OFFSET($AM$3,0,0,'Données projet'!$E$10+1,1))-AVERAGE(OFFSET($H$3,0,0,'Données projet'!$E$10+1,1))</f>
        <v>706.69239849991595</v>
      </c>
      <c r="AO8" s="59">
        <f t="shared" si="36"/>
        <v>310.59887275116529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19.480611428571429</v>
      </c>
      <c r="BF8" s="13">
        <f t="shared" si="37"/>
        <v>6.3539663112950988</v>
      </c>
      <c r="BG8" s="20">
        <f t="shared" si="7"/>
        <v>44.995222896934202</v>
      </c>
      <c r="BH8" s="59">
        <f t="shared" si="8"/>
        <v>307.77300067471197</v>
      </c>
      <c r="BI8" s="59">
        <f ca="1">AVERAGE(OFFSET($BH$3,0,0,'Données projet'!$E$11+1,1))-AVERAGE(OFFSET($H$3,0,0,'Données projet'!$E$11+1,1))</f>
        <v>666.1523645983184</v>
      </c>
      <c r="BJ8" s="59">
        <f t="shared" si="38"/>
        <v>294.13851344047526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4.0942857142857143</v>
      </c>
      <c r="BY8" s="12">
        <f>IF('Données projet'!$A$114&gt;35,BY7+BX8-CG7,IF(A8&lt;'Données projet'!$A$114,$BV$205^A8,IF(A8='Données projet'!$A$114,'Données projet'!$B$114,BY7+BX8-CG7)))</f>
        <v>20.471428571428572</v>
      </c>
      <c r="BZ8" s="13">
        <f>BY8*VLOOKUP('Données projet'!$B$12,Paramètres!$A$1:$I$89,3,0)*VLOOKUP('Données projet'!$B$12,Paramètres!$A$1:$I$89,5,0)</f>
        <v>22.035445714285714</v>
      </c>
      <c r="CA8" s="13">
        <f t="shared" si="39"/>
        <v>7.084913009495474</v>
      </c>
      <c r="CB8" s="20">
        <f t="shared" si="10"/>
        <v>50.717958110585563</v>
      </c>
      <c r="CC8" s="59">
        <f t="shared" si="11"/>
        <v>313.49573588836336</v>
      </c>
      <c r="CD8" s="59">
        <f ca="1">AVERAGE(OFFSET($CC$3,0,0,'Données projet'!$E$12+1,1))-AVERAGE(OFFSET($H$3,0,0,'Données projet'!$E$12+1,1))</f>
        <v>747.18304127457918</v>
      </c>
      <c r="CE8" s="59">
        <f t="shared" si="40"/>
        <v>327.03701004966723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4.0942857142857143</v>
      </c>
      <c r="CT8" s="12">
        <f>IF('Données projet'!$A$140&gt;35,CT7+CS8-DB7,IF(A8&lt;'Données projet'!$A$140,$CQ$205^A8,IF(A8='Données projet'!$A$140,'Données projet'!$B$140,CT7+CS8-DB7)))</f>
        <v>20.471428571428572</v>
      </c>
      <c r="CU8" s="17">
        <f>CT8*VLOOKUP('Données projet'!$B$13,Paramètres!$A$1:$I$89,3,0)*VLOOKUP('Données projet'!$B$13,Paramètres!$A$1:$I$89,5,0)</f>
        <v>19.799965714285715</v>
      </c>
      <c r="CV8" s="13">
        <f t="shared" si="41"/>
        <v>6.4459177928445319</v>
      </c>
      <c r="CW8" s="20">
        <f t="shared" si="13"/>
        <v>45.711580441585177</v>
      </c>
      <c r="CX8" s="59">
        <f t="shared" si="14"/>
        <v>308.48935821936294</v>
      </c>
      <c r="CY8" s="59">
        <f ca="1">AVERAGE(OFFSET($CX$3,0,0,'Données projet'!$E$13+1,1))-AVERAGE(OFFSET($H$3,0,0,'Données projet'!$E$13+1,1))</f>
        <v>676.29219382388692</v>
      </c>
      <c r="CZ8" s="59">
        <f t="shared" si="42"/>
        <v>298.25577221580448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1.7094017094017093</v>
      </c>
      <c r="EJ8" s="12">
        <f>IF('Données projet'!$A$192&gt;35,EJ7+EI8-ER7,IF(A8&lt;'Données projet'!$A$192,$EG$205^A8,IF(A8='Données projet'!$A$192,'Données projet'!$B$192,EJ7+EI8-ER7)))</f>
        <v>2.9487987310846742</v>
      </c>
      <c r="EK8" s="17">
        <f>EJ8*VLOOKUP('Données projet'!$B$15,Paramètres!$A$1:$I$89,3,0)*VLOOKUP('Données projet'!$B$15,Paramètres!$A$1:$I$89,5,0)</f>
        <v>2.300063010246046</v>
      </c>
      <c r="EL8" s="13">
        <f t="shared" si="45"/>
        <v>0.96202264180522579</v>
      </c>
      <c r="EM8" s="20">
        <f t="shared" si="19"/>
        <v>5.6814658439892973</v>
      </c>
      <c r="EN8" s="59">
        <f t="shared" si="20"/>
        <v>268.45924362176709</v>
      </c>
      <c r="EO8" s="59">
        <f ca="1">AVERAGE(OFFSET($EN$3,0,0,'Données projet'!$E$15+1,1))-AVERAGE(OFFSET($H$3,0,0,'Données projet'!$E$15+1,1))</f>
        <v>197.51452239559433</v>
      </c>
      <c r="EP8" s="59">
        <f t="shared" si="46"/>
        <v>196.65166921588821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315.14644622786062</v>
      </c>
      <c r="S9" s="59">
        <f ca="1">AVERAGE(OFFSET($R$3,0,0,'Données projet'!$E$9+1,1))-AVERAGE(OFFSET($H$3,0,0,'Données projet'!$E$9+1,1))</f>
        <v>635.71275911100679</v>
      </c>
      <c r="T9" s="59">
        <f t="shared" si="34"/>
        <v>281.7776857269169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4.0942857142857143</v>
      </c>
      <c r="AI9" s="13">
        <f>IF('Données projet'!$A$62&gt;35,AI8+AH9-AQ8,IF(A9&lt;'Données projet'!$A$62,$AF$205^A9,IF(A9='Données projet'!$A$62,'Données projet'!$B$62,AI8+AH9-AQ8)))</f>
        <v>24.565714285714286</v>
      </c>
      <c r="AJ9" s="13">
        <f>AI9*VLOOKUP('Données projet'!$B$10,Paramètres!$A$1:$I$89,3,0)*VLOOKUP('Données projet'!$B$10,Paramètres!$A$1:$I$89,5,0)</f>
        <v>24.90963428571429</v>
      </c>
      <c r="AK9" s="13">
        <f t="shared" si="35"/>
        <v>7.8955476085878011</v>
      </c>
      <c r="AL9" s="20">
        <f t="shared" si="4"/>
        <v>57.135691799242814</v>
      </c>
      <c r="AM9" s="59">
        <f t="shared" si="5"/>
        <v>321.13569179924281</v>
      </c>
      <c r="AN9" s="59">
        <f ca="1">AVERAGE(OFFSET($AM$3,0,0,'Données projet'!$E$10+1,1))-AVERAGE(OFFSET($H$3,0,0,'Données projet'!$E$10+1,1))</f>
        <v>706.69239849991595</v>
      </c>
      <c r="AO9" s="59">
        <f t="shared" si="36"/>
        <v>310.59887275116529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23.376733714285717</v>
      </c>
      <c r="BF9" s="13">
        <f t="shared" si="37"/>
        <v>7.4646501270623844</v>
      </c>
      <c r="BG9" s="20">
        <f t="shared" si="7"/>
        <v>53.715410190347939</v>
      </c>
      <c r="BH9" s="59">
        <f t="shared" si="8"/>
        <v>317.71541019034794</v>
      </c>
      <c r="BI9" s="59">
        <f ca="1">AVERAGE(OFFSET($BH$3,0,0,'Données projet'!$E$11+1,1))-AVERAGE(OFFSET($H$3,0,0,'Données projet'!$E$11+1,1))</f>
        <v>666.1523645983184</v>
      </c>
      <c r="BJ9" s="59">
        <f t="shared" si="38"/>
        <v>294.13851344047526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4.0942857142857143</v>
      </c>
      <c r="BY9" s="12">
        <f>IF('Données projet'!$A$114&gt;35,BY8+BX9-CG8,IF(A9&lt;'Données projet'!$A$114,$BV$205^A9,IF(A9='Données projet'!$A$114,'Données projet'!$B$114,BY8+BX9-CG8)))</f>
        <v>24.565714285714286</v>
      </c>
      <c r="BZ9" s="13">
        <f>BY9*VLOOKUP('Données projet'!$B$12,Paramètres!$A$1:$I$89,3,0)*VLOOKUP('Données projet'!$B$12,Paramètres!$A$1:$I$89,5,0)</f>
        <v>26.442534857142856</v>
      </c>
      <c r="CA9" s="13">
        <f t="shared" si="39"/>
        <v>8.3233675165294905</v>
      </c>
      <c r="CB9" s="20">
        <f t="shared" si="10"/>
        <v>60.550613300812671</v>
      </c>
      <c r="CC9" s="59">
        <f t="shared" si="11"/>
        <v>324.55061330081264</v>
      </c>
      <c r="CD9" s="59">
        <f ca="1">AVERAGE(OFFSET($CC$3,0,0,'Données projet'!$E$12+1,1))-AVERAGE(OFFSET($H$3,0,0,'Données projet'!$E$12+1,1))</f>
        <v>747.18304127457918</v>
      </c>
      <c r="CE9" s="59">
        <f t="shared" si="40"/>
        <v>327.03701004966723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4.0942857142857143</v>
      </c>
      <c r="CT9" s="12">
        <f>IF('Données projet'!$A$140&gt;35,CT8+CS9-DB8,IF(A9&lt;'Données projet'!$A$140,$CQ$205^A9,IF(A9='Données projet'!$A$140,'Données projet'!$B$140,CT8+CS9-DB8)))</f>
        <v>24.565714285714286</v>
      </c>
      <c r="CU9" s="17">
        <f>CT9*VLOOKUP('Données projet'!$B$13,Paramètres!$A$1:$I$89,3,0)*VLOOKUP('Données projet'!$B$13,Paramètres!$A$1:$I$89,5,0)</f>
        <v>23.759958857142859</v>
      </c>
      <c r="CV9" s="13">
        <f t="shared" si="41"/>
        <v>7.5726748796033911</v>
      </c>
      <c r="CW9" s="20">
        <f t="shared" si="13"/>
        <v>54.571003758166377</v>
      </c>
      <c r="CX9" s="59">
        <f t="shared" si="14"/>
        <v>318.5710037581664</v>
      </c>
      <c r="CY9" s="59">
        <f ca="1">AVERAGE(OFFSET($CX$3,0,0,'Données projet'!$E$13+1,1))-AVERAGE(OFFSET($H$3,0,0,'Données projet'!$E$13+1,1))</f>
        <v>676.29219382388692</v>
      </c>
      <c r="CZ9" s="59">
        <f t="shared" si="42"/>
        <v>298.25577221580448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1.7094017094017093</v>
      </c>
      <c r="EJ9" s="12">
        <f>IF('Données projet'!$A$192&gt;35,EJ8+EI9-ER8,IF(A9&lt;'Données projet'!$A$192,$EG$205^A9,IF(A9='Données projet'!$A$192,'Données projet'!$B$192,EJ8+EI9-ER8)))</f>
        <v>3.6607844430157748</v>
      </c>
      <c r="EK9" s="17">
        <f>EJ9*VLOOKUP('Données projet'!$B$15,Paramètres!$A$1:$I$89,3,0)*VLOOKUP('Données projet'!$B$15,Paramètres!$A$1:$I$89,5,0)</f>
        <v>2.8554118655523042</v>
      </c>
      <c r="EL9" s="13">
        <f t="shared" si="45"/>
        <v>1.1646112502048747</v>
      </c>
      <c r="EM9" s="20">
        <f t="shared" si="19"/>
        <v>7.0015402599437531</v>
      </c>
      <c r="EN9" s="59">
        <f t="shared" si="20"/>
        <v>271.00154025994374</v>
      </c>
      <c r="EO9" s="59">
        <f ca="1">AVERAGE(OFFSET($EN$3,0,0,'Données projet'!$E$15+1,1))-AVERAGE(OFFSET($H$3,0,0,'Données projet'!$E$15+1,1))</f>
        <v>197.51452239559433</v>
      </c>
      <c r="EP9" s="59">
        <f t="shared" si="46"/>
        <v>196.65166921588821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324.63510166210119</v>
      </c>
      <c r="S10" s="59">
        <f ca="1">AVERAGE(OFFSET($R$3,0,0,'Données projet'!$E$9+1,1))-AVERAGE(OFFSET($H$3,0,0,'Données projet'!$E$9+1,1))</f>
        <v>635.71275911100679</v>
      </c>
      <c r="T10" s="59">
        <f t="shared" si="34"/>
        <v>281.7776857269169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4.0942857142857143</v>
      </c>
      <c r="AI10" s="13">
        <f>IF('Données projet'!$A$62&gt;35,AI9+AH10-AQ9,IF(A10&lt;'Données projet'!$A$62,$AF$205^A10,IF(A10='Données projet'!$A$62,'Données projet'!$B$62,AI9+AH10-AQ9)))</f>
        <v>28.66</v>
      </c>
      <c r="AJ10" s="13">
        <f>AI10*VLOOKUP('Données projet'!$B$10,Paramètres!$A$1:$I$89,3,0)*VLOOKUP('Données projet'!$B$10,Paramètres!$A$1:$I$89,5,0)</f>
        <v>29.061240000000002</v>
      </c>
      <c r="AK10" s="13">
        <f t="shared" si="35"/>
        <v>9.0476634987070454</v>
      </c>
      <c r="AL10" s="20">
        <f t="shared" si="4"/>
        <v>66.373006926914783</v>
      </c>
      <c r="AM10" s="59">
        <f t="shared" si="5"/>
        <v>331.59522914913703</v>
      </c>
      <c r="AN10" s="59">
        <f ca="1">AVERAGE(OFFSET($AM$3,0,0,'Données projet'!$E$10+1,1))-AVERAGE(OFFSET($H$3,0,0,'Données projet'!$E$10+1,1))</f>
        <v>706.69239849991595</v>
      </c>
      <c r="AO10" s="59">
        <f t="shared" si="36"/>
        <v>310.59887275116529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27.272856000000004</v>
      </c>
      <c r="BF10" s="13">
        <f t="shared" si="37"/>
        <v>8.5538895885805495</v>
      </c>
      <c r="BG10" s="20">
        <f t="shared" si="7"/>
        <v>62.398248566777788</v>
      </c>
      <c r="BH10" s="59">
        <f t="shared" si="8"/>
        <v>327.62047078900002</v>
      </c>
      <c r="BI10" s="59">
        <f ca="1">AVERAGE(OFFSET($BH$3,0,0,'Données projet'!$E$11+1,1))-AVERAGE(OFFSET($H$3,0,0,'Données projet'!$E$11+1,1))</f>
        <v>666.1523645983184</v>
      </c>
      <c r="BJ10" s="59">
        <f t="shared" si="38"/>
        <v>294.13851344047526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4.0942857142857143</v>
      </c>
      <c r="BY10" s="12">
        <f>IF('Données projet'!$A$114&gt;35,BY9+BX10-CG9,IF(A10&lt;'Données projet'!$A$114,$BV$205^A10,IF(A10='Données projet'!$A$114,'Données projet'!$B$114,BY9+BX10-CG9)))</f>
        <v>28.66</v>
      </c>
      <c r="BZ10" s="13">
        <f>BY10*VLOOKUP('Données projet'!$B$12,Paramètres!$A$1:$I$89,3,0)*VLOOKUP('Données projet'!$B$12,Paramètres!$A$1:$I$89,5,0)</f>
        <v>30.849623999999999</v>
      </c>
      <c r="CA10" s="13">
        <f t="shared" si="39"/>
        <v>9.5379107566545613</v>
      </c>
      <c r="CB10" s="20">
        <f t="shared" si="10"/>
        <v>70.341623034506696</v>
      </c>
      <c r="CC10" s="59">
        <f t="shared" si="11"/>
        <v>335.56384525672894</v>
      </c>
      <c r="CD10" s="59">
        <f ca="1">AVERAGE(OFFSET($CC$3,0,0,'Données projet'!$E$12+1,1))-AVERAGE(OFFSET($H$3,0,0,'Données projet'!$E$12+1,1))</f>
        <v>747.18304127457918</v>
      </c>
      <c r="CE10" s="59">
        <f t="shared" si="40"/>
        <v>327.03701004966723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4.0942857142857143</v>
      </c>
      <c r="CT10" s="12">
        <f>IF('Données projet'!$A$140&gt;35,CT9+CS10-DB9,IF(A10&lt;'Données projet'!$A$140,$CQ$205^A10,IF(A10='Données projet'!$A$140,'Données projet'!$B$140,CT9+CS10-DB9)))</f>
        <v>28.66</v>
      </c>
      <c r="CU10" s="17">
        <f>CT10*VLOOKUP('Données projet'!$B$13,Paramètres!$A$1:$I$89,3,0)*VLOOKUP('Données projet'!$B$13,Paramètres!$A$1:$I$89,5,0)</f>
        <v>27.719952000000003</v>
      </c>
      <c r="CV10" s="13">
        <f t="shared" si="41"/>
        <v>8.677677279944616</v>
      </c>
      <c r="CW10" s="20">
        <f t="shared" si="13"/>
        <v>63.392537662570199</v>
      </c>
      <c r="CX10" s="59">
        <f t="shared" si="14"/>
        <v>328.61475988479242</v>
      </c>
      <c r="CY10" s="59">
        <f ca="1">AVERAGE(OFFSET($CX$3,0,0,'Données projet'!$E$13+1,1))-AVERAGE(OFFSET($H$3,0,0,'Données projet'!$E$13+1,1))</f>
        <v>676.29219382388692</v>
      </c>
      <c r="CZ10" s="59">
        <f t="shared" si="42"/>
        <v>298.25577221580448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1.7094017094017093</v>
      </c>
      <c r="EJ10" s="12">
        <f>IF('Données projet'!$A$192&gt;35,EJ9+EI10-ER9,IF(A10&lt;'Données projet'!$A$192,$EG$205^A10,IF(A10='Données projet'!$A$192,'Données projet'!$B$192,EJ9+EI10-ER9)))</f>
        <v>4.544678684562788</v>
      </c>
      <c r="EK10" s="17">
        <f>EJ10*VLOOKUP('Données projet'!$B$15,Paramètres!$A$1:$I$89,3,0)*VLOOKUP('Données projet'!$B$15,Paramètres!$A$1:$I$89,5,0)</f>
        <v>3.5448493739589746</v>
      </c>
      <c r="EL10" s="13">
        <f t="shared" si="45"/>
        <v>1.4098622061104944</v>
      </c>
      <c r="EM10" s="20">
        <f t="shared" si="19"/>
        <v>8.6294560019543258</v>
      </c>
      <c r="EN10" s="59">
        <f t="shared" si="20"/>
        <v>273.85167822417657</v>
      </c>
      <c r="EO10" s="59">
        <f ca="1">AVERAGE(OFFSET($EN$3,0,0,'Données projet'!$E$15+1,1))-AVERAGE(OFFSET($H$3,0,0,'Données projet'!$E$15+1,1))</f>
        <v>197.51452239559433</v>
      </c>
      <c r="EP10" s="59">
        <f t="shared" si="46"/>
        <v>196.65166921588821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334.09372775654765</v>
      </c>
      <c r="S11" s="59">
        <f ca="1">AVERAGE(OFFSET($R$3,0,0,'Données projet'!$E$9+1,1))-AVERAGE(OFFSET($H$3,0,0,'Données projet'!$E$9+1,1))</f>
        <v>635.71275911100679</v>
      </c>
      <c r="T11" s="59">
        <f t="shared" si="34"/>
        <v>281.7776857269169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4.0942857142857143</v>
      </c>
      <c r="AI11" s="13">
        <f>IF('Données projet'!$A$62&gt;35,AI10+AH11-AQ10,IF(A11&lt;'Données projet'!$A$62,$AF$205^A11,IF(A11='Données projet'!$A$62,'Données projet'!$B$62,AI10+AH11-AQ10)))</f>
        <v>32.754285714285714</v>
      </c>
      <c r="AJ11" s="13">
        <f>AI11*VLOOKUP('Données projet'!$B$10,Paramètres!$A$1:$I$89,3,0)*VLOOKUP('Données projet'!$B$10,Paramètres!$A$1:$I$89,5,0)</f>
        <v>33.21284571428572</v>
      </c>
      <c r="AK11" s="13">
        <f t="shared" si="35"/>
        <v>10.180711350730137</v>
      </c>
      <c r="AL11" s="20">
        <f t="shared" si="4"/>
        <v>75.577111888235933</v>
      </c>
      <c r="AM11" s="59">
        <f t="shared" si="5"/>
        <v>342.0215563326804</v>
      </c>
      <c r="AN11" s="59">
        <f ca="1">AVERAGE(OFFSET($AM$3,0,0,'Données projet'!$E$10+1,1))-AVERAGE(OFFSET($H$3,0,0,'Données projet'!$E$10+1,1))</f>
        <v>706.69239849991595</v>
      </c>
      <c r="AO11" s="59">
        <f t="shared" si="36"/>
        <v>310.59887275116529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31.168978285714289</v>
      </c>
      <c r="BF11" s="13">
        <f t="shared" si="37"/>
        <v>9.6251016452810383</v>
      </c>
      <c r="BG11" s="20">
        <f t="shared" si="7"/>
        <v>71.049689213150188</v>
      </c>
      <c r="BH11" s="59">
        <f t="shared" si="8"/>
        <v>337.49413365759466</v>
      </c>
      <c r="BI11" s="59">
        <f ca="1">AVERAGE(OFFSET($BH$3,0,0,'Données projet'!$E$11+1,1))-AVERAGE(OFFSET($H$3,0,0,'Données projet'!$E$11+1,1))</f>
        <v>666.1523645983184</v>
      </c>
      <c r="BJ11" s="59">
        <f t="shared" si="38"/>
        <v>294.13851344047526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4.0942857142857143</v>
      </c>
      <c r="BY11" s="12">
        <f>IF('Données projet'!$A$114&gt;35,BY10+BX11-CG10,IF(A11&lt;'Données projet'!$A$114,$BV$205^A11,IF(A11='Données projet'!$A$114,'Données projet'!$B$114,BY10+BX11-CG10)))</f>
        <v>32.754285714285714</v>
      </c>
      <c r="BZ11" s="13">
        <f>BY11*VLOOKUP('Données projet'!$B$12,Paramètres!$A$1:$I$89,3,0)*VLOOKUP('Données projet'!$B$12,Paramètres!$A$1:$I$89,5,0)</f>
        <v>35.256713142857144</v>
      </c>
      <c r="CA11" s="13">
        <f t="shared" si="39"/>
        <v>10.732352757858489</v>
      </c>
      <c r="CB11" s="20">
        <f t="shared" si="10"/>
        <v>80.097623110413053</v>
      </c>
      <c r="CC11" s="59">
        <f t="shared" si="11"/>
        <v>346.54206755485751</v>
      </c>
      <c r="CD11" s="59">
        <f ca="1">AVERAGE(OFFSET($CC$3,0,0,'Données projet'!$E$12+1,1))-AVERAGE(OFFSET($H$3,0,0,'Données projet'!$E$12+1,1))</f>
        <v>747.18304127457918</v>
      </c>
      <c r="CE11" s="59">
        <f t="shared" si="40"/>
        <v>327.03701004966723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4.0942857142857143</v>
      </c>
      <c r="CT11" s="12">
        <f>IF('Données projet'!$A$140&gt;35,CT10+CS11-DB10,IF(A11&lt;'Données projet'!$A$140,$CQ$205^A11,IF(A11='Données projet'!$A$140,'Données projet'!$B$140,CT10+CS11-DB10)))</f>
        <v>32.754285714285714</v>
      </c>
      <c r="CU11" s="17">
        <f>CT11*VLOOKUP('Données projet'!$B$13,Paramètres!$A$1:$I$89,3,0)*VLOOKUP('Données projet'!$B$13,Paramètres!$A$1:$I$89,5,0)</f>
        <v>31.679945142857143</v>
      </c>
      <c r="CV11" s="13">
        <f t="shared" si="41"/>
        <v>9.7643913917145664</v>
      </c>
      <c r="CW11" s="20">
        <f t="shared" si="13"/>
        <v>72.18221946437906</v>
      </c>
      <c r="CX11" s="59">
        <f t="shared" si="14"/>
        <v>338.6266639088235</v>
      </c>
      <c r="CY11" s="59">
        <f ca="1">AVERAGE(OFFSET($CX$3,0,0,'Données projet'!$E$13+1,1))-AVERAGE(OFFSET($H$3,0,0,'Données projet'!$E$13+1,1))</f>
        <v>676.29219382388692</v>
      </c>
      <c r="CZ11" s="59">
        <f t="shared" si="42"/>
        <v>298.25577221580448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1.7094017094017093</v>
      </c>
      <c r="EJ11" s="12">
        <f>IF('Données projet'!$A$192&gt;35,EJ10+EI11-ER10,IF(A11&lt;'Données projet'!$A$192,$EG$205^A11,IF(A11='Données projet'!$A$192,'Données projet'!$B$192,EJ10+EI11-ER10)))</f>
        <v>5.6419886686647915</v>
      </c>
      <c r="EK11" s="17">
        <f>EJ11*VLOOKUP('Données projet'!$B$15,Paramètres!$A$1:$I$89,3,0)*VLOOKUP('Données projet'!$B$15,Paramètres!$A$1:$I$89,5,0)</f>
        <v>4.4007511615585377</v>
      </c>
      <c r="EL11" s="13">
        <f t="shared" si="45"/>
        <v>1.7067596074390303</v>
      </c>
      <c r="EM11" s="20">
        <f t="shared" si="19"/>
        <v>10.637247922670763</v>
      </c>
      <c r="EN11" s="59">
        <f t="shared" si="20"/>
        <v>277.08169236711524</v>
      </c>
      <c r="EO11" s="59">
        <f ca="1">AVERAGE(OFFSET($EN$3,0,0,'Données projet'!$E$15+1,1))-AVERAGE(OFFSET($H$3,0,0,'Données projet'!$E$15+1,1))</f>
        <v>197.51452239559433</v>
      </c>
      <c r="EP11" s="59">
        <f t="shared" si="46"/>
        <v>196.65166921588821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343.52650807098979</v>
      </c>
      <c r="S12" s="59">
        <f ca="1">AVERAGE(OFFSET($R$3,0,0,'Données projet'!$E$9+1,1))-AVERAGE(OFFSET($H$3,0,0,'Données projet'!$E$9+1,1))</f>
        <v>635.71275911100679</v>
      </c>
      <c r="T12" s="59">
        <f t="shared" si="34"/>
        <v>281.7776857269169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4.0942857142857143</v>
      </c>
      <c r="AI12" s="13">
        <f>IF('Données projet'!$A$62&gt;35,AI11+AH12-AQ11,IF(A12&lt;'Données projet'!$A$62,$AF$205^A12,IF(A12='Données projet'!$A$62,'Données projet'!$B$62,AI11+AH12-AQ11)))</f>
        <v>36.848571428571432</v>
      </c>
      <c r="AJ12" s="13">
        <f>AI12*VLOOKUP('Données projet'!$B$10,Paramètres!$A$1:$I$89,3,0)*VLOOKUP('Données projet'!$B$10,Paramètres!$A$1:$I$89,5,0)</f>
        <v>37.364451428571435</v>
      </c>
      <c r="AK12" s="13">
        <f t="shared" si="35"/>
        <v>11.297347642554788</v>
      </c>
      <c r="AL12" s="20">
        <f t="shared" si="4"/>
        <v>84.752633382211499</v>
      </c>
      <c r="AM12" s="59">
        <f t="shared" si="5"/>
        <v>352.4193000488782</v>
      </c>
      <c r="AN12" s="59">
        <f ca="1">AVERAGE(OFFSET($AM$3,0,0,'Données projet'!$E$10+1,1))-AVERAGE(OFFSET($H$3,0,0,'Données projet'!$E$10+1,1))</f>
        <v>706.69239849991595</v>
      </c>
      <c r="AO12" s="59">
        <f t="shared" si="36"/>
        <v>310.59887275116529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35.06510057142858</v>
      </c>
      <c r="BF12" s="13">
        <f t="shared" si="37"/>
        <v>10.680797798463022</v>
      </c>
      <c r="BG12" s="20">
        <f t="shared" si="7"/>
        <v>79.674106327561205</v>
      </c>
      <c r="BH12" s="59">
        <f t="shared" si="8"/>
        <v>347.3407729942279</v>
      </c>
      <c r="BI12" s="59">
        <f ca="1">AVERAGE(OFFSET($BH$3,0,0,'Données projet'!$E$11+1,1))-AVERAGE(OFFSET($H$3,0,0,'Données projet'!$E$11+1,1))</f>
        <v>666.1523645983184</v>
      </c>
      <c r="BJ12" s="59">
        <f t="shared" si="38"/>
        <v>294.13851344047526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4.0942857142857143</v>
      </c>
      <c r="BY12" s="12">
        <f>IF('Données projet'!$A$114&gt;35,BY11+BX12-CG11,IF(A12&lt;'Données projet'!$A$114,$BV$205^A12,IF(A12='Données projet'!$A$114,'Données projet'!$B$114,BY11+BX12-CG11)))</f>
        <v>36.848571428571432</v>
      </c>
      <c r="BZ12" s="13">
        <f>BY12*VLOOKUP('Données projet'!$B$12,Paramètres!$A$1:$I$89,3,0)*VLOOKUP('Données projet'!$B$12,Paramètres!$A$1:$I$89,5,0)</f>
        <v>39.66380228571429</v>
      </c>
      <c r="CA12" s="13">
        <f t="shared" si="39"/>
        <v>11.909493939179743</v>
      </c>
      <c r="CB12" s="20">
        <f t="shared" si="10"/>
        <v>89.823490925023762</v>
      </c>
      <c r="CC12" s="59">
        <f t="shared" si="11"/>
        <v>357.49015759169043</v>
      </c>
      <c r="CD12" s="59">
        <f ca="1">AVERAGE(OFFSET($CC$3,0,0,'Données projet'!$E$12+1,1))-AVERAGE(OFFSET($H$3,0,0,'Données projet'!$E$12+1,1))</f>
        <v>747.18304127457918</v>
      </c>
      <c r="CE12" s="59">
        <f t="shared" si="40"/>
        <v>327.03701004966723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4.0942857142857143</v>
      </c>
      <c r="CT12" s="12">
        <f>IF('Données projet'!$A$140&gt;35,CT11+CS12-DB11,IF(A12&lt;'Données projet'!$A$140,$CQ$205^A12,IF(A12='Données projet'!$A$140,'Données projet'!$B$140,CT11+CS12-DB11)))</f>
        <v>36.848571428571432</v>
      </c>
      <c r="CU12" s="17">
        <f>CT12*VLOOKUP('Données projet'!$B$13,Paramètres!$A$1:$I$89,3,0)*VLOOKUP('Données projet'!$B$13,Paramètres!$A$1:$I$89,5,0)</f>
        <v>35.639938285714294</v>
      </c>
      <c r="CV12" s="13">
        <f t="shared" si="41"/>
        <v>10.835365061426426</v>
      </c>
      <c r="CW12" s="20">
        <f t="shared" si="13"/>
        <v>80.944486662936754</v>
      </c>
      <c r="CX12" s="59">
        <f t="shared" si="14"/>
        <v>348.61115332960344</v>
      </c>
      <c r="CY12" s="59">
        <f ca="1">AVERAGE(OFFSET($CX$3,0,0,'Données projet'!$E$13+1,1))-AVERAGE(OFFSET($H$3,0,0,'Données projet'!$E$13+1,1))</f>
        <v>676.29219382388692</v>
      </c>
      <c r="CZ12" s="59">
        <f t="shared" si="42"/>
        <v>298.25577221580448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1.7094017094017093</v>
      </c>
      <c r="EJ12" s="12">
        <f>IF('Données projet'!$A$192&gt;35,EJ11+EI12-ER11,IF(A12&lt;'Données projet'!$A$192,$EG$205^A12,IF(A12='Données projet'!$A$192,'Données projet'!$B$192,EJ11+EI12-ER11)))</f>
        <v>7.0042435003090322</v>
      </c>
      <c r="EK12" s="17">
        <f>EJ12*VLOOKUP('Données projet'!$B$15,Paramètres!$A$1:$I$89,3,0)*VLOOKUP('Données projet'!$B$15,Paramètres!$A$1:$I$89,5,0)</f>
        <v>5.4633099302410457</v>
      </c>
      <c r="EL12" s="13">
        <f t="shared" si="45"/>
        <v>2.0661794783632437</v>
      </c>
      <c r="EM12" s="20">
        <f t="shared" si="19"/>
        <v>13.113860719985803</v>
      </c>
      <c r="EN12" s="59">
        <f t="shared" si="20"/>
        <v>280.78052738665247</v>
      </c>
      <c r="EO12" s="59">
        <f ca="1">AVERAGE(OFFSET($EN$3,0,0,'Données projet'!$E$15+1,1))-AVERAGE(OFFSET($H$3,0,0,'Données projet'!$E$15+1,1))</f>
        <v>197.51452239559433</v>
      </c>
      <c r="EP12" s="59">
        <f t="shared" si="46"/>
        <v>196.65166921588821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352.93664194546818</v>
      </c>
      <c r="S13" s="59">
        <f ca="1">AVERAGE(OFFSET($R$3,0,0,'Données projet'!$E$9+1,1))-AVERAGE(OFFSET($H$3,0,0,'Données projet'!$E$9+1,1))</f>
        <v>635.71275911100679</v>
      </c>
      <c r="T13" s="59">
        <f t="shared" si="34"/>
        <v>281.7776857269169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4.0942857142857143</v>
      </c>
      <c r="AI13" s="13">
        <f>IF('Données projet'!$A$62&gt;35,AI12+AH13-AQ12,IF(A13&lt;'Données projet'!$A$62,$AF$205^A13,IF(A13='Données projet'!$A$62,'Données projet'!$B$62,AI12+AH13-AQ12)))</f>
        <v>40.94285714285715</v>
      </c>
      <c r="AJ13" s="13">
        <f>AI13*VLOOKUP('Données projet'!$B$10,Paramètres!$A$1:$I$89,3,0)*VLOOKUP('Données projet'!$B$10,Paramètres!$A$1:$I$89,5,0)</f>
        <v>41.51605714285715</v>
      </c>
      <c r="AK13" s="13">
        <f t="shared" si="35"/>
        <v>12.399603891963192</v>
      </c>
      <c r="AL13" s="20">
        <f t="shared" si="4"/>
        <v>93.903109635645436</v>
      </c>
      <c r="AM13" s="59">
        <f t="shared" si="5"/>
        <v>362.79199852453428</v>
      </c>
      <c r="AN13" s="59">
        <f ca="1">AVERAGE(OFFSET($AM$3,0,0,'Données projet'!$E$10+1,1))-AVERAGE(OFFSET($H$3,0,0,'Données projet'!$E$10+1,1))</f>
        <v>706.69239849991595</v>
      </c>
      <c r="AO13" s="59">
        <f t="shared" si="36"/>
        <v>310.59887275116529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38.961222857142864</v>
      </c>
      <c r="BF13" s="13">
        <f t="shared" si="37"/>
        <v>11.722898696347846</v>
      </c>
      <c r="BG13" s="20">
        <f t="shared" si="7"/>
        <v>88.274845038996318</v>
      </c>
      <c r="BH13" s="59">
        <f t="shared" si="8"/>
        <v>357.16373392788518</v>
      </c>
      <c r="BI13" s="59">
        <f ca="1">AVERAGE(OFFSET($BH$3,0,0,'Données projet'!$E$11+1,1))-AVERAGE(OFFSET($H$3,0,0,'Données projet'!$E$11+1,1))</f>
        <v>666.1523645983184</v>
      </c>
      <c r="BJ13" s="59">
        <f t="shared" si="38"/>
        <v>294.13851344047526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4.0942857142857143</v>
      </c>
      <c r="BY13" s="12">
        <f>IF('Données projet'!$A$114&gt;35,BY12+BX13-CG12,IF(A13&lt;'Données projet'!$A$114,$BV$205^A13,IF(A13='Données projet'!$A$114,'Données projet'!$B$114,BY12+BX13-CG12)))</f>
        <v>40.94285714285715</v>
      </c>
      <c r="BZ13" s="13">
        <f>BY13*VLOOKUP('Données projet'!$B$12,Paramètres!$A$1:$I$89,3,0)*VLOOKUP('Données projet'!$B$12,Paramètres!$A$1:$I$89,5,0)</f>
        <v>44.070891428571429</v>
      </c>
      <c r="CA13" s="13">
        <f t="shared" si="39"/>
        <v>13.071475896104255</v>
      </c>
      <c r="CB13" s="20">
        <f t="shared" si="10"/>
        <v>99.522956423810157</v>
      </c>
      <c r="CC13" s="59">
        <f t="shared" si="11"/>
        <v>368.41184531269903</v>
      </c>
      <c r="CD13" s="59">
        <f ca="1">AVERAGE(OFFSET($CC$3,0,0,'Données projet'!$E$12+1,1))-AVERAGE(OFFSET($H$3,0,0,'Données projet'!$E$12+1,1))</f>
        <v>747.18304127457918</v>
      </c>
      <c r="CE13" s="59">
        <f t="shared" si="40"/>
        <v>327.03701004966723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4.0942857142857143</v>
      </c>
      <c r="CT13" s="12">
        <f>IF('Données projet'!$A$140&gt;35,CT12+CS13-DB12,IF(A13&lt;'Données projet'!$A$140,$CQ$205^A13,IF(A13='Données projet'!$A$140,'Données projet'!$B$140,CT12+CS13-DB12)))</f>
        <v>40.94285714285715</v>
      </c>
      <c r="CU13" s="17">
        <f>CT13*VLOOKUP('Données projet'!$B$13,Paramètres!$A$1:$I$89,3,0)*VLOOKUP('Données projet'!$B$13,Paramètres!$A$1:$I$89,5,0)</f>
        <v>39.599931428571438</v>
      </c>
      <c r="CV13" s="13">
        <f t="shared" si="41"/>
        <v>11.892546731979841</v>
      </c>
      <c r="CW13" s="20">
        <f t="shared" si="13"/>
        <v>89.682732796293465</v>
      </c>
      <c r="CX13" s="59">
        <f t="shared" si="14"/>
        <v>358.57162168518232</v>
      </c>
      <c r="CY13" s="59">
        <f ca="1">AVERAGE(OFFSET($CX$3,0,0,'Données projet'!$E$13+1,1))-AVERAGE(OFFSET($H$3,0,0,'Données projet'!$E$13+1,1))</f>
        <v>676.29219382388692</v>
      </c>
      <c r="CZ13" s="59">
        <f t="shared" si="42"/>
        <v>298.25577221580448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1.7094017094017093</v>
      </c>
      <c r="EJ13" s="12">
        <f>IF('Données projet'!$A$192&gt;35,EJ12+EI13-ER12,IF(A13&lt;'Données projet'!$A$192,$EG$205^A13,IF(A13='Données projet'!$A$192,'Données projet'!$B$192,EJ12+EI13-ER12)))</f>
        <v>8.6954139564465862</v>
      </c>
      <c r="EK13" s="17">
        <f>EJ13*VLOOKUP('Données projet'!$B$15,Paramètres!$A$1:$I$89,3,0)*VLOOKUP('Données projet'!$B$15,Paramètres!$A$1:$I$89,5,0)</f>
        <v>6.7824228860283373</v>
      </c>
      <c r="EL13" s="13">
        <f t="shared" si="45"/>
        <v>2.5012881827073041</v>
      </c>
      <c r="EM13" s="20">
        <f t="shared" si="19"/>
        <v>16.169130111381239</v>
      </c>
      <c r="EN13" s="59">
        <f t="shared" si="20"/>
        <v>285.05801900027012</v>
      </c>
      <c r="EO13" s="59">
        <f ca="1">AVERAGE(OFFSET($EN$3,0,0,'Données projet'!$E$15+1,1))-AVERAGE(OFFSET($H$3,0,0,'Données projet'!$E$15+1,1))</f>
        <v>197.51452239559433</v>
      </c>
      <c r="EP13" s="59">
        <f t="shared" si="46"/>
        <v>196.65166921588821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362.32665182456407</v>
      </c>
      <c r="S14" s="59">
        <f ca="1">AVERAGE(OFFSET($R$3,0,0,'Données projet'!$E$9+1,1))-AVERAGE(OFFSET($H$3,0,0,'Données projet'!$E$9+1,1))</f>
        <v>635.71275911100679</v>
      </c>
      <c r="T14" s="59">
        <f t="shared" si="34"/>
        <v>281.7776857269169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4.0942857142857143</v>
      </c>
      <c r="AI14" s="13">
        <f>IF('Données projet'!$A$62&gt;35,AI13+AH14-AQ13,IF(A14&lt;'Données projet'!$A$62,$AF$205^A14,IF(A14='Données projet'!$A$62,'Données projet'!$B$62,AI13+AH14-AQ13)))</f>
        <v>45.037142857142868</v>
      </c>
      <c r="AJ14" s="13">
        <f>AI14*VLOOKUP('Données projet'!$B$10,Paramètres!$A$1:$I$89,3,0)*VLOOKUP('Données projet'!$B$10,Paramètres!$A$1:$I$89,5,0)</f>
        <v>45.667662857142872</v>
      </c>
      <c r="AK14" s="13">
        <f t="shared" si="35"/>
        <v>13.489081801480216</v>
      </c>
      <c r="AL14" s="20">
        <f t="shared" si="4"/>
        <v>103.03133028043521</v>
      </c>
      <c r="AM14" s="59">
        <f t="shared" si="5"/>
        <v>373.14244139154636</v>
      </c>
      <c r="AN14" s="59">
        <f ca="1">AVERAGE(OFFSET($AM$3,0,0,'Données projet'!$E$10+1,1))-AVERAGE(OFFSET($H$3,0,0,'Données projet'!$E$10+1,1))</f>
        <v>706.69239849991595</v>
      </c>
      <c r="AO14" s="59">
        <f t="shared" si="36"/>
        <v>310.59887275116529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42.857345142857156</v>
      </c>
      <c r="BF14" s="13">
        <f t="shared" si="37"/>
        <v>12.752918628956738</v>
      </c>
      <c r="BG14" s="20">
        <f t="shared" si="7"/>
        <v>96.854542735909192</v>
      </c>
      <c r="BH14" s="59">
        <f t="shared" si="8"/>
        <v>366.96565384702035</v>
      </c>
      <c r="BI14" s="59">
        <f ca="1">AVERAGE(OFFSET($BH$3,0,0,'Données projet'!$E$11+1,1))-AVERAGE(OFFSET($H$3,0,0,'Données projet'!$E$11+1,1))</f>
        <v>666.1523645983184</v>
      </c>
      <c r="BJ14" s="59">
        <f t="shared" si="38"/>
        <v>294.13851344047526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4.0942857142857143</v>
      </c>
      <c r="BY14" s="12">
        <f>IF('Données projet'!$A$114&gt;35,BY13+BX14-CG13,IF(A14&lt;'Données projet'!$A$114,$BV$205^A14,IF(A14='Données projet'!$A$114,'Données projet'!$B$114,BY13+BX14-CG13)))</f>
        <v>45.037142857142868</v>
      </c>
      <c r="BZ14" s="13">
        <f>BY14*VLOOKUP('Données projet'!$B$12,Paramètres!$A$1:$I$89,3,0)*VLOOKUP('Données projet'!$B$12,Paramètres!$A$1:$I$89,5,0)</f>
        <v>48.477980571428581</v>
      </c>
      <c r="CA14" s="13">
        <f t="shared" si="39"/>
        <v>14.219987119339399</v>
      </c>
      <c r="CB14" s="20">
        <f t="shared" si="10"/>
        <v>109.19896039475422</v>
      </c>
      <c r="CC14" s="59">
        <f t="shared" si="11"/>
        <v>379.31007150586538</v>
      </c>
      <c r="CD14" s="59">
        <f ca="1">AVERAGE(OFFSET($CC$3,0,0,'Données projet'!$E$12+1,1))-AVERAGE(OFFSET($H$3,0,0,'Données projet'!$E$12+1,1))</f>
        <v>747.18304127457918</v>
      </c>
      <c r="CE14" s="59">
        <f t="shared" si="40"/>
        <v>327.03701004966723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4.0942857142857143</v>
      </c>
      <c r="CT14" s="12">
        <f>IF('Données projet'!$A$140&gt;35,CT13+CS14-DB13,IF(A14&lt;'Données projet'!$A$140,$CQ$205^A14,IF(A14='Données projet'!$A$140,'Données projet'!$B$140,CT13+CS14-DB13)))</f>
        <v>45.037142857142868</v>
      </c>
      <c r="CU14" s="17">
        <f>CT14*VLOOKUP('Données projet'!$B$13,Paramètres!$A$1:$I$89,3,0)*VLOOKUP('Données projet'!$B$13,Paramètres!$A$1:$I$89,5,0)</f>
        <v>43.559924571428581</v>
      </c>
      <c r="CV14" s="13">
        <f t="shared" si="41"/>
        <v>12.937472607457911</v>
      </c>
      <c r="CW14" s="20">
        <f t="shared" si="13"/>
        <v>98.399633419893973</v>
      </c>
      <c r="CX14" s="59">
        <f t="shared" si="14"/>
        <v>368.51074453100512</v>
      </c>
      <c r="CY14" s="59">
        <f ca="1">AVERAGE(OFFSET($CX$3,0,0,'Données projet'!$E$13+1,1))-AVERAGE(OFFSET($H$3,0,0,'Données projet'!$E$13+1,1))</f>
        <v>676.29219382388692</v>
      </c>
      <c r="CZ14" s="59">
        <f t="shared" si="42"/>
        <v>298.25577221580448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1.7094017094017093</v>
      </c>
      <c r="EJ14" s="12">
        <f>IF('Données projet'!$A$192&gt;35,EJ13+EI14-ER13,IF(A14&lt;'Données projet'!$A$192,$EG$205^A14,IF(A14='Données projet'!$A$192,'Données projet'!$B$192,EJ13+EI14-ER13)))</f>
        <v>10.794916520339433</v>
      </c>
      <c r="EK14" s="17">
        <f>EJ14*VLOOKUP('Données projet'!$B$15,Paramètres!$A$1:$I$89,3,0)*VLOOKUP('Données projet'!$B$15,Paramètres!$A$1:$I$89,5,0)</f>
        <v>8.4200348858647569</v>
      </c>
      <c r="EL14" s="13">
        <f t="shared" si="45"/>
        <v>3.0280247376705862</v>
      </c>
      <c r="EM14" s="20">
        <f t="shared" si="19"/>
        <v>19.938703844324056</v>
      </c>
      <c r="EN14" s="59">
        <f t="shared" si="20"/>
        <v>290.04981495543518</v>
      </c>
      <c r="EO14" s="59">
        <f ca="1">AVERAGE(OFFSET($EN$3,0,0,'Données projet'!$E$15+1,1))-AVERAGE(OFFSET($H$3,0,0,'Données projet'!$E$15+1,1))</f>
        <v>197.51452239559433</v>
      </c>
      <c r="EP14" s="59">
        <f t="shared" si="46"/>
        <v>196.65166921588821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371.69857522127575</v>
      </c>
      <c r="S15" s="59">
        <f ca="1">AVERAGE(OFFSET($R$3,0,0,'Données projet'!$E$9+1,1))-AVERAGE(OFFSET($H$3,0,0,'Données projet'!$E$9+1,1))</f>
        <v>635.71275911100679</v>
      </c>
      <c r="T15" s="59">
        <f t="shared" si="34"/>
        <v>281.7776857269169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4.0942857142857143</v>
      </c>
      <c r="AI15" s="13">
        <f>IF('Données projet'!$A$62&gt;35,AI14+AH15-AQ14,IF(A15&lt;'Données projet'!$A$62,$AF$205^A15,IF(A15='Données projet'!$A$62,'Données projet'!$B$62,AI14+AH15-AQ14)))</f>
        <v>49.131428571428586</v>
      </c>
      <c r="AJ15" s="13">
        <f>AI15*VLOOKUP('Données projet'!$B$10,Paramètres!$A$1:$I$89,3,0)*VLOOKUP('Données projet'!$B$10,Paramètres!$A$1:$I$89,5,0)</f>
        <v>49.819268571428587</v>
      </c>
      <c r="AK15" s="13">
        <f t="shared" si="35"/>
        <v>14.567075151646579</v>
      </c>
      <c r="AL15" s="20">
        <f t="shared" si="4"/>
        <v>112.13954865102259</v>
      </c>
      <c r="AM15" s="59">
        <f t="shared" si="5"/>
        <v>383.47288198435592</v>
      </c>
      <c r="AN15" s="59">
        <f ca="1">AVERAGE(OFFSET($AM$3,0,0,'Données projet'!$E$10+1,1))-AVERAGE(OFFSET($H$3,0,0,'Données projet'!$E$10+1,1))</f>
        <v>706.69239849991595</v>
      </c>
      <c r="AO15" s="59">
        <f t="shared" si="36"/>
        <v>310.59887275116529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46.75346742857144</v>
      </c>
      <c r="BF15" s="13">
        <f t="shared" si="37"/>
        <v>13.772080769089918</v>
      </c>
      <c r="BG15" s="20">
        <f t="shared" si="7"/>
        <v>105.41532977759353</v>
      </c>
      <c r="BH15" s="59">
        <f t="shared" si="8"/>
        <v>376.74866311092683</v>
      </c>
      <c r="BI15" s="59">
        <f ca="1">AVERAGE(OFFSET($BH$3,0,0,'Données projet'!$E$11+1,1))-AVERAGE(OFFSET($H$3,0,0,'Données projet'!$E$11+1,1))</f>
        <v>666.1523645983184</v>
      </c>
      <c r="BJ15" s="59">
        <f t="shared" si="38"/>
        <v>294.13851344047526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4.0942857142857143</v>
      </c>
      <c r="BY15" s="12">
        <f>IF('Données projet'!$A$114&gt;35,BY14+BX15-CG14,IF(A15&lt;'Données projet'!$A$114,$BV$205^A15,IF(A15='Données projet'!$A$114,'Données projet'!$B$114,BY14+BX15-CG14)))</f>
        <v>49.131428571428586</v>
      </c>
      <c r="BZ15" s="13">
        <f>BY15*VLOOKUP('Données projet'!$B$12,Paramètres!$A$1:$I$89,3,0)*VLOOKUP('Données projet'!$B$12,Paramètres!$A$1:$I$89,5,0)</f>
        <v>52.885069714285727</v>
      </c>
      <c r="CA15" s="13">
        <f t="shared" si="39"/>
        <v>15.356391492868891</v>
      </c>
      <c r="CB15" s="20">
        <f t="shared" si="10"/>
        <v>118.85387826912762</v>
      </c>
      <c r="CC15" s="59">
        <f t="shared" si="11"/>
        <v>390.18721160246093</v>
      </c>
      <c r="CD15" s="59">
        <f ca="1">AVERAGE(OFFSET($CC$3,0,0,'Données projet'!$E$12+1,1))-AVERAGE(OFFSET($H$3,0,0,'Données projet'!$E$12+1,1))</f>
        <v>747.18304127457918</v>
      </c>
      <c r="CE15" s="59">
        <f t="shared" si="40"/>
        <v>327.03701004966723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4.0942857142857143</v>
      </c>
      <c r="CT15" s="12">
        <f>IF('Données projet'!$A$140&gt;35,CT14+CS15-DB14,IF(A15&lt;'Données projet'!$A$140,$CQ$205^A15,IF(A15='Données projet'!$A$140,'Données projet'!$B$140,CT14+CS15-DB14)))</f>
        <v>49.131428571428586</v>
      </c>
      <c r="CU15" s="17">
        <f>CT15*VLOOKUP('Données projet'!$B$13,Paramètres!$A$1:$I$89,3,0)*VLOOKUP('Données projet'!$B$13,Paramètres!$A$1:$I$89,5,0)</f>
        <v>47.519917714285725</v>
      </c>
      <c r="CV15" s="13">
        <f t="shared" si="41"/>
        <v>13.97138356181722</v>
      </c>
      <c r="CW15" s="20">
        <f t="shared" si="13"/>
        <v>107.09734972254596</v>
      </c>
      <c r="CX15" s="59">
        <f t="shared" si="14"/>
        <v>378.43068305587929</v>
      </c>
      <c r="CY15" s="59">
        <f ca="1">AVERAGE(OFFSET($CX$3,0,0,'Données projet'!$E$13+1,1))-AVERAGE(OFFSET($H$3,0,0,'Données projet'!$E$13+1,1))</f>
        <v>676.29219382388692</v>
      </c>
      <c r="CZ15" s="59">
        <f t="shared" si="42"/>
        <v>298.25577221580448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1.7094017094017093</v>
      </c>
      <c r="EJ15" s="12">
        <f>IF('Données projet'!$A$192&gt;35,EJ14+EI15-ER14,IF(A15&lt;'Données projet'!$A$192,$EG$205^A15,IF(A15='Données projet'!$A$192,'Données projet'!$B$192,EJ14+EI15-ER14)))</f>
        <v>13.401342738226315</v>
      </c>
      <c r="EK15" s="17">
        <f>EJ15*VLOOKUP('Données projet'!$B$15,Paramètres!$A$1:$I$89,3,0)*VLOOKUP('Données projet'!$B$15,Paramètres!$A$1:$I$89,5,0)</f>
        <v>10.453047335816526</v>
      </c>
      <c r="EL15" s="13">
        <f t="shared" si="45"/>
        <v>3.6656846961236176</v>
      </c>
      <c r="EM15" s="20">
        <f t="shared" si="19"/>
        <v>24.590124955629083</v>
      </c>
      <c r="EN15" s="59">
        <f t="shared" si="20"/>
        <v>295.92345828896242</v>
      </c>
      <c r="EO15" s="59">
        <f ca="1">AVERAGE(OFFSET($EN$3,0,0,'Données projet'!$E$15+1,1))-AVERAGE(OFFSET($H$3,0,0,'Données projet'!$E$15+1,1))</f>
        <v>197.51452239559433</v>
      </c>
      <c r="EP15" s="59">
        <f t="shared" si="46"/>
        <v>196.65166921588821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381.05409069850413</v>
      </c>
      <c r="S16" s="59">
        <f ca="1">AVERAGE(OFFSET($R$3,0,0,'Données projet'!$E$9+1,1))-AVERAGE(OFFSET($H$3,0,0,'Données projet'!$E$9+1,1))</f>
        <v>635.71275911100679</v>
      </c>
      <c r="T16" s="59">
        <f t="shared" si="34"/>
        <v>281.7776857269169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4.0942857142857143</v>
      </c>
      <c r="AI16" s="13">
        <f>IF('Données projet'!$A$62&gt;35,AI15+AH16-AQ15,IF(A16&lt;'Données projet'!$A$62,$AF$205^A16,IF(A16='Données projet'!$A$62,'Données projet'!$B$62,AI15+AH16-AQ15)))</f>
        <v>53.225714285714304</v>
      </c>
      <c r="AJ16" s="13">
        <f>AI16*VLOOKUP('Données projet'!$B$10,Paramètres!$A$1:$I$89,3,0)*VLOOKUP('Données projet'!$B$10,Paramètres!$A$1:$I$89,5,0)</f>
        <v>53.970874285714309</v>
      </c>
      <c r="AK16" s="13">
        <f t="shared" si="35"/>
        <v>15.634649796775355</v>
      </c>
      <c r="AL16" s="20">
        <f t="shared" si="4"/>
        <v>121.22962111033615</v>
      </c>
      <c r="AM16" s="59">
        <f t="shared" si="5"/>
        <v>393.7851766658917</v>
      </c>
      <c r="AN16" s="59">
        <f ca="1">AVERAGE(OFFSET($AM$3,0,0,'Données projet'!$E$10+1,1))-AVERAGE(OFFSET($H$3,0,0,'Données projet'!$E$10+1,1))</f>
        <v>706.69239849991595</v>
      </c>
      <c r="AO16" s="59">
        <f t="shared" si="36"/>
        <v>310.59887275116529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50.649589714285725</v>
      </c>
      <c r="BF16" s="13">
        <f t="shared" si="37"/>
        <v>14.781392802335258</v>
      </c>
      <c r="BG16" s="20">
        <f t="shared" si="7"/>
        <v>113.9589612164482</v>
      </c>
      <c r="BH16" s="59">
        <f t="shared" si="8"/>
        <v>386.51451677200373</v>
      </c>
      <c r="BI16" s="59">
        <f ca="1">AVERAGE(OFFSET($BH$3,0,0,'Données projet'!$E$11+1,1))-AVERAGE(OFFSET($H$3,0,0,'Données projet'!$E$11+1,1))</f>
        <v>666.1523645983184</v>
      </c>
      <c r="BJ16" s="59">
        <f t="shared" si="38"/>
        <v>294.13851344047526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4.0942857142857143</v>
      </c>
      <c r="BY16" s="12">
        <f>IF('Données projet'!$A$114&gt;35,BY15+BX16-CG15,IF(A16&lt;'Données projet'!$A$114,$BV$205^A16,IF(A16='Données projet'!$A$114,'Données projet'!$B$114,BY15+BX16-CG15)))</f>
        <v>53.225714285714304</v>
      </c>
      <c r="BZ16" s="13">
        <f>BY16*VLOOKUP('Données projet'!$B$12,Paramètres!$A$1:$I$89,3,0)*VLOOKUP('Données projet'!$B$12,Paramètres!$A$1:$I$89,5,0)</f>
        <v>57.29215885714288</v>
      </c>
      <c r="CA16" s="13">
        <f t="shared" si="39"/>
        <v>16.481812624275978</v>
      </c>
      <c r="CB16" s="20">
        <f t="shared" si="10"/>
        <v>128.48966699680452</v>
      </c>
      <c r="CC16" s="59">
        <f t="shared" si="11"/>
        <v>401.04522255236009</v>
      </c>
      <c r="CD16" s="59">
        <f ca="1">AVERAGE(OFFSET($CC$3,0,0,'Données projet'!$E$12+1,1))-AVERAGE(OFFSET($H$3,0,0,'Données projet'!$E$12+1,1))</f>
        <v>747.18304127457918</v>
      </c>
      <c r="CE16" s="59">
        <f t="shared" si="40"/>
        <v>327.03701004966723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4.0942857142857143</v>
      </c>
      <c r="CT16" s="12">
        <f>IF('Données projet'!$A$140&gt;35,CT15+CS16-DB15,IF(A16&lt;'Données projet'!$A$140,$CQ$205^A16,IF(A16='Données projet'!$A$140,'Données projet'!$B$140,CT15+CS16-DB15)))</f>
        <v>53.225714285714304</v>
      </c>
      <c r="CU16" s="17">
        <f>CT16*VLOOKUP('Données projet'!$B$13,Paramètres!$A$1:$I$89,3,0)*VLOOKUP('Données projet'!$B$13,Paramètres!$A$1:$I$89,5,0)</f>
        <v>51.479910857142876</v>
      </c>
      <c r="CV16" s="13">
        <f t="shared" si="41"/>
        <v>14.99530186337682</v>
      </c>
      <c r="CW16" s="20">
        <f t="shared" si="13"/>
        <v>115.77766215490512</v>
      </c>
      <c r="CX16" s="59">
        <f t="shared" si="14"/>
        <v>388.33321771046064</v>
      </c>
      <c r="CY16" s="59">
        <f ca="1">AVERAGE(OFFSET($CX$3,0,0,'Données projet'!$E$13+1,1))-AVERAGE(OFFSET($H$3,0,0,'Données projet'!$E$13+1,1))</f>
        <v>676.29219382388692</v>
      </c>
      <c r="CZ16" s="59">
        <f t="shared" si="42"/>
        <v>298.25577221580448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1.7094017094017093</v>
      </c>
      <c r="EJ16" s="12">
        <f>IF('Données projet'!$A$192&gt;35,EJ15+EI16-ER15,IF(A16&lt;'Données projet'!$A$192,$EG$205^A16,IF(A16='Données projet'!$A$192,'Données projet'!$B$192,EJ15+EI16-ER15)))</f>
        <v>16.637089026952847</v>
      </c>
      <c r="EK16" s="17">
        <f>EJ16*VLOOKUP('Données projet'!$B$15,Paramètres!$A$1:$I$89,3,0)*VLOOKUP('Données projet'!$B$15,Paramètres!$A$1:$I$89,5,0)</f>
        <v>12.976929441023222</v>
      </c>
      <c r="EL16" s="13">
        <f t="shared" si="45"/>
        <v>4.4376269864069782</v>
      </c>
      <c r="EM16" s="20">
        <f t="shared" si="19"/>
        <v>30.33035244444093</v>
      </c>
      <c r="EN16" s="59">
        <f t="shared" si="20"/>
        <v>302.88590799999645</v>
      </c>
      <c r="EO16" s="59">
        <f ca="1">AVERAGE(OFFSET($EN$3,0,0,'Données projet'!$E$15+1,1))-AVERAGE(OFFSET($H$3,0,0,'Données projet'!$E$15+1,1))</f>
        <v>197.51452239559433</v>
      </c>
      <c r="EP16" s="59">
        <f t="shared" si="46"/>
        <v>196.65166921588821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390.39460390898455</v>
      </c>
      <c r="S17" s="59">
        <f ca="1">AVERAGE(OFFSET($R$3,0,0,'Données projet'!$E$9+1,1))-AVERAGE(OFFSET($H$3,0,0,'Données projet'!$E$9+1,1))</f>
        <v>635.71275911100679</v>
      </c>
      <c r="T17" s="59">
        <f t="shared" si="34"/>
        <v>281.7776857269169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4.0942857142857143</v>
      </c>
      <c r="AI17" s="13">
        <f>IF('Données projet'!$A$62&gt;35,AI16+AH17-AQ16,IF(A17&lt;'Données projet'!$A$62,$AF$205^A17,IF(A17='Données projet'!$A$62,'Données projet'!$B$62,AI16+AH17-AQ16)))</f>
        <v>57.320000000000022</v>
      </c>
      <c r="AJ17" s="13">
        <f>AI17*VLOOKUP('Données projet'!$B$10,Paramètres!$A$1:$I$89,3,0)*VLOOKUP('Données projet'!$B$10,Paramètres!$A$1:$I$89,5,0)</f>
        <v>58.122480000000031</v>
      </c>
      <c r="AK17" s="13">
        <f t="shared" si="35"/>
        <v>16.692698298610935</v>
      </c>
      <c r="AL17" s="20">
        <f t="shared" si="4"/>
        <v>130.30310220341408</v>
      </c>
      <c r="AM17" s="59">
        <f t="shared" si="5"/>
        <v>404.08087998119186</v>
      </c>
      <c r="AN17" s="59">
        <f ca="1">AVERAGE(OFFSET($AM$3,0,0,'Données projet'!$E$10+1,1))-AVERAGE(OFFSET($H$3,0,0,'Données projet'!$E$10+1,1))</f>
        <v>706.69239849991595</v>
      </c>
      <c r="AO17" s="59">
        <f t="shared" si="36"/>
        <v>310.59887275116529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54.545712000000016</v>
      </c>
      <c r="BF17" s="13">
        <f t="shared" si="37"/>
        <v>15.781698579109328</v>
      </c>
      <c r="BG17" s="20">
        <f t="shared" si="7"/>
        <v>122.48690675861542</v>
      </c>
      <c r="BH17" s="59">
        <f t="shared" si="8"/>
        <v>396.26468453639319</v>
      </c>
      <c r="BI17" s="59">
        <f ca="1">AVERAGE(OFFSET($BH$3,0,0,'Données projet'!$E$11+1,1))-AVERAGE(OFFSET($H$3,0,0,'Données projet'!$E$11+1,1))</f>
        <v>666.1523645983184</v>
      </c>
      <c r="BJ17" s="59">
        <f t="shared" si="38"/>
        <v>294.13851344047526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4.0942857142857143</v>
      </c>
      <c r="BY17" s="12">
        <f>IF('Données projet'!$A$114&gt;35,BY16+BX17-CG16,IF(A17&lt;'Données projet'!$A$114,$BV$205^A17,IF(A17='Données projet'!$A$114,'Données projet'!$B$114,BY16+BX17-CG16)))</f>
        <v>57.320000000000022</v>
      </c>
      <c r="BZ17" s="13">
        <f>BY17*VLOOKUP('Données projet'!$B$12,Paramètres!$A$1:$I$89,3,0)*VLOOKUP('Données projet'!$B$12,Paramètres!$A$1:$I$89,5,0)</f>
        <v>61.699248000000019</v>
      </c>
      <c r="CA17" s="13">
        <f t="shared" si="39"/>
        <v>17.597191438724803</v>
      </c>
      <c r="CB17" s="20">
        <f t="shared" si="10"/>
        <v>138.10796535577904</v>
      </c>
      <c r="CC17" s="59">
        <f t="shared" si="11"/>
        <v>411.88574313355684</v>
      </c>
      <c r="CD17" s="59">
        <f ca="1">AVERAGE(OFFSET($CC$3,0,0,'Données projet'!$E$12+1,1))-AVERAGE(OFFSET($H$3,0,0,'Données projet'!$E$12+1,1))</f>
        <v>747.18304127457918</v>
      </c>
      <c r="CE17" s="59">
        <f t="shared" si="40"/>
        <v>327.03701004966723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4.0942857142857143</v>
      </c>
      <c r="CT17" s="12">
        <f>IF('Données projet'!$A$140&gt;35,CT16+CS17-DB16,IF(A17&lt;'Données projet'!$A$140,$CQ$205^A17,IF(A17='Données projet'!$A$140,'Données projet'!$B$140,CT16+CS17-DB16)))</f>
        <v>57.320000000000022</v>
      </c>
      <c r="CU17" s="17">
        <f>CT17*VLOOKUP('Données projet'!$B$13,Paramètres!$A$1:$I$89,3,0)*VLOOKUP('Données projet'!$B$13,Paramètres!$A$1:$I$89,5,0)</f>
        <v>55.43990400000002</v>
      </c>
      <c r="CV17" s="13">
        <f t="shared" si="41"/>
        <v>16.010083574342314</v>
      </c>
      <c r="CW17" s="20">
        <f t="shared" si="13"/>
        <v>124.44206169197953</v>
      </c>
      <c r="CX17" s="59">
        <f t="shared" si="14"/>
        <v>398.21983946975729</v>
      </c>
      <c r="CY17" s="59">
        <f ca="1">AVERAGE(OFFSET($CX$3,0,0,'Données projet'!$E$13+1,1))-AVERAGE(OFFSET($H$3,0,0,'Données projet'!$E$13+1,1))</f>
        <v>676.29219382388692</v>
      </c>
      <c r="CZ17" s="59">
        <f t="shared" si="42"/>
        <v>298.25577221580448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1.7094017094017093</v>
      </c>
      <c r="EJ17" s="12">
        <f>IF('Données projet'!$A$192&gt;35,EJ16+EI17-ER16,IF(A17&lt;'Données projet'!$A$192,$EG$205^A17,IF(A17='Données projet'!$A$192,'Données projet'!$B$192,EJ16+EI17-ER16)))</f>
        <v>20.65410434591935</v>
      </c>
      <c r="EK17" s="17">
        <f>EJ17*VLOOKUP('Données projet'!$B$15,Paramètres!$A$1:$I$89,3,0)*VLOOKUP('Données projet'!$B$15,Paramètres!$A$1:$I$89,5,0)</f>
        <v>16.110201389817092</v>
      </c>
      <c r="EL17" s="13">
        <f t="shared" si="45"/>
        <v>5.3721296027756829</v>
      </c>
      <c r="EM17" s="20">
        <f t="shared" si="19"/>
        <v>37.415059812099081</v>
      </c>
      <c r="EN17" s="59">
        <f t="shared" si="20"/>
        <v>311.19283758987683</v>
      </c>
      <c r="EO17" s="59">
        <f ca="1">AVERAGE(OFFSET($EN$3,0,0,'Données projet'!$E$15+1,1))-AVERAGE(OFFSET($H$3,0,0,'Données projet'!$E$15+1,1))</f>
        <v>197.51452239559433</v>
      </c>
      <c r="EP17" s="59">
        <f t="shared" si="46"/>
        <v>196.65166921588821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399.72130831921697</v>
      </c>
      <c r="S18" s="59">
        <f ca="1">AVERAGE(OFFSET($R$3,0,0,'Données projet'!$E$9+1,1))-AVERAGE(OFFSET($H$3,0,0,'Données projet'!$E$9+1,1))</f>
        <v>635.71275911100679</v>
      </c>
      <c r="T18" s="59">
        <f t="shared" si="34"/>
        <v>281.7776857269169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4.0942857142857143</v>
      </c>
      <c r="AI18" s="13">
        <f>IF('Données projet'!$A$62&gt;35,AI17+AH18-AQ17,IF(A18&lt;'Données projet'!$A$62,$AF$205^A18,IF(A18='Données projet'!$A$62,'Données projet'!$B$62,AI17+AH18-AQ17)))</f>
        <v>61.414285714285739</v>
      </c>
      <c r="AJ18" s="13">
        <f>AI18*VLOOKUP('Données projet'!$B$10,Paramètres!$A$1:$I$89,3,0)*VLOOKUP('Données projet'!$B$10,Paramètres!$A$1:$I$89,5,0)</f>
        <v>62.274085714285746</v>
      </c>
      <c r="AK18" s="13">
        <f t="shared" si="35"/>
        <v>17.741978484825932</v>
      </c>
      <c r="AL18" s="20">
        <f t="shared" si="4"/>
        <v>139.36131181345283</v>
      </c>
      <c r="AM18" s="59">
        <f t="shared" si="5"/>
        <v>414.36131181345286</v>
      </c>
      <c r="AN18" s="59">
        <f ca="1">AVERAGE(OFFSET($AM$3,0,0,'Données projet'!$E$10+1,1))-AVERAGE(OFFSET($H$3,0,0,'Données projet'!$E$10+1,1))</f>
        <v>706.69239849991595</v>
      </c>
      <c r="AO18" s="59">
        <f t="shared" si="36"/>
        <v>310.59887275116529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58.441834285714307</v>
      </c>
      <c r="BF18" s="13">
        <f t="shared" si="37"/>
        <v>16.773714568834297</v>
      </c>
      <c r="BG18" s="20">
        <f t="shared" si="7"/>
        <v>131.0004142550055</v>
      </c>
      <c r="BH18" s="59">
        <f t="shared" si="8"/>
        <v>406.00041425500547</v>
      </c>
      <c r="BI18" s="59">
        <f ca="1">AVERAGE(OFFSET($BH$3,0,0,'Données projet'!$E$11+1,1))-AVERAGE(OFFSET($H$3,0,0,'Données projet'!$E$11+1,1))</f>
        <v>666.1523645983184</v>
      </c>
      <c r="BJ18" s="59">
        <f t="shared" si="38"/>
        <v>294.13851344047526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4.0942857142857143</v>
      </c>
      <c r="BY18" s="12">
        <f>IF('Données projet'!$A$114&gt;35,BY17+BX18-CG17,IF(A18&lt;'Données projet'!$A$114,$BV$205^A18,IF(A18='Données projet'!$A$114,'Données projet'!$B$114,BY17+BX18-CG17)))</f>
        <v>61.414285714285739</v>
      </c>
      <c r="BZ18" s="13">
        <f>BY18*VLOOKUP('Données projet'!$B$12,Paramètres!$A$1:$I$89,3,0)*VLOOKUP('Données projet'!$B$12,Paramètres!$A$1:$I$89,5,0)</f>
        <v>66.106337142857171</v>
      </c>
      <c r="CA18" s="13">
        <f t="shared" si="39"/>
        <v>18.703326826747876</v>
      </c>
      <c r="CB18" s="20">
        <f t="shared" si="10"/>
        <v>147.71016474706212</v>
      </c>
      <c r="CC18" s="59">
        <f t="shared" si="11"/>
        <v>422.71016474706209</v>
      </c>
      <c r="CD18" s="59">
        <f ca="1">AVERAGE(OFFSET($CC$3,0,0,'Données projet'!$E$12+1,1))-AVERAGE(OFFSET($H$3,0,0,'Données projet'!$E$12+1,1))</f>
        <v>747.18304127457918</v>
      </c>
      <c r="CE18" s="59">
        <f t="shared" si="40"/>
        <v>327.03701004966723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4.0942857142857143</v>
      </c>
      <c r="CT18" s="12">
        <f>IF('Données projet'!$A$140&gt;35,CT17+CS18-DB17,IF(A18&lt;'Données projet'!$A$140,$CQ$205^A18,IF(A18='Données projet'!$A$140,'Données projet'!$B$140,CT17+CS18-DB17)))</f>
        <v>61.414285714285739</v>
      </c>
      <c r="CU18" s="17">
        <f>CT18*VLOOKUP('Données projet'!$B$13,Paramètres!$A$1:$I$89,3,0)*VLOOKUP('Données projet'!$B$13,Paramètres!$A$1:$I$89,5,0)</f>
        <v>59.399897142857171</v>
      </c>
      <c r="CV18" s="13">
        <f t="shared" si="41"/>
        <v>17.016455532529655</v>
      </c>
      <c r="CW18" s="20">
        <f t="shared" si="13"/>
        <v>133.0918142429654</v>
      </c>
      <c r="CX18" s="59">
        <f t="shared" si="14"/>
        <v>408.09181424296537</v>
      </c>
      <c r="CY18" s="59">
        <f ca="1">AVERAGE(OFFSET($CX$3,0,0,'Données projet'!$E$13+1,1))-AVERAGE(OFFSET($H$3,0,0,'Données projet'!$E$13+1,1))</f>
        <v>676.29219382388692</v>
      </c>
      <c r="CZ18" s="59">
        <f t="shared" si="42"/>
        <v>298.25577221580448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25.641025641025639</v>
      </c>
      <c r="EH18" s="12">
        <f>VLOOKUP(A18,'Données projet'!$A$191:$I$211,9,0)</f>
        <v>1.7094017094017093</v>
      </c>
      <c r="EI18" s="12">
        <f t="array" ref="EI18">INDEX(EH:EH,MIN(IF(ISNUMBER(EH18:EH214),ROW(EH18:EH214),"")))</f>
        <v>1.7094017094017093</v>
      </c>
      <c r="EJ18" s="12">
        <f>IF('Données projet'!$A$192&gt;35,EJ17+EI18-ER17,IF(A18&lt;'Données projet'!$A$192,$EG$205^A18,IF(A18='Données projet'!$A$192,'Données projet'!$B$192,EJ17+EI18-ER17)))</f>
        <v>25.641025641025639</v>
      </c>
      <c r="EK18" s="17">
        <f>EJ18*VLOOKUP('Données projet'!$B$15,Paramètres!$A$1:$I$89,3,0)*VLOOKUP('Données projet'!$B$15,Paramètres!$A$1:$I$89,5,0)</f>
        <v>20</v>
      </c>
      <c r="EL18" s="13">
        <f t="shared" si="45"/>
        <v>6.5034254923678825</v>
      </c>
      <c r="EM18" s="20">
        <f t="shared" si="19"/>
        <v>46.160132732540724</v>
      </c>
      <c r="EN18" s="59">
        <f t="shared" si="20"/>
        <v>321.16013273254072</v>
      </c>
      <c r="EO18" s="59">
        <f ca="1">AVERAGE(OFFSET($EN$3,0,0,'Données projet'!$E$15+1,1))-AVERAGE(OFFSET($H$3,0,0,'Données projet'!$E$15+1,1))</f>
        <v>197.51452239559433</v>
      </c>
      <c r="EP18" s="59">
        <f t="shared" si="46"/>
        <v>196.65166921588821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1.9230769230769229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0.1075</v>
      </c>
      <c r="EU18" s="16">
        <f>IF(ISNA(VLOOKUP(A18,'Données projet'!$A$191:$I$211,7,0)),0%,VLOOKUP(A18,'Données projet'!$A$191:$I$211,7,0))</f>
        <v>0.25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0.17755523258082798</v>
      </c>
      <c r="EX18" s="21">
        <f>EXP(-LN(2)/2)*EX17+(1-EXP(-LN(2)/2))/(LN(2)/2)*ER18*EU18*VLOOKUP('Données projet'!$B$15,Paramètres!$A$1:$I$89,3,0)*0.475*44/12</f>
        <v>0.35382259297702051</v>
      </c>
      <c r="EY18" s="22">
        <f t="shared" si="21"/>
        <v>0.53137782555784852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409.03522926417997</v>
      </c>
      <c r="S19" s="59">
        <f ca="1">AVERAGE(OFFSET($R$3,0,0,'Données projet'!$E$9+1,1))-AVERAGE(OFFSET($H$3,0,0,'Données projet'!$E$9+1,1))</f>
        <v>635.71275911100679</v>
      </c>
      <c r="T19" s="59">
        <f t="shared" si="34"/>
        <v>281.7776857269169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4.0942857142857143</v>
      </c>
      <c r="AI19" s="13">
        <f>IF('Données projet'!$A$62&gt;35,AI18+AH19-AQ18,IF(A19&lt;'Données projet'!$A$62,$AF$205^A19,IF(A19='Données projet'!$A$62,'Données projet'!$B$62,AI18+AH19-AQ18)))</f>
        <v>65.508571428571457</v>
      </c>
      <c r="AJ19" s="13">
        <f>AI19*VLOOKUP('Données projet'!$B$10,Paramètres!$A$1:$I$89,3,0)*VLOOKUP('Données projet'!$B$10,Paramètres!$A$1:$I$89,5,0)</f>
        <v>66.425691428571454</v>
      </c>
      <c r="AK19" s="13">
        <f t="shared" si="35"/>
        <v>18.783141422895284</v>
      </c>
      <c r="AL19" s="20">
        <f t="shared" si="4"/>
        <v>148.40538388297122</v>
      </c>
      <c r="AM19" s="59">
        <f t="shared" si="5"/>
        <v>424.62760610519342</v>
      </c>
      <c r="AN19" s="59">
        <f ca="1">AVERAGE(OFFSET($AM$3,0,0,'Données projet'!$E$10+1,1))-AVERAGE(OFFSET($H$3,0,0,'Données projet'!$E$10+1,1))</f>
        <v>706.69239849991595</v>
      </c>
      <c r="AO19" s="59">
        <f t="shared" si="36"/>
        <v>310.59887275116529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62.337956571428599</v>
      </c>
      <c r="BF19" s="13">
        <f t="shared" si="37"/>
        <v>17.758056307144972</v>
      </c>
      <c r="BG19" s="20">
        <f t="shared" si="7"/>
        <v>139.50055576351562</v>
      </c>
      <c r="BH19" s="59">
        <f t="shared" si="8"/>
        <v>415.72277798573782</v>
      </c>
      <c r="BI19" s="59">
        <f ca="1">AVERAGE(OFFSET($BH$3,0,0,'Données projet'!$E$11+1,1))-AVERAGE(OFFSET($H$3,0,0,'Données projet'!$E$11+1,1))</f>
        <v>666.1523645983184</v>
      </c>
      <c r="BJ19" s="59">
        <f t="shared" si="38"/>
        <v>294.13851344047526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4.0942857142857143</v>
      </c>
      <c r="BY19" s="12">
        <f>IF('Données projet'!$A$114&gt;35,BY18+BX19-CG18,IF(A19&lt;'Données projet'!$A$114,$BV$205^A19,IF(A19='Données projet'!$A$114,'Données projet'!$B$114,BY18+BX19-CG18)))</f>
        <v>65.508571428571457</v>
      </c>
      <c r="BZ19" s="13">
        <f>BY19*VLOOKUP('Données projet'!$B$12,Paramètres!$A$1:$I$89,3,0)*VLOOKUP('Données projet'!$B$12,Paramètres!$A$1:$I$89,5,0)</f>
        <v>70.513426285714317</v>
      </c>
      <c r="CA19" s="13">
        <f t="shared" si="39"/>
        <v>19.800905133883287</v>
      </c>
      <c r="CB19" s="20">
        <f t="shared" si="10"/>
        <v>157.29746055579915</v>
      </c>
      <c r="CC19" s="59">
        <f t="shared" si="11"/>
        <v>433.51968277802138</v>
      </c>
      <c r="CD19" s="59">
        <f ca="1">AVERAGE(OFFSET($CC$3,0,0,'Données projet'!$E$12+1,1))-AVERAGE(OFFSET($H$3,0,0,'Données projet'!$E$12+1,1))</f>
        <v>747.18304127457918</v>
      </c>
      <c r="CE19" s="59">
        <f t="shared" si="40"/>
        <v>327.03701004966723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4.0942857142857143</v>
      </c>
      <c r="CT19" s="12">
        <f>IF('Données projet'!$A$140&gt;35,CT18+CS19-DB18,IF(A19&lt;'Données projet'!$A$140,$CQ$205^A19,IF(A19='Données projet'!$A$140,'Données projet'!$B$140,CT18+CS19-DB18)))</f>
        <v>65.508571428571457</v>
      </c>
      <c r="CU19" s="17">
        <f>CT19*VLOOKUP('Données projet'!$B$13,Paramètres!$A$1:$I$89,3,0)*VLOOKUP('Données projet'!$B$13,Paramètres!$A$1:$I$89,5,0)</f>
        <v>63.359890285714322</v>
      </c>
      <c r="CV19" s="13">
        <f t="shared" si="41"/>
        <v>18.015042181303219</v>
      </c>
      <c r="CW19" s="20">
        <f t="shared" si="13"/>
        <v>141.72800738005557</v>
      </c>
      <c r="CX19" s="59">
        <f t="shared" si="14"/>
        <v>417.95022960227777</v>
      </c>
      <c r="CY19" s="59">
        <f ca="1">AVERAGE(OFFSET($CX$3,0,0,'Données projet'!$E$13+1,1))-AVERAGE(OFFSET($H$3,0,0,'Données projet'!$E$13+1,1))</f>
        <v>676.29219382388692</v>
      </c>
      <c r="CZ19" s="59">
        <f t="shared" si="42"/>
        <v>298.25577221580448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6.1538461538461533</v>
      </c>
      <c r="EJ19" s="12">
        <f>IF('Données projet'!$A$192&gt;35,EJ18+EI19-ER18,IF(A19&lt;'Données projet'!$A$192,$EG$205^A19,IF(A19='Données projet'!$A$192,'Données projet'!$B$192,EJ18+EI19-ER18)))</f>
        <v>29.871794871794869</v>
      </c>
      <c r="EK19" s="17">
        <f>EJ19*VLOOKUP('Données projet'!$B$15,Paramètres!$A$1:$I$89,3,0)*VLOOKUP('Données projet'!$B$15,Paramètres!$A$1:$I$89,5,0)</f>
        <v>23.299999999999997</v>
      </c>
      <c r="EL19" s="13">
        <f t="shared" si="45"/>
        <v>7.4429955046030809</v>
      </c>
      <c r="EM19" s="20">
        <f t="shared" si="19"/>
        <v>53.544050503850364</v>
      </c>
      <c r="EN19" s="59">
        <f t="shared" si="20"/>
        <v>329.7662727260726</v>
      </c>
      <c r="EO19" s="59">
        <f ca="1">AVERAGE(OFFSET($EN$3,0,0,'Données projet'!$E$15+1,1))-AVERAGE(OFFSET($H$3,0,0,'Données projet'!$E$15+1,1))</f>
        <v>197.51452239559433</v>
      </c>
      <c r="EP19" s="59">
        <f t="shared" si="46"/>
        <v>196.65166921588821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0.17269997540868137</v>
      </c>
      <c r="EX19" s="21">
        <f>EXP(-LN(2)/2)*EX18+(1-EXP(-LN(2)/2))/(LN(2)/2)*ER19*EU19*VLOOKUP('Données projet'!$B$15,Paramètres!$A$1:$I$89,3,0)*0.475*44/12</f>
        <v>0.25019035483105895</v>
      </c>
      <c r="EY19" s="22">
        <f t="shared" si="21"/>
        <v>0.42289033023974032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418.33725666796488</v>
      </c>
      <c r="S20" s="59">
        <f ca="1">AVERAGE(OFFSET($R$3,0,0,'Données projet'!$E$9+1,1))-AVERAGE(OFFSET($H$3,0,0,'Données projet'!$E$9+1,1))</f>
        <v>635.71275911100679</v>
      </c>
      <c r="T20" s="59">
        <f t="shared" si="34"/>
        <v>281.7776857269169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4.0942857142857143</v>
      </c>
      <c r="AI20" s="13">
        <f>IF('Données projet'!$A$62&gt;35,AI19+AH20-AQ19,IF(A20&lt;'Données projet'!$A$62,$AF$205^A20,IF(A20='Données projet'!$A$62,'Données projet'!$B$62,AI19+AH20-AQ19)))</f>
        <v>69.602857142857175</v>
      </c>
      <c r="AJ20" s="13">
        <f>AI20*VLOOKUP('Données projet'!$B$10,Paramètres!$A$1:$I$89,3,0)*VLOOKUP('Données projet'!$B$10,Paramètres!$A$1:$I$89,5,0)</f>
        <v>70.577297142857176</v>
      </c>
      <c r="AK20" s="13">
        <f t="shared" si="35"/>
        <v>19.816752197053003</v>
      </c>
      <c r="AL20" s="20">
        <f t="shared" si="4"/>
        <v>157.43630260034357</v>
      </c>
      <c r="AM20" s="59">
        <f t="shared" si="5"/>
        <v>434.880747044788</v>
      </c>
      <c r="AN20" s="59">
        <f ca="1">AVERAGE(OFFSET($AM$3,0,0,'Données projet'!$E$10+1,1))-AVERAGE(OFFSET($H$3,0,0,'Données projet'!$E$10+1,1))</f>
        <v>706.69239849991595</v>
      </c>
      <c r="AO20" s="59">
        <f t="shared" si="36"/>
        <v>310.59887275116529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66.23407885714289</v>
      </c>
      <c r="BF20" s="13">
        <f t="shared" si="37"/>
        <v>18.735258038948551</v>
      </c>
      <c r="BG20" s="20">
        <f t="shared" si="7"/>
        <v>147.98826176069258</v>
      </c>
      <c r="BH20" s="59">
        <f t="shared" si="8"/>
        <v>425.43270620513704</v>
      </c>
      <c r="BI20" s="59">
        <f ca="1">AVERAGE(OFFSET($BH$3,0,0,'Données projet'!$E$11+1,1))-AVERAGE(OFFSET($H$3,0,0,'Données projet'!$E$11+1,1))</f>
        <v>666.1523645983184</v>
      </c>
      <c r="BJ20" s="59">
        <f t="shared" si="38"/>
        <v>294.13851344047526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4.0942857142857143</v>
      </c>
      <c r="BY20" s="12">
        <f>IF('Données projet'!$A$114&gt;35,BY19+BX20-CG19,IF(A20&lt;'Données projet'!$A$114,$BV$205^A20,IF(A20='Données projet'!$A$114,'Données projet'!$B$114,BY19+BX20-CG19)))</f>
        <v>69.602857142857175</v>
      </c>
      <c r="BZ20" s="13">
        <f>BY20*VLOOKUP('Données projet'!$B$12,Paramètres!$A$1:$I$89,3,0)*VLOOKUP('Données projet'!$B$12,Paramètres!$A$1:$I$89,5,0)</f>
        <v>74.920515428571463</v>
      </c>
      <c r="CA20" s="13">
        <f t="shared" si="39"/>
        <v>20.890522063429991</v>
      </c>
      <c r="CB20" s="20">
        <f t="shared" si="10"/>
        <v>166.87089029856921</v>
      </c>
      <c r="CC20" s="59">
        <f t="shared" si="11"/>
        <v>444.31533474301364</v>
      </c>
      <c r="CD20" s="59">
        <f ca="1">AVERAGE(OFFSET($CC$3,0,0,'Données projet'!$E$12+1,1))-AVERAGE(OFFSET($H$3,0,0,'Données projet'!$E$12+1,1))</f>
        <v>747.18304127457918</v>
      </c>
      <c r="CE20" s="59">
        <f t="shared" si="40"/>
        <v>327.03701004966723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4.0942857142857143</v>
      </c>
      <c r="CT20" s="12">
        <f>IF('Données projet'!$A$140&gt;35,CT19+CS20-DB19,IF(A20&lt;'Données projet'!$A$140,$CQ$205^A20,IF(A20='Données projet'!$A$140,'Données projet'!$B$140,CT19+CS20-DB19)))</f>
        <v>69.602857142857175</v>
      </c>
      <c r="CU20" s="17">
        <f>CT20*VLOOKUP('Données projet'!$B$13,Paramètres!$A$1:$I$89,3,0)*VLOOKUP('Données projet'!$B$13,Paramètres!$A$1:$I$89,5,0)</f>
        <v>67.319883428571458</v>
      </c>
      <c r="CV20" s="13">
        <f t="shared" si="41"/>
        <v>19.006385496900258</v>
      </c>
      <c r="CW20" s="20">
        <f t="shared" si="13"/>
        <v>150.35158504519657</v>
      </c>
      <c r="CX20" s="59">
        <f t="shared" si="14"/>
        <v>427.796029489641</v>
      </c>
      <c r="CY20" s="59">
        <f ca="1">AVERAGE(OFFSET($CX$3,0,0,'Données projet'!$E$13+1,1))-AVERAGE(OFFSET($H$3,0,0,'Données projet'!$E$13+1,1))</f>
        <v>676.29219382388692</v>
      </c>
      <c r="CZ20" s="59">
        <f t="shared" si="42"/>
        <v>298.25577221580448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6.1538461538461533</v>
      </c>
      <c r="EJ20" s="12">
        <f>IF('Données projet'!$A$192&gt;35,EJ19+EI20-ER19,IF(A20&lt;'Données projet'!$A$192,$EG$205^A20,IF(A20='Données projet'!$A$192,'Données projet'!$B$192,EJ19+EI20-ER19)))</f>
        <v>36.025641025641022</v>
      </c>
      <c r="EK20" s="17">
        <f>EJ20*VLOOKUP('Données projet'!$B$15,Paramètres!$A$1:$I$89,3,0)*VLOOKUP('Données projet'!$B$15,Paramètres!$A$1:$I$89,5,0)</f>
        <v>28.099999999999998</v>
      </c>
      <c r="EL20" s="13">
        <f t="shared" si="45"/>
        <v>8.7827186210663637</v>
      </c>
      <c r="EM20" s="20">
        <f t="shared" si="19"/>
        <v>64.237401598357238</v>
      </c>
      <c r="EN20" s="59">
        <f t="shared" si="20"/>
        <v>341.68184604280168</v>
      </c>
      <c r="EO20" s="59">
        <f ca="1">AVERAGE(OFFSET($EN$3,0,0,'Données projet'!$E$15+1,1))-AVERAGE(OFFSET($H$3,0,0,'Données projet'!$E$15+1,1))</f>
        <v>197.51452239559433</v>
      </c>
      <c r="EP20" s="59">
        <f t="shared" si="46"/>
        <v>196.65166921588821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0.167977485499234</v>
      </c>
      <c r="EX20" s="21">
        <f>EXP(-LN(2)/2)*EX19+(1-EXP(-LN(2)/2))/(LN(2)/2)*ER20*EU20*VLOOKUP('Données projet'!$B$15,Paramètres!$A$1:$I$89,3,0)*0.475*44/12</f>
        <v>0.17691129648851028</v>
      </c>
      <c r="EY20" s="22">
        <f t="shared" si="21"/>
        <v>0.34488878198774431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427.62816984330391</v>
      </c>
      <c r="S21" s="59">
        <f ca="1">AVERAGE(OFFSET($R$3,0,0,'Données projet'!$E$9+1,1))-AVERAGE(OFFSET($H$3,0,0,'Données projet'!$E$9+1,1))</f>
        <v>635.71275911100679</v>
      </c>
      <c r="T21" s="59">
        <f t="shared" si="34"/>
        <v>281.7776857269169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4.0942857142857143</v>
      </c>
      <c r="AI21" s="13">
        <f>IF('Données projet'!$A$62&gt;35,AI20+AH21-AQ20,IF(A21&lt;'Données projet'!$A$62,$AF$205^A21,IF(A21='Données projet'!$A$62,'Données projet'!$B$62,AI20+AH21-AQ20)))</f>
        <v>73.697142857142893</v>
      </c>
      <c r="AJ21" s="13">
        <f>AI21*VLOOKUP('Données projet'!$B$10,Paramètres!$A$1:$I$89,3,0)*VLOOKUP('Données projet'!$B$10,Paramètres!$A$1:$I$89,5,0)</f>
        <v>74.728902857142899</v>
      </c>
      <c r="AK21" s="13">
        <f t="shared" si="35"/>
        <v>20.843305655503205</v>
      </c>
      <c r="AL21" s="20">
        <f t="shared" si="4"/>
        <v>166.45492982619194</v>
      </c>
      <c r="AM21" s="59">
        <f t="shared" si="5"/>
        <v>445.12159649285866</v>
      </c>
      <c r="AN21" s="59">
        <f ca="1">AVERAGE(OFFSET($AM$3,0,0,'Données projet'!$E$10+1,1))-AVERAGE(OFFSET($H$3,0,0,'Données projet'!$E$10+1,1))</f>
        <v>706.69239849991595</v>
      </c>
      <c r="AO21" s="59">
        <f t="shared" si="36"/>
        <v>310.59887275116529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70.130201142857175</v>
      </c>
      <c r="BF21" s="13">
        <f t="shared" si="37"/>
        <v>19.705787606235543</v>
      </c>
      <c r="BG21" s="20">
        <f t="shared" si="7"/>
        <v>156.46434707133648</v>
      </c>
      <c r="BH21" s="59">
        <f t="shared" si="8"/>
        <v>435.13101373800316</v>
      </c>
      <c r="BI21" s="59">
        <f ca="1">AVERAGE(OFFSET($BH$3,0,0,'Données projet'!$E$11+1,1))-AVERAGE(OFFSET($H$3,0,0,'Données projet'!$E$11+1,1))</f>
        <v>666.1523645983184</v>
      </c>
      <c r="BJ21" s="59">
        <f t="shared" si="38"/>
        <v>294.13851344047526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4.0942857142857143</v>
      </c>
      <c r="BY21" s="12">
        <f>IF('Données projet'!$A$114&gt;35,BY20+BX21-CG20,IF(A21&lt;'Données projet'!$A$114,$BV$205^A21,IF(A21='Données projet'!$A$114,'Données projet'!$B$114,BY20+BX21-CG20)))</f>
        <v>73.697142857142893</v>
      </c>
      <c r="BZ21" s="13">
        <f>BY21*VLOOKUP('Données projet'!$B$12,Paramètres!$A$1:$I$89,3,0)*VLOOKUP('Données projet'!$B$12,Paramètres!$A$1:$I$89,5,0)</f>
        <v>79.327604571428608</v>
      </c>
      <c r="CA21" s="13">
        <f t="shared" si="39"/>
        <v>21.972699276920789</v>
      </c>
      <c r="CB21" s="20">
        <f t="shared" si="10"/>
        <v>176.43136253587519</v>
      </c>
      <c r="CC21" s="59">
        <f t="shared" si="11"/>
        <v>455.09802920254185</v>
      </c>
      <c r="CD21" s="59">
        <f ca="1">AVERAGE(OFFSET($CC$3,0,0,'Données projet'!$E$12+1,1))-AVERAGE(OFFSET($H$3,0,0,'Données projet'!$E$12+1,1))</f>
        <v>747.18304127457918</v>
      </c>
      <c r="CE21" s="59">
        <f t="shared" si="40"/>
        <v>327.03701004966723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4.0942857142857143</v>
      </c>
      <c r="CT21" s="12">
        <f>IF('Données projet'!$A$140&gt;35,CT20+CS21-DB20,IF(A21&lt;'Données projet'!$A$140,$CQ$205^A21,IF(A21='Données projet'!$A$140,'Données projet'!$B$140,CT20+CS21-DB20)))</f>
        <v>73.697142857142893</v>
      </c>
      <c r="CU21" s="17">
        <f>CT21*VLOOKUP('Données projet'!$B$13,Paramètres!$A$1:$I$89,3,0)*VLOOKUP('Données projet'!$B$13,Paramètres!$A$1:$I$89,5,0)</f>
        <v>71.279876571428602</v>
      </c>
      <c r="CV21" s="13">
        <f t="shared" si="41"/>
        <v>19.990960091690926</v>
      </c>
      <c r="CW21" s="20">
        <f t="shared" si="13"/>
        <v>158.96337385493317</v>
      </c>
      <c r="CX21" s="59">
        <f t="shared" si="14"/>
        <v>437.63004052159988</v>
      </c>
      <c r="CY21" s="59">
        <f ca="1">AVERAGE(OFFSET($CX$3,0,0,'Données projet'!$E$13+1,1))-AVERAGE(OFFSET($H$3,0,0,'Données projet'!$E$13+1,1))</f>
        <v>676.29219382388692</v>
      </c>
      <c r="CZ21" s="59">
        <f t="shared" si="42"/>
        <v>298.25577221580448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6.1538461538461533</v>
      </c>
      <c r="EJ21" s="12">
        <f>IF('Données projet'!$A$192&gt;35,EJ20+EI21-ER20,IF(A21&lt;'Données projet'!$A$192,$EG$205^A21,IF(A21='Données projet'!$A$192,'Données projet'!$B$192,EJ20+EI21-ER20)))</f>
        <v>42.179487179487175</v>
      </c>
      <c r="EK21" s="17">
        <f>EJ21*VLOOKUP('Données projet'!$B$15,Paramètres!$A$1:$I$89,3,0)*VLOOKUP('Données projet'!$B$15,Paramètres!$A$1:$I$89,5,0)</f>
        <v>32.9</v>
      </c>
      <c r="EL21" s="13">
        <f t="shared" si="45"/>
        <v>10.09593068723915</v>
      </c>
      <c r="EM21" s="20">
        <f t="shared" si="19"/>
        <v>74.884579280274849</v>
      </c>
      <c r="EN21" s="59">
        <f t="shared" si="20"/>
        <v>353.55124594694155</v>
      </c>
      <c r="EO21" s="59">
        <f ca="1">AVERAGE(OFFSET($EN$3,0,0,'Données projet'!$E$15+1,1))-AVERAGE(OFFSET($H$3,0,0,'Données projet'!$E$15+1,1))</f>
        <v>197.51452239559433</v>
      </c>
      <c r="EP21" s="59">
        <f t="shared" si="46"/>
        <v>196.65166921588821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0.16338413232470539</v>
      </c>
      <c r="EX21" s="21">
        <f>EXP(-LN(2)/2)*EX20+(1-EXP(-LN(2)/2))/(LN(2)/2)*ER21*EU21*VLOOKUP('Données projet'!$B$15,Paramètres!$A$1:$I$89,3,0)*0.475*44/12</f>
        <v>0.12509517741552947</v>
      </c>
      <c r="EY21" s="22">
        <f t="shared" si="21"/>
        <v>0.28847930974023483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436.9086566220966</v>
      </c>
      <c r="S22" s="59">
        <f ca="1">AVERAGE(OFFSET($R$3,0,0,'Données projet'!$E$9+1,1))-AVERAGE(OFFSET($H$3,0,0,'Données projet'!$E$9+1,1))</f>
        <v>635.71275911100679</v>
      </c>
      <c r="T22" s="59">
        <f t="shared" si="34"/>
        <v>281.7776857269169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4.0942857142857143</v>
      </c>
      <c r="AI22" s="13">
        <f>IF('Données projet'!$A$62&gt;35,AI21+AH22-AQ21,IF(A22&lt;'Données projet'!$A$62,$AF$205^A22,IF(A22='Données projet'!$A$62,'Données projet'!$B$62,AI21+AH22-AQ21)))</f>
        <v>77.791428571428611</v>
      </c>
      <c r="AJ22" s="13">
        <f>AI22*VLOOKUP('Données projet'!$B$10,Paramètres!$A$1:$I$89,3,0)*VLOOKUP('Données projet'!$B$10,Paramètres!$A$1:$I$89,5,0)</f>
        <v>78.880508571428621</v>
      </c>
      <c r="AK22" s="13">
        <f t="shared" si="35"/>
        <v>21.863238557926771</v>
      </c>
      <c r="AL22" s="20">
        <f t="shared" si="4"/>
        <v>175.462026250294</v>
      </c>
      <c r="AM22" s="59">
        <f t="shared" si="5"/>
        <v>455.35091513918286</v>
      </c>
      <c r="AN22" s="59">
        <f ca="1">AVERAGE(OFFSET($AM$3,0,0,'Données projet'!$E$10+1,1))-AVERAGE(OFFSET($H$3,0,0,'Données projet'!$E$10+1,1))</f>
        <v>706.69239849991595</v>
      </c>
      <c r="AO22" s="59">
        <f t="shared" si="36"/>
        <v>310.59887275116529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74.026323428571473</v>
      </c>
      <c r="BF22" s="13">
        <f t="shared" si="37"/>
        <v>20.670057932639512</v>
      </c>
      <c r="BG22" s="20">
        <f t="shared" si="7"/>
        <v>164.92953087077578</v>
      </c>
      <c r="BH22" s="59">
        <f t="shared" si="8"/>
        <v>444.81841975966461</v>
      </c>
      <c r="BI22" s="59">
        <f ca="1">AVERAGE(OFFSET($BH$3,0,0,'Données projet'!$E$11+1,1))-AVERAGE(OFFSET($H$3,0,0,'Données projet'!$E$11+1,1))</f>
        <v>666.1523645983184</v>
      </c>
      <c r="BJ22" s="59">
        <f t="shared" si="38"/>
        <v>294.13851344047526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4.0942857142857143</v>
      </c>
      <c r="BY22" s="12">
        <f>IF('Données projet'!$A$114&gt;35,BY21+BX22-CG21,IF(A22&lt;'Données projet'!$A$114,$BV$205^A22,IF(A22='Données projet'!$A$114,'Données projet'!$B$114,BY21+BX22-CG21)))</f>
        <v>77.791428571428611</v>
      </c>
      <c r="BZ22" s="13">
        <f>BY22*VLOOKUP('Données projet'!$B$12,Paramètres!$A$1:$I$89,3,0)*VLOOKUP('Données projet'!$B$12,Paramètres!$A$1:$I$89,5,0)</f>
        <v>83.734693714285754</v>
      </c>
      <c r="CA22" s="13">
        <f t="shared" si="39"/>
        <v>23.047897199841071</v>
      </c>
      <c r="CB22" s="20">
        <f t="shared" si="10"/>
        <v>185.97967917543755</v>
      </c>
      <c r="CC22" s="59">
        <f t="shared" si="11"/>
        <v>465.86856806432638</v>
      </c>
      <c r="CD22" s="59">
        <f ca="1">AVERAGE(OFFSET($CC$3,0,0,'Données projet'!$E$12+1,1))-AVERAGE(OFFSET($H$3,0,0,'Données projet'!$E$12+1,1))</f>
        <v>747.18304127457918</v>
      </c>
      <c r="CE22" s="59">
        <f t="shared" si="40"/>
        <v>327.03701004966723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4.0942857142857143</v>
      </c>
      <c r="CT22" s="12">
        <f>IF('Données projet'!$A$140&gt;35,CT21+CS22-DB21,IF(A22&lt;'Données projet'!$A$140,$CQ$205^A22,IF(A22='Données projet'!$A$140,'Données projet'!$B$140,CT21+CS22-DB21)))</f>
        <v>77.791428571428611</v>
      </c>
      <c r="CU22" s="17">
        <f>CT22*VLOOKUP('Données projet'!$B$13,Paramètres!$A$1:$I$89,3,0)*VLOOKUP('Données projet'!$B$13,Paramètres!$A$1:$I$89,5,0)</f>
        <v>75.23986971428576</v>
      </c>
      <c r="CV22" s="13">
        <f t="shared" si="41"/>
        <v>20.969184864936924</v>
      </c>
      <c r="CW22" s="20">
        <f t="shared" si="13"/>
        <v>167.56410339214617</v>
      </c>
      <c r="CX22" s="59">
        <f t="shared" si="14"/>
        <v>447.45299228103499</v>
      </c>
      <c r="CY22" s="59">
        <f ca="1">AVERAGE(OFFSET($CX$3,0,0,'Données projet'!$E$13+1,1))-AVERAGE(OFFSET($H$3,0,0,'Données projet'!$E$13+1,1))</f>
        <v>676.29219382388692</v>
      </c>
      <c r="CZ22" s="59">
        <f t="shared" si="42"/>
        <v>298.25577221580448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6.1538461538461533</v>
      </c>
      <c r="EJ22" s="12">
        <f>IF('Données projet'!$A$192&gt;35,EJ21+EI22-ER21,IF(A22&lt;'Données projet'!$A$192,$EG$205^A22,IF(A22='Données projet'!$A$192,'Données projet'!$B$192,EJ21+EI22-ER21)))</f>
        <v>48.333333333333329</v>
      </c>
      <c r="EK22" s="17">
        <f>EJ22*VLOOKUP('Données projet'!$B$15,Paramètres!$A$1:$I$89,3,0)*VLOOKUP('Données projet'!$B$15,Paramètres!$A$1:$I$89,5,0)</f>
        <v>37.699999999999996</v>
      </c>
      <c r="EL22" s="13">
        <f t="shared" si="45"/>
        <v>11.386946545346296</v>
      </c>
      <c r="EM22" s="20">
        <f t="shared" si="19"/>
        <v>85.493098566478125</v>
      </c>
      <c r="EN22" s="59">
        <f t="shared" si="20"/>
        <v>365.38198745536698</v>
      </c>
      <c r="EO22" s="59">
        <f ca="1">AVERAGE(OFFSET($EN$3,0,0,'Données projet'!$E$15+1,1))-AVERAGE(OFFSET($H$3,0,0,'Données projet'!$E$15+1,1))</f>
        <v>197.51452239559433</v>
      </c>
      <c r="EP22" s="59">
        <f t="shared" si="46"/>
        <v>196.65166921588821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0.15891638463428823</v>
      </c>
      <c r="EX22" s="21">
        <f>EXP(-LN(2)/2)*EX21+(1-EXP(-LN(2)/2))/(LN(2)/2)*ER22*EU22*VLOOKUP('Données projet'!$B$15,Paramètres!$A$1:$I$89,3,0)*0.475*44/12</f>
        <v>8.8455648244255142E-2</v>
      </c>
      <c r="EY22" s="22">
        <f t="shared" si="21"/>
        <v>0.24737203287854337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446.17932834356225</v>
      </c>
      <c r="S23" s="59">
        <f ca="1">AVERAGE(OFFSET($R$3,0,0,'Données projet'!$E$9+1,1))-AVERAGE(OFFSET($H$3,0,0,'Données projet'!$E$9+1,1))</f>
        <v>635.71275911100679</v>
      </c>
      <c r="T23" s="59">
        <f t="shared" si="34"/>
        <v>281.7776857269169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4.0942857142857143</v>
      </c>
      <c r="AI23" s="13">
        <f>IF('Données projet'!$A$62&gt;35,AI22+AH23-AQ22,IF(A23&lt;'Données projet'!$A$62,$AF$205^A23,IF(A23='Données projet'!$A$62,'Données projet'!$B$62,AI22+AH23-AQ22)))</f>
        <v>81.885714285714329</v>
      </c>
      <c r="AJ23" s="13">
        <f>AI23*VLOOKUP('Données projet'!$B$10,Paramètres!$A$1:$I$89,3,0)*VLOOKUP('Données projet'!$B$10,Paramètres!$A$1:$I$89,5,0)</f>
        <v>83.032114285714343</v>
      </c>
      <c r="AK23" s="13">
        <f t="shared" si="35"/>
        <v>22.876939092662138</v>
      </c>
      <c r="AL23" s="20">
        <f t="shared" si="4"/>
        <v>184.45826796733903</v>
      </c>
      <c r="AM23" s="59">
        <f t="shared" si="5"/>
        <v>465.5693790784502</v>
      </c>
      <c r="AN23" s="59">
        <f ca="1">AVERAGE(OFFSET($AM$3,0,0,'Données projet'!$E$10+1,1))-AVERAGE(OFFSET($H$3,0,0,'Données projet'!$E$10+1,1))</f>
        <v>706.69239849991595</v>
      </c>
      <c r="AO23" s="59">
        <f t="shared" si="36"/>
        <v>310.59887275116529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77.922445714285757</v>
      </c>
      <c r="BF23" s="13">
        <f t="shared" si="37"/>
        <v>21.628436021220121</v>
      </c>
      <c r="BG23" s="20">
        <f t="shared" si="7"/>
        <v>173.38445235600605</v>
      </c>
      <c r="BH23" s="59">
        <f t="shared" si="8"/>
        <v>454.49556346711722</v>
      </c>
      <c r="BI23" s="59">
        <f ca="1">AVERAGE(OFFSET($BH$3,0,0,'Données projet'!$E$11+1,1))-AVERAGE(OFFSET($H$3,0,0,'Données projet'!$E$11+1,1))</f>
        <v>666.1523645983184</v>
      </c>
      <c r="BJ23" s="59">
        <f t="shared" si="38"/>
        <v>294.13851344047526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4.0942857142857143</v>
      </c>
      <c r="BY23" s="12">
        <f>IF('Données projet'!$A$114&gt;35,BY22+BX23-CG22,IF(A23&lt;'Données projet'!$A$114,$BV$205^A23,IF(A23='Données projet'!$A$114,'Données projet'!$B$114,BY22+BX23-CG22)))</f>
        <v>81.885714285714329</v>
      </c>
      <c r="BZ23" s="13">
        <f>BY23*VLOOKUP('Données projet'!$B$12,Paramètres!$A$1:$I$89,3,0)*VLOOKUP('Données projet'!$B$12,Paramètres!$A$1:$I$89,5,0)</f>
        <v>88.1417828571429</v>
      </c>
      <c r="CA23" s="13">
        <f t="shared" si="39"/>
        <v>24.11652505449776</v>
      </c>
      <c r="CB23" s="20">
        <f t="shared" si="10"/>
        <v>195.51655294610748</v>
      </c>
      <c r="CC23" s="59">
        <f t="shared" si="11"/>
        <v>476.62766405721862</v>
      </c>
      <c r="CD23" s="59">
        <f ca="1">AVERAGE(OFFSET($CC$3,0,0,'Données projet'!$E$12+1,1))-AVERAGE(OFFSET($H$3,0,0,'Données projet'!$E$12+1,1))</f>
        <v>747.18304127457918</v>
      </c>
      <c r="CE23" s="59">
        <f t="shared" si="40"/>
        <v>327.03701004966723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4.0942857142857143</v>
      </c>
      <c r="CT23" s="12">
        <f>IF('Données projet'!$A$140&gt;35,CT22+CS23-DB22,IF(A23&lt;'Données projet'!$A$140,$CQ$205^A23,IF(A23='Données projet'!$A$140,'Données projet'!$B$140,CT22+CS23-DB22)))</f>
        <v>81.885714285714329</v>
      </c>
      <c r="CU23" s="17">
        <f>CT23*VLOOKUP('Données projet'!$B$13,Paramètres!$A$1:$I$89,3,0)*VLOOKUP('Données projet'!$B$13,Paramètres!$A$1:$I$89,5,0)</f>
        <v>79.199862857142904</v>
      </c>
      <c r="CV23" s="13">
        <f t="shared" si="41"/>
        <v>21.941432130786055</v>
      </c>
      <c r="CW23" s="20">
        <f t="shared" si="13"/>
        <v>176.15442210397626</v>
      </c>
      <c r="CX23" s="59">
        <f t="shared" si="14"/>
        <v>457.26553321508743</v>
      </c>
      <c r="CY23" s="59">
        <f ca="1">AVERAGE(OFFSET($CX$3,0,0,'Données projet'!$E$13+1,1))-AVERAGE(OFFSET($H$3,0,0,'Données projet'!$E$13+1,1))</f>
        <v>676.29219382388692</v>
      </c>
      <c r="CZ23" s="59">
        <f t="shared" si="42"/>
        <v>298.25577221580448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54.487179487179482</v>
      </c>
      <c r="EH23" s="12">
        <f>VLOOKUP(A23,'Données projet'!$A$191:$I$211,9,0)</f>
        <v>6.1538461538461533</v>
      </c>
      <c r="EI23" s="12">
        <f t="array" ref="EI23">INDEX(EH:EH,MIN(IF(ISNUMBER(EH23:EH219),ROW(EH23:EH219),"")))</f>
        <v>6.1538461538461533</v>
      </c>
      <c r="EJ23" s="12">
        <f>IF('Données projet'!$A$192&gt;35,EJ22+EI23-ER22,IF(A23&lt;'Données projet'!$A$192,$EG$205^A23,IF(A23='Données projet'!$A$192,'Données projet'!$B$192,EJ22+EI23-ER22)))</f>
        <v>54.487179487179482</v>
      </c>
      <c r="EK23" s="17">
        <f>EJ23*VLOOKUP('Données projet'!$B$15,Paramètres!$A$1:$I$89,3,0)*VLOOKUP('Données projet'!$B$15,Paramètres!$A$1:$I$89,5,0)</f>
        <v>42.5</v>
      </c>
      <c r="EL23" s="13">
        <f t="shared" si="45"/>
        <v>12.658916157662103</v>
      </c>
      <c r="EM23" s="20">
        <f t="shared" si="19"/>
        <v>96.068445641261476</v>
      </c>
      <c r="EN23" s="59">
        <f t="shared" si="20"/>
        <v>377.1795567523726</v>
      </c>
      <c r="EO23" s="59">
        <f ca="1">AVERAGE(OFFSET($EN$3,0,0,'Données projet'!$E$15+1,1))-AVERAGE(OFFSET($H$3,0,0,'Données projet'!$E$15+1,1))</f>
        <v>197.51452239559433</v>
      </c>
      <c r="EP23" s="59">
        <f t="shared" si="46"/>
        <v>196.65166921588821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16.025641025641026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0.1075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1.6341977459129808</v>
      </c>
      <c r="EX23" s="21">
        <f>EXP(-LN(2)/2)*EX22+(1-EXP(-LN(2)/2))/(LN(2)/2)*ER23*EU23*VLOOKUP('Données projet'!$B$15,Paramètres!$A$1:$I$89,3,0)*0.475*44/12</f>
        <v>3.0110691968496028</v>
      </c>
      <c r="EY23" s="22">
        <f t="shared" si="21"/>
        <v>4.6452669427625839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455.44073175957362</v>
      </c>
      <c r="S24" s="59">
        <f ca="1">AVERAGE(OFFSET($R$3,0,0,'Données projet'!$E$9+1,1))-AVERAGE(OFFSET($H$3,0,0,'Données projet'!$E$9+1,1))</f>
        <v>635.71275911100679</v>
      </c>
      <c r="T24" s="59">
        <f t="shared" si="34"/>
        <v>281.7776857269169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4.0942857142857143</v>
      </c>
      <c r="AI24" s="13">
        <f>IF('Données projet'!$A$62&gt;35,AI23+AH24-AQ23,IF(A24&lt;'Données projet'!$A$62,$AF$205^A24,IF(A24='Données projet'!$A$62,'Données projet'!$B$62,AI23+AH24-AQ23)))</f>
        <v>85.980000000000047</v>
      </c>
      <c r="AJ24" s="13">
        <f>AI24*VLOOKUP('Données projet'!$B$10,Paramètres!$A$1:$I$89,3,0)*VLOOKUP('Données projet'!$B$10,Paramètres!$A$1:$I$89,5,0)</f>
        <v>87.183720000000051</v>
      </c>
      <c r="AK24" s="13">
        <f t="shared" si="35"/>
        <v>23.884754436357664</v>
      </c>
      <c r="AL24" s="20">
        <f t="shared" si="4"/>
        <v>193.44425964332299</v>
      </c>
      <c r="AM24" s="59">
        <f t="shared" si="5"/>
        <v>475.77759297665631</v>
      </c>
      <c r="AN24" s="59">
        <f ca="1">AVERAGE(OFFSET($AM$3,0,0,'Données projet'!$E$10+1,1))-AVERAGE(OFFSET($H$3,0,0,'Données projet'!$E$10+1,1))</f>
        <v>706.69239849991595</v>
      </c>
      <c r="AO24" s="59">
        <f t="shared" si="36"/>
        <v>310.59887275116529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81.818568000000042</v>
      </c>
      <c r="BF24" s="13">
        <f t="shared" si="37"/>
        <v>22.581250101549351</v>
      </c>
      <c r="BG24" s="20">
        <f t="shared" si="7"/>
        <v>181.82968319353185</v>
      </c>
      <c r="BH24" s="59">
        <f t="shared" si="8"/>
        <v>464.16301652686514</v>
      </c>
      <c r="BI24" s="59">
        <f ca="1">AVERAGE(OFFSET($BH$3,0,0,'Données projet'!$E$11+1,1))-AVERAGE(OFFSET($H$3,0,0,'Données projet'!$E$11+1,1))</f>
        <v>666.1523645983184</v>
      </c>
      <c r="BJ24" s="59">
        <f t="shared" si="38"/>
        <v>294.13851344047526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4.0942857142857143</v>
      </c>
      <c r="BY24" s="12">
        <f>IF('Données projet'!$A$114&gt;35,BY23+BX24-CG23,IF(A24&lt;'Données projet'!$A$114,$BV$205^A24,IF(A24='Données projet'!$A$114,'Données projet'!$B$114,BY23+BX24-CG23)))</f>
        <v>85.980000000000047</v>
      </c>
      <c r="BZ24" s="13">
        <f>BY24*VLOOKUP('Données projet'!$B$12,Paramètres!$A$1:$I$89,3,0)*VLOOKUP('Données projet'!$B$12,Paramètres!$A$1:$I$89,5,0)</f>
        <v>92.548872000000046</v>
      </c>
      <c r="CA24" s="13">
        <f t="shared" si="39"/>
        <v>25.17894882929097</v>
      </c>
      <c r="CB24" s="20">
        <f t="shared" si="10"/>
        <v>205.04262127768183</v>
      </c>
      <c r="CC24" s="59">
        <f t="shared" si="11"/>
        <v>487.37595461101512</v>
      </c>
      <c r="CD24" s="59">
        <f ca="1">AVERAGE(OFFSET($CC$3,0,0,'Données projet'!$E$12+1,1))-AVERAGE(OFFSET($H$3,0,0,'Données projet'!$E$12+1,1))</f>
        <v>747.18304127457918</v>
      </c>
      <c r="CE24" s="59">
        <f t="shared" si="40"/>
        <v>327.03701004966723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4.0942857142857143</v>
      </c>
      <c r="CT24" s="12">
        <f>IF('Données projet'!$A$140&gt;35,CT23+CS24-DB23,IF(A24&lt;'Données projet'!$A$140,$CQ$205^A24,IF(A24='Données projet'!$A$140,'Données projet'!$B$140,CT23+CS24-DB23)))</f>
        <v>85.980000000000047</v>
      </c>
      <c r="CU24" s="17">
        <f>CT24*VLOOKUP('Données projet'!$B$13,Paramètres!$A$1:$I$89,3,0)*VLOOKUP('Données projet'!$B$13,Paramètres!$A$1:$I$89,5,0)</f>
        <v>83.159856000000048</v>
      </c>
      <c r="CV24" s="13">
        <f t="shared" si="41"/>
        <v>22.908034868787531</v>
      </c>
      <c r="CW24" s="20">
        <f t="shared" si="13"/>
        <v>184.73490992980501</v>
      </c>
      <c r="CX24" s="59">
        <f t="shared" si="14"/>
        <v>467.06824326313836</v>
      </c>
      <c r="CY24" s="59">
        <f ca="1">AVERAGE(OFFSET($CX$3,0,0,'Données projet'!$E$13+1,1))-AVERAGE(OFFSET($H$3,0,0,'Données projet'!$E$13+1,1))</f>
        <v>676.29219382388692</v>
      </c>
      <c r="CZ24" s="59">
        <f t="shared" si="42"/>
        <v>298.25577221580448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6.7948717948717956</v>
      </c>
      <c r="EJ24" s="12">
        <f>IF('Données projet'!$A$192&gt;35,EJ23+EI24-ER23,IF(A24&lt;'Données projet'!$A$192,$EG$205^A24,IF(A24='Données projet'!$A$192,'Données projet'!$B$192,EJ23+EI24-ER23)))</f>
        <v>45.256410256410248</v>
      </c>
      <c r="EK24" s="17">
        <f>EJ24*VLOOKUP('Données projet'!$B$15,Paramètres!$A$1:$I$89,3,0)*VLOOKUP('Données projet'!$B$15,Paramètres!$A$1:$I$89,5,0)</f>
        <v>35.299999999999997</v>
      </c>
      <c r="EL24" s="13">
        <f t="shared" si="45"/>
        <v>10.743994925779599</v>
      </c>
      <c r="EM24" s="20">
        <f t="shared" si="19"/>
        <v>80.193291162399461</v>
      </c>
      <c r="EN24" s="59">
        <f t="shared" si="20"/>
        <v>362.52662449573279</v>
      </c>
      <c r="EO24" s="59">
        <f ca="1">AVERAGE(OFFSET($EN$3,0,0,'Données projet'!$E$15+1,1))-AVERAGE(OFFSET($H$3,0,0,'Données projet'!$E$15+1,1))</f>
        <v>197.51452239559433</v>
      </c>
      <c r="EP24" s="59">
        <f t="shared" si="46"/>
        <v>196.65166921588821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1.5895105226122659</v>
      </c>
      <c r="EX24" s="21">
        <f>EXP(-LN(2)/2)*EX23+(1-EXP(-LN(2)/2))/(LN(2)/2)*ER24*EU24*VLOOKUP('Données projet'!$B$15,Paramètres!$A$1:$I$89,3,0)*0.475*44/12</f>
        <v>2.1291474477142858</v>
      </c>
      <c r="EY24" s="22">
        <f t="shared" si="21"/>
        <v>3.7186579703265519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464.69335860805768</v>
      </c>
      <c r="S25" s="59">
        <f ca="1">AVERAGE(OFFSET($R$3,0,0,'Données projet'!$E$9+1,1))-AVERAGE(OFFSET($H$3,0,0,'Données projet'!$E$9+1,1))</f>
        <v>635.71275911100679</v>
      </c>
      <c r="T25" s="59">
        <f t="shared" si="34"/>
        <v>281.7776857269169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4.0942857142857143</v>
      </c>
      <c r="AI25" s="13">
        <f>IF('Données projet'!$A$62&gt;35,AI24+AH25-AQ24,IF(A25&lt;'Données projet'!$A$62,$AF$205^A25,IF(A25='Données projet'!$A$62,'Données projet'!$B$62,AI24+AH25-AQ24)))</f>
        <v>90.074285714285764</v>
      </c>
      <c r="AJ25" s="13">
        <f>AI25*VLOOKUP('Données projet'!$B$10,Paramètres!$A$1:$I$89,3,0)*VLOOKUP('Données projet'!$B$10,Paramètres!$A$1:$I$89,5,0)</f>
        <v>91.335325714285773</v>
      </c>
      <c r="AK25" s="13">
        <f t="shared" si="35"/>
        <v>24.886996832891736</v>
      </c>
      <c r="AL25" s="20">
        <f t="shared" si="4"/>
        <v>202.42054510300082</v>
      </c>
      <c r="AM25" s="59">
        <f t="shared" si="5"/>
        <v>485.97610065855633</v>
      </c>
      <c r="AN25" s="59">
        <f ca="1">AVERAGE(OFFSET($AM$3,0,0,'Données projet'!$E$10+1,1))-AVERAGE(OFFSET($H$3,0,0,'Données projet'!$E$10+1,1))</f>
        <v>706.69239849991595</v>
      </c>
      <c r="AO25" s="59">
        <f t="shared" si="36"/>
        <v>310.59887275116529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85.71469028571434</v>
      </c>
      <c r="BF25" s="13">
        <f t="shared" si="37"/>
        <v>23.528795376876193</v>
      </c>
      <c r="BG25" s="20">
        <f t="shared" si="7"/>
        <v>190.26573752901183</v>
      </c>
      <c r="BH25" s="59">
        <f t="shared" si="8"/>
        <v>473.8212930845674</v>
      </c>
      <c r="BI25" s="59">
        <f ca="1">AVERAGE(OFFSET($BH$3,0,0,'Données projet'!$E$11+1,1))-AVERAGE(OFFSET($H$3,0,0,'Données projet'!$E$11+1,1))</f>
        <v>666.1523645983184</v>
      </c>
      <c r="BJ25" s="59">
        <f t="shared" si="38"/>
        <v>294.13851344047526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4.0942857142857143</v>
      </c>
      <c r="BY25" s="12">
        <f>IF('Données projet'!$A$114&gt;35,BY24+BX25-CG24,IF(A25&lt;'Données projet'!$A$114,$BV$205^A25,IF(A25='Données projet'!$A$114,'Données projet'!$B$114,BY24+BX25-CG24)))</f>
        <v>90.074285714285764</v>
      </c>
      <c r="BZ25" s="13">
        <f>BY25*VLOOKUP('Données projet'!$B$12,Paramètres!$A$1:$I$89,3,0)*VLOOKUP('Données projet'!$B$12,Paramètres!$A$1:$I$89,5,0)</f>
        <v>96.955961142857191</v>
      </c>
      <c r="CA25" s="13">
        <f t="shared" si="39"/>
        <v>26.235497687020231</v>
      </c>
      <c r="CB25" s="20">
        <f t="shared" si="10"/>
        <v>214.5584574620365</v>
      </c>
      <c r="CC25" s="59">
        <f t="shared" si="11"/>
        <v>498.11401301759201</v>
      </c>
      <c r="CD25" s="59">
        <f ca="1">AVERAGE(OFFSET($CC$3,0,0,'Données projet'!$E$12+1,1))-AVERAGE(OFFSET($H$3,0,0,'Données projet'!$E$12+1,1))</f>
        <v>747.18304127457918</v>
      </c>
      <c r="CE25" s="59">
        <f t="shared" si="40"/>
        <v>327.03701004966723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4.0942857142857143</v>
      </c>
      <c r="CT25" s="12">
        <f>IF('Données projet'!$A$140&gt;35,CT24+CS25-DB24,IF(A25&lt;'Données projet'!$A$140,$CQ$205^A25,IF(A25='Données projet'!$A$140,'Données projet'!$B$140,CT24+CS25-DB24)))</f>
        <v>90.074285714285764</v>
      </c>
      <c r="CU25" s="17">
        <f>CT25*VLOOKUP('Données projet'!$B$13,Paramètres!$A$1:$I$89,3,0)*VLOOKUP('Données projet'!$B$13,Paramètres!$A$1:$I$89,5,0)</f>
        <v>87.119849142857205</v>
      </c>
      <c r="CV25" s="13">
        <f t="shared" si="41"/>
        <v>23.86929255422686</v>
      </c>
      <c r="CW25" s="20">
        <f t="shared" si="13"/>
        <v>193.30608845575475</v>
      </c>
      <c r="CX25" s="59">
        <f t="shared" si="14"/>
        <v>476.86164401131032</v>
      </c>
      <c r="CY25" s="59">
        <f ca="1">AVERAGE(OFFSET($CX$3,0,0,'Données projet'!$E$13+1,1))-AVERAGE(OFFSET($H$3,0,0,'Données projet'!$E$13+1,1))</f>
        <v>676.29219382388692</v>
      </c>
      <c r="CZ25" s="59">
        <f t="shared" si="42"/>
        <v>298.25577221580448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6.7948717948717956</v>
      </c>
      <c r="EJ25" s="12">
        <f>IF('Données projet'!$A$192&gt;35,EJ24+EI25-ER24,IF(A25&lt;'Données projet'!$A$192,$EG$205^A25,IF(A25='Données projet'!$A$192,'Données projet'!$B$192,EJ24+EI25-ER24)))</f>
        <v>52.051282051282044</v>
      </c>
      <c r="EK25" s="17">
        <f>EJ25*VLOOKUP('Données projet'!$B$15,Paramètres!$A$1:$I$89,3,0)*VLOOKUP('Données projet'!$B$15,Paramètres!$A$1:$I$89,5,0)</f>
        <v>40.599999999999994</v>
      </c>
      <c r="EL25" s="13">
        <f t="shared" si="45"/>
        <v>12.15753890842374</v>
      </c>
      <c r="EM25" s="20">
        <f t="shared" si="19"/>
        <v>91.886046932171325</v>
      </c>
      <c r="EN25" s="59">
        <f t="shared" si="20"/>
        <v>375.44160248772687</v>
      </c>
      <c r="EO25" s="59">
        <f ca="1">AVERAGE(OFFSET($EN$3,0,0,'Données projet'!$E$15+1,1))-AVERAGE(OFFSET($H$3,0,0,'Données projet'!$E$15+1,1))</f>
        <v>197.51452239559433</v>
      </c>
      <c r="EP25" s="59">
        <f t="shared" si="46"/>
        <v>196.65166921588821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1.546045273782708</v>
      </c>
      <c r="EX25" s="21">
        <f>EXP(-LN(2)/2)*EX24+(1-EXP(-LN(2)/2))/(LN(2)/2)*ER25*EU25*VLOOKUP('Données projet'!$B$15,Paramètres!$A$1:$I$89,3,0)*0.475*44/12</f>
        <v>1.5055345984248016</v>
      </c>
      <c r="EY25" s="22">
        <f t="shared" si="21"/>
        <v>3.0515798722075096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473.93765339657404</v>
      </c>
      <c r="S26" s="59">
        <f ca="1">AVERAGE(OFFSET($R$3,0,0,'Données projet'!$E$9+1,1))-AVERAGE(OFFSET($H$3,0,0,'Données projet'!$E$9+1,1))</f>
        <v>635.71275911100679</v>
      </c>
      <c r="T26" s="59">
        <f t="shared" si="34"/>
        <v>281.7776857269169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4.0942857142857143</v>
      </c>
      <c r="AI26" s="13">
        <f>IF('Données projet'!$A$62&gt;35,AI25+AH26-AQ25,IF(A26&lt;'Données projet'!$A$62,$AF$205^A26,IF(A26='Données projet'!$A$62,'Données projet'!$B$62,AI25+AH26-AQ25)))</f>
        <v>94.168571428571482</v>
      </c>
      <c r="AJ26" s="13">
        <f>AI26*VLOOKUP('Données projet'!$B$10,Paramètres!$A$1:$I$89,3,0)*VLOOKUP('Données projet'!$B$10,Paramètres!$A$1:$I$89,5,0)</f>
        <v>95.486931428571495</v>
      </c>
      <c r="AK26" s="13">
        <f t="shared" si="35"/>
        <v>25.883948535791781</v>
      </c>
      <c r="AL26" s="20">
        <f t="shared" si="4"/>
        <v>211.38761593793268</v>
      </c>
      <c r="AM26" s="59">
        <f t="shared" si="5"/>
        <v>496.16539371571048</v>
      </c>
      <c r="AN26" s="59">
        <f ca="1">AVERAGE(OFFSET($AM$3,0,0,'Données projet'!$E$10+1,1))-AVERAGE(OFFSET($H$3,0,0,'Données projet'!$E$10+1,1))</f>
        <v>706.69239849991595</v>
      </c>
      <c r="AO26" s="59">
        <f t="shared" si="36"/>
        <v>310.59887275116529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89.610812571428625</v>
      </c>
      <c r="BF26" s="13">
        <f t="shared" si="37"/>
        <v>24.471338696814321</v>
      </c>
      <c r="BG26" s="20">
        <f t="shared" si="7"/>
        <v>198.69308012552312</v>
      </c>
      <c r="BH26" s="59">
        <f t="shared" si="8"/>
        <v>483.4708579033009</v>
      </c>
      <c r="BI26" s="59">
        <f ca="1">AVERAGE(OFFSET($BH$3,0,0,'Données projet'!$E$11+1,1))-AVERAGE(OFFSET($H$3,0,0,'Données projet'!$E$11+1,1))</f>
        <v>666.1523645983184</v>
      </c>
      <c r="BJ26" s="59">
        <f t="shared" si="38"/>
        <v>294.13851344047526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4.0942857142857143</v>
      </c>
      <c r="BY26" s="12">
        <f>IF('Données projet'!$A$114&gt;35,BY25+BX26-CG25,IF(A26&lt;'Données projet'!$A$114,$BV$205^A26,IF(A26='Données projet'!$A$114,'Données projet'!$B$114,BY25+BX26-CG25)))</f>
        <v>94.168571428571482</v>
      </c>
      <c r="BZ26" s="13">
        <f>BY26*VLOOKUP('Données projet'!$B$12,Paramètres!$A$1:$I$89,3,0)*VLOOKUP('Données projet'!$B$12,Paramètres!$A$1:$I$89,5,0)</f>
        <v>101.36305028571435</v>
      </c>
      <c r="CA26" s="13">
        <f t="shared" si="39"/>
        <v>27.286469175108234</v>
      </c>
      <c r="CB26" s="20">
        <f t="shared" si="10"/>
        <v>224.06457972759929</v>
      </c>
      <c r="CC26" s="59">
        <f t="shared" si="11"/>
        <v>508.84235750537709</v>
      </c>
      <c r="CD26" s="59">
        <f ca="1">AVERAGE(OFFSET($CC$3,0,0,'Données projet'!$E$12+1,1))-AVERAGE(OFFSET($H$3,0,0,'Données projet'!$E$12+1,1))</f>
        <v>747.18304127457918</v>
      </c>
      <c r="CE26" s="59">
        <f t="shared" si="40"/>
        <v>327.03701004966723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4.0942857142857143</v>
      </c>
      <c r="CT26" s="12">
        <f>IF('Données projet'!$A$140&gt;35,CT25+CS26-DB25,IF(A26&lt;'Données projet'!$A$140,$CQ$205^A26,IF(A26='Données projet'!$A$140,'Données projet'!$B$140,CT25+CS26-DB25)))</f>
        <v>94.168571428571482</v>
      </c>
      <c r="CU26" s="17">
        <f>CT26*VLOOKUP('Données projet'!$B$13,Paramètres!$A$1:$I$89,3,0)*VLOOKUP('Données projet'!$B$13,Paramètres!$A$1:$I$89,5,0)</f>
        <v>91.079842285714335</v>
      </c>
      <c r="CV26" s="13">
        <f t="shared" si="41"/>
        <v>24.825475898434359</v>
      </c>
      <c r="CW26" s="20">
        <f t="shared" si="13"/>
        <v>201.86842917072565</v>
      </c>
      <c r="CX26" s="59">
        <f t="shared" si="14"/>
        <v>486.64620694850339</v>
      </c>
      <c r="CY26" s="59">
        <f ca="1">AVERAGE(OFFSET($CX$3,0,0,'Données projet'!$E$13+1,1))-AVERAGE(OFFSET($H$3,0,0,'Données projet'!$E$13+1,1))</f>
        <v>676.29219382388692</v>
      </c>
      <c r="CZ26" s="59">
        <f t="shared" si="42"/>
        <v>298.25577221580448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6.7948717948717956</v>
      </c>
      <c r="EJ26" s="12">
        <f>IF('Données projet'!$A$192&gt;35,EJ25+EI26-ER25,IF(A26&lt;'Données projet'!$A$192,$EG$205^A26,IF(A26='Données projet'!$A$192,'Données projet'!$B$192,EJ25+EI26-ER25)))</f>
        <v>58.84615384615384</v>
      </c>
      <c r="EK26" s="17">
        <f>EJ26*VLOOKUP('Données projet'!$B$15,Paramètres!$A$1:$I$89,3,0)*VLOOKUP('Données projet'!$B$15,Paramètres!$A$1:$I$89,5,0)</f>
        <v>45.9</v>
      </c>
      <c r="EL26" s="13">
        <f t="shared" si="45"/>
        <v>13.549702311318182</v>
      </c>
      <c r="EM26" s="20">
        <f t="shared" si="19"/>
        <v>103.54156485887916</v>
      </c>
      <c r="EN26" s="59">
        <f t="shared" si="20"/>
        <v>388.31934263665693</v>
      </c>
      <c r="EO26" s="59">
        <f ca="1">AVERAGE(OFFSET($EN$3,0,0,'Données projet'!$E$15+1,1))-AVERAGE(OFFSET($H$3,0,0,'Données projet'!$E$15+1,1))</f>
        <v>197.51452239559433</v>
      </c>
      <c r="EP26" s="59">
        <f t="shared" si="46"/>
        <v>196.65166921588821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1.5037685844681323</v>
      </c>
      <c r="EX26" s="21">
        <f>EXP(-LN(2)/2)*EX25+(1-EXP(-LN(2)/2))/(LN(2)/2)*ER26*EU26*VLOOKUP('Données projet'!$B$15,Paramètres!$A$1:$I$89,3,0)*0.475*44/12</f>
        <v>1.0645737238571429</v>
      </c>
      <c r="EY26" s="22">
        <f t="shared" si="21"/>
        <v>2.568342308325275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483.17401979403189</v>
      </c>
      <c r="S27" s="59">
        <f ca="1">AVERAGE(OFFSET($R$3,0,0,'Données projet'!$E$9+1,1))-AVERAGE(OFFSET($H$3,0,0,'Données projet'!$E$9+1,1))</f>
        <v>635.71275911100679</v>
      </c>
      <c r="T27" s="59">
        <f t="shared" si="34"/>
        <v>281.7776857269169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4.0942857142857143</v>
      </c>
      <c r="AI27" s="13">
        <f>IF('Données projet'!$A$62&gt;35,AI26+AH27-AQ26,IF(A27&lt;'Données projet'!$A$62,$AF$205^A27,IF(A27='Données projet'!$A$62,'Données projet'!$B$62,AI26+AH27-AQ26)))</f>
        <v>98.2628571428572</v>
      </c>
      <c r="AJ27" s="13">
        <f>AI27*VLOOKUP('Données projet'!$B$10,Paramètres!$A$1:$I$89,3,0)*VLOOKUP('Données projet'!$B$10,Paramètres!$A$1:$I$89,5,0)</f>
        <v>99.638537142857203</v>
      </c>
      <c r="AK27" s="13">
        <f t="shared" si="35"/>
        <v>26.875865866848134</v>
      </c>
      <c r="AL27" s="20">
        <f t="shared" si="4"/>
        <v>220.34591857523677</v>
      </c>
      <c r="AM27" s="59">
        <f t="shared" si="5"/>
        <v>506.34591857523674</v>
      </c>
      <c r="AN27" s="59">
        <f ca="1">AVERAGE(OFFSET($AM$3,0,0,'Données projet'!$E$10+1,1))-AVERAGE(OFFSET($H$3,0,0,'Données projet'!$E$10+1,1))</f>
        <v>706.69239849991595</v>
      </c>
      <c r="AO27" s="59">
        <f t="shared" si="36"/>
        <v>310.59887275116529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93.506934857142909</v>
      </c>
      <c r="BF27" s="13">
        <f t="shared" si="37"/>
        <v>25.409122394458233</v>
      </c>
      <c r="BG27" s="20">
        <f t="shared" si="7"/>
        <v>207.11213304653862</v>
      </c>
      <c r="BH27" s="59">
        <f t="shared" si="8"/>
        <v>493.11213304653859</v>
      </c>
      <c r="BI27" s="59">
        <f ca="1">AVERAGE(OFFSET($BH$3,0,0,'Données projet'!$E$11+1,1))-AVERAGE(OFFSET($H$3,0,0,'Données projet'!$E$11+1,1))</f>
        <v>666.1523645983184</v>
      </c>
      <c r="BJ27" s="59">
        <f t="shared" si="38"/>
        <v>294.13851344047526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4.0942857142857143</v>
      </c>
      <c r="BY27" s="12">
        <f>IF('Données projet'!$A$114&gt;35,BY26+BX27-CG26,IF(A27&lt;'Données projet'!$A$114,$BV$205^A27,IF(A27='Données projet'!$A$114,'Données projet'!$B$114,BY26+BX27-CG26)))</f>
        <v>98.2628571428572</v>
      </c>
      <c r="BZ27" s="13">
        <f>BY27*VLOOKUP('Données projet'!$B$12,Paramètres!$A$1:$I$89,3,0)*VLOOKUP('Données projet'!$B$12,Paramètres!$A$1:$I$89,5,0)</f>
        <v>105.77013942857148</v>
      </c>
      <c r="CA27" s="13">
        <f t="shared" si="39"/>
        <v>28.332133504130443</v>
      </c>
      <c r="CB27" s="20">
        <f t="shared" si="10"/>
        <v>233.56145869112254</v>
      </c>
      <c r="CC27" s="59">
        <f t="shared" si="11"/>
        <v>519.56145869112254</v>
      </c>
      <c r="CD27" s="59">
        <f ca="1">AVERAGE(OFFSET($CC$3,0,0,'Données projet'!$E$12+1,1))-AVERAGE(OFFSET($H$3,0,0,'Données projet'!$E$12+1,1))</f>
        <v>747.18304127457918</v>
      </c>
      <c r="CE27" s="59">
        <f t="shared" si="40"/>
        <v>327.03701004966723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4.0942857142857143</v>
      </c>
      <c r="CT27" s="12">
        <f>IF('Données projet'!$A$140&gt;35,CT26+CS27-DB26,IF(A27&lt;'Données projet'!$A$140,$CQ$205^A27,IF(A27='Données projet'!$A$140,'Données projet'!$B$140,CT26+CS27-DB26)))</f>
        <v>98.2628571428572</v>
      </c>
      <c r="CU27" s="17">
        <f>CT27*VLOOKUP('Données projet'!$B$13,Paramètres!$A$1:$I$89,3,0)*VLOOKUP('Données projet'!$B$13,Paramètres!$A$1:$I$89,5,0)</f>
        <v>95.039835428571493</v>
      </c>
      <c r="CV27" s="13">
        <f t="shared" si="41"/>
        <v>25.776830741430107</v>
      </c>
      <c r="CW27" s="20">
        <f t="shared" si="13"/>
        <v>210.4223602460861</v>
      </c>
      <c r="CX27" s="59">
        <f t="shared" si="14"/>
        <v>496.4223602460861</v>
      </c>
      <c r="CY27" s="59">
        <f ca="1">AVERAGE(OFFSET($CX$3,0,0,'Données projet'!$E$13+1,1))-AVERAGE(OFFSET($H$3,0,0,'Données projet'!$E$13+1,1))</f>
        <v>676.29219382388692</v>
      </c>
      <c r="CZ27" s="59">
        <f t="shared" si="42"/>
        <v>298.25577221580448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6.7948717948717956</v>
      </c>
      <c r="EJ27" s="12">
        <f>IF('Données projet'!$A$192&gt;35,EJ26+EI27-ER26,IF(A27&lt;'Données projet'!$A$192,$EG$205^A27,IF(A27='Données projet'!$A$192,'Données projet'!$B$192,EJ26+EI27-ER26)))</f>
        <v>65.641025641025635</v>
      </c>
      <c r="EK27" s="17">
        <f>EJ27*VLOOKUP('Données projet'!$B$15,Paramètres!$A$1:$I$89,3,0)*VLOOKUP('Données projet'!$B$15,Paramètres!$A$1:$I$89,5,0)</f>
        <v>51.199999999999996</v>
      </c>
      <c r="EL27" s="13">
        <f t="shared" si="45"/>
        <v>14.923235838479547</v>
      </c>
      <c r="EM27" s="20">
        <f t="shared" si="19"/>
        <v>115.16463575201853</v>
      </c>
      <c r="EN27" s="59">
        <f t="shared" si="20"/>
        <v>401.16463575201851</v>
      </c>
      <c r="EO27" s="59">
        <f ca="1">AVERAGE(OFFSET($EN$3,0,0,'Données projet'!$E$15+1,1))-AVERAGE(OFFSET($H$3,0,0,'Données projet'!$E$15+1,1))</f>
        <v>197.51452239559433</v>
      </c>
      <c r="EP27" s="59">
        <f t="shared" si="46"/>
        <v>196.65166921588821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1.4626479534460983</v>
      </c>
      <c r="EX27" s="21">
        <f>EXP(-LN(2)/2)*EX26+(1-EXP(-LN(2)/2))/(LN(2)/2)*ER27*EU27*VLOOKUP('Données projet'!$B$15,Paramètres!$A$1:$I$89,3,0)*0.475*44/12</f>
        <v>0.75276729921240082</v>
      </c>
      <c r="EY27" s="22">
        <f t="shared" si="21"/>
        <v>2.2154152526584991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492.40282592710264</v>
      </c>
      <c r="S28" s="59">
        <f ca="1">AVERAGE(OFFSET($R$3,0,0,'Données projet'!$E$9+1,1))-AVERAGE(OFFSET($H$3,0,0,'Données projet'!$E$9+1,1))</f>
        <v>635.71275911100679</v>
      </c>
      <c r="T28" s="59">
        <f t="shared" si="34"/>
        <v>281.7776857269169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4.0942857142857143</v>
      </c>
      <c r="AI28" s="13">
        <f>IF('Données projet'!$A$62&gt;35,AI27+AH28-AQ27,IF(A28&lt;'Données projet'!$A$62,$AF$205^A28,IF(A28='Données projet'!$A$62,'Données projet'!$B$62,AI27+AH28-AQ27)))</f>
        <v>102.35714285714292</v>
      </c>
      <c r="AJ28" s="13">
        <f>AI28*VLOOKUP('Données projet'!$B$10,Paramètres!$A$1:$I$89,3,0)*VLOOKUP('Données projet'!$B$10,Paramètres!$A$1:$I$89,5,0)</f>
        <v>103.79014285714292</v>
      </c>
      <c r="AK28" s="13">
        <f t="shared" si="35"/>
        <v>27.862982579231517</v>
      </c>
      <c r="AL28" s="20">
        <f t="shared" si="4"/>
        <v>229.29586013501878</v>
      </c>
      <c r="AM28" s="59">
        <f t="shared" si="5"/>
        <v>516.51808235724104</v>
      </c>
      <c r="AN28" s="59">
        <f ca="1">AVERAGE(OFFSET($AM$3,0,0,'Données projet'!$E$10+1,1))-AVERAGE(OFFSET($H$3,0,0,'Données projet'!$E$10+1,1))</f>
        <v>706.69239849991595</v>
      </c>
      <c r="AO28" s="59">
        <f t="shared" si="36"/>
        <v>310.59887275116529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97.403057142857193</v>
      </c>
      <c r="BF28" s="13">
        <f t="shared" si="37"/>
        <v>26.342367465959477</v>
      </c>
      <c r="BG28" s="20">
        <f t="shared" si="7"/>
        <v>215.52328119368903</v>
      </c>
      <c r="BH28" s="59">
        <f t="shared" si="8"/>
        <v>502.74550341591123</v>
      </c>
      <c r="BI28" s="59">
        <f ca="1">AVERAGE(OFFSET($BH$3,0,0,'Données projet'!$E$11+1,1))-AVERAGE(OFFSET($H$3,0,0,'Données projet'!$E$11+1,1))</f>
        <v>666.1523645983184</v>
      </c>
      <c r="BJ28" s="59">
        <f t="shared" si="38"/>
        <v>294.13851344047526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4.0942857142857143</v>
      </c>
      <c r="BY28" s="12">
        <f>IF('Données projet'!$A$114&gt;35,BY27+BX28-CG27,IF(A28&lt;'Données projet'!$A$114,$BV$205^A28,IF(A28='Données projet'!$A$114,'Données projet'!$B$114,BY27+BX28-CG27)))</f>
        <v>102.35714285714292</v>
      </c>
      <c r="BZ28" s="13">
        <f>BY28*VLOOKUP('Données projet'!$B$12,Paramètres!$A$1:$I$89,3,0)*VLOOKUP('Données projet'!$B$12,Paramètres!$A$1:$I$89,5,0)</f>
        <v>110.17722857142863</v>
      </c>
      <c r="CA28" s="13">
        <f t="shared" si="39"/>
        <v>29.37273709316317</v>
      </c>
      <c r="CB28" s="20">
        <f t="shared" si="10"/>
        <v>243.04952353249737</v>
      </c>
      <c r="CC28" s="59">
        <f t="shared" si="11"/>
        <v>530.27174575471963</v>
      </c>
      <c r="CD28" s="59">
        <f ca="1">AVERAGE(OFFSET($CC$3,0,0,'Données projet'!$E$12+1,1))-AVERAGE(OFFSET($H$3,0,0,'Données projet'!$E$12+1,1))</f>
        <v>747.18304127457918</v>
      </c>
      <c r="CE28" s="59">
        <f t="shared" si="40"/>
        <v>327.03701004966723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4.0942857142857143</v>
      </c>
      <c r="CT28" s="12">
        <f>IF('Données projet'!$A$140&gt;35,CT27+CS28-DB27,IF(A28&lt;'Données projet'!$A$140,$CQ$205^A28,IF(A28='Données projet'!$A$140,'Données projet'!$B$140,CT27+CS28-DB27)))</f>
        <v>102.35714285714292</v>
      </c>
      <c r="CU28" s="17">
        <f>CT28*VLOOKUP('Données projet'!$B$13,Paramètres!$A$1:$I$89,3,0)*VLOOKUP('Données projet'!$B$13,Paramètres!$A$1:$I$89,5,0)</f>
        <v>98.999828571428623</v>
      </c>
      <c r="CV28" s="13">
        <f t="shared" si="41"/>
        <v>26.723581277513482</v>
      </c>
      <c r="CW28" s="20">
        <f t="shared" si="13"/>
        <v>218.96827215357416</v>
      </c>
      <c r="CX28" s="59">
        <f t="shared" si="14"/>
        <v>506.19049437579639</v>
      </c>
      <c r="CY28" s="59">
        <f ca="1">AVERAGE(OFFSET($CX$3,0,0,'Données projet'!$E$13+1,1))-AVERAGE(OFFSET($H$3,0,0,'Données projet'!$E$13+1,1))</f>
        <v>676.29219382388692</v>
      </c>
      <c r="CZ28" s="59">
        <f t="shared" si="42"/>
        <v>298.25577221580448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72.435897435897431</v>
      </c>
      <c r="EH28" s="12">
        <f>VLOOKUP(A28,'Données projet'!$A$191:$I$211,9,0)</f>
        <v>6.7948717948717956</v>
      </c>
      <c r="EI28" s="12">
        <f t="array" ref="EI28">INDEX(EH:EH,MIN(IF(ISNUMBER(EH28:EH224),ROW(EH28:EH224),"")))</f>
        <v>6.7948717948717956</v>
      </c>
      <c r="EJ28" s="12">
        <f>IF('Données projet'!$A$192&gt;35,EJ27+EI28-ER27,IF(A28&lt;'Données projet'!$A$192,$EG$205^A28,IF(A28='Données projet'!$A$192,'Données projet'!$B$192,EJ27+EI28-ER27)))</f>
        <v>72.435897435897431</v>
      </c>
      <c r="EK28" s="17">
        <f>EJ28*VLOOKUP('Données projet'!$B$15,Paramètres!$A$1:$I$89,3,0)*VLOOKUP('Données projet'!$B$15,Paramètres!$A$1:$I$89,5,0)</f>
        <v>56.5</v>
      </c>
      <c r="EL28" s="13">
        <f t="shared" si="45"/>
        <v>16.280287626136957</v>
      </c>
      <c r="EM28" s="20">
        <f t="shared" si="19"/>
        <v>126.75900094885519</v>
      </c>
      <c r="EN28" s="59">
        <f t="shared" si="20"/>
        <v>413.98122317107743</v>
      </c>
      <c r="EO28" s="59">
        <f ca="1">AVERAGE(OFFSET($EN$3,0,0,'Données projet'!$E$15+1,1))-AVERAGE(OFFSET($H$3,0,0,'Données projet'!$E$15+1,1))</f>
        <v>197.51452239559433</v>
      </c>
      <c r="EP28" s="59">
        <f t="shared" si="46"/>
        <v>196.65166921588821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17.307692307692307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0.1075</v>
      </c>
      <c r="EU28" s="16">
        <f>IF(ISNA(VLOOKUP(A28,'Données projet'!$A$191:$I$211,7,0)),0%,VLOOKUP(A28,'Données projet'!$A$191:$I$211,7,0))</f>
        <v>0.25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3.0206488614692537</v>
      </c>
      <c r="EX28" s="21">
        <f>EXP(-LN(2)/2)*EX27+(1-EXP(-LN(2)/2))/(LN(2)/2)*ER28*EU28*VLOOKUP('Données projet'!$B$15,Paramètres!$A$1:$I$89,3,0)*0.475*44/12</f>
        <v>3.7166901987217562</v>
      </c>
      <c r="EY28" s="22">
        <f t="shared" si="21"/>
        <v>6.7373390601910099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501.62440880535223</v>
      </c>
      <c r="S29" s="59">
        <f ca="1">AVERAGE(OFFSET($R$3,0,0,'Données projet'!$E$9+1,1))-AVERAGE(OFFSET($H$3,0,0,'Données projet'!$E$9+1,1))</f>
        <v>635.71275911100679</v>
      </c>
      <c r="T29" s="59">
        <f t="shared" si="34"/>
        <v>281.7776857269169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4.0942857142857143</v>
      </c>
      <c r="AI29" s="13">
        <f>IF('Données projet'!$A$62&gt;35,AI28+AH29-AQ28,IF(A29&lt;'Données projet'!$A$62,$AF$205^A29,IF(A29='Données projet'!$A$62,'Données projet'!$B$62,AI28+AH29-AQ28)))</f>
        <v>106.45142857142864</v>
      </c>
      <c r="AJ29" s="13">
        <f>AI29*VLOOKUP('Données projet'!$B$10,Paramètres!$A$1:$I$89,3,0)*VLOOKUP('Données projet'!$B$10,Paramètres!$A$1:$I$89,5,0)</f>
        <v>107.94174857142863</v>
      </c>
      <c r="AK29" s="13">
        <f t="shared" si="35"/>
        <v>28.845512667364968</v>
      </c>
      <c r="AL29" s="20">
        <f t="shared" si="4"/>
        <v>238.23781332423221</v>
      </c>
      <c r="AM29" s="59">
        <f t="shared" si="5"/>
        <v>526.68225776867666</v>
      </c>
      <c r="AN29" s="59">
        <f ca="1">AVERAGE(OFFSET($AM$3,0,0,'Données projet'!$E$10+1,1))-AVERAGE(OFFSET($H$3,0,0,'Données projet'!$E$10+1,1))</f>
        <v>706.69239849991595</v>
      </c>
      <c r="AO29" s="59">
        <f t="shared" si="36"/>
        <v>310.59887275116529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101.29917942857151</v>
      </c>
      <c r="BF29" s="13">
        <f t="shared" si="37"/>
        <v>27.271276227050439</v>
      </c>
      <c r="BG29" s="20">
        <f t="shared" si="7"/>
        <v>223.92687693354154</v>
      </c>
      <c r="BH29" s="59">
        <f t="shared" si="8"/>
        <v>512.37132137798596</v>
      </c>
      <c r="BI29" s="59">
        <f ca="1">AVERAGE(OFFSET($BH$3,0,0,'Données projet'!$E$11+1,1))-AVERAGE(OFFSET($H$3,0,0,'Données projet'!$E$11+1,1))</f>
        <v>666.1523645983184</v>
      </c>
      <c r="BJ29" s="59">
        <f t="shared" si="38"/>
        <v>294.13851344047526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4.0942857142857143</v>
      </c>
      <c r="BY29" s="12">
        <f>IF('Données projet'!$A$114&gt;35,BY28+BX29-CG28,IF(A29&lt;'Données projet'!$A$114,$BV$205^A29,IF(A29='Données projet'!$A$114,'Données projet'!$B$114,BY28+BX29-CG28)))</f>
        <v>106.45142857142864</v>
      </c>
      <c r="BZ29" s="13">
        <f>BY29*VLOOKUP('Données projet'!$B$12,Paramètres!$A$1:$I$89,3,0)*VLOOKUP('Données projet'!$B$12,Paramètres!$A$1:$I$89,5,0)</f>
        <v>114.58431771428577</v>
      </c>
      <c r="CA29" s="13">
        <f t="shared" si="39"/>
        <v>30.408505531908048</v>
      </c>
      <c r="CB29" s="20">
        <f t="shared" si="10"/>
        <v>252.5291671537876</v>
      </c>
      <c r="CC29" s="59">
        <f t="shared" si="11"/>
        <v>540.97361159823208</v>
      </c>
      <c r="CD29" s="59">
        <f ca="1">AVERAGE(OFFSET($CC$3,0,0,'Données projet'!$E$12+1,1))-AVERAGE(OFFSET($H$3,0,0,'Données projet'!$E$12+1,1))</f>
        <v>747.18304127457918</v>
      </c>
      <c r="CE29" s="59">
        <f t="shared" si="40"/>
        <v>327.03701004966723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4.0942857142857143</v>
      </c>
      <c r="CT29" s="12">
        <f>IF('Données projet'!$A$140&gt;35,CT28+CS29-DB28,IF(A29&lt;'Données projet'!$A$140,$CQ$205^A29,IF(A29='Données projet'!$A$140,'Données projet'!$B$140,CT28+CS29-DB28)))</f>
        <v>106.45142857142864</v>
      </c>
      <c r="CU29" s="17">
        <f>CT29*VLOOKUP('Données projet'!$B$13,Paramètres!$A$1:$I$89,3,0)*VLOOKUP('Données projet'!$B$13,Paramètres!$A$1:$I$89,5,0)</f>
        <v>102.95982171428578</v>
      </c>
      <c r="CV29" s="13">
        <f t="shared" si="41"/>
        <v>27.665932750230837</v>
      </c>
      <c r="CW29" s="20">
        <f t="shared" si="13"/>
        <v>227.50652235903308</v>
      </c>
      <c r="CX29" s="59">
        <f t="shared" si="14"/>
        <v>515.95096680347751</v>
      </c>
      <c r="CY29" s="59">
        <f ca="1">AVERAGE(OFFSET($CX$3,0,0,'Données projet'!$E$13+1,1))-AVERAGE(OFFSET($H$3,0,0,'Données projet'!$E$13+1,1))</f>
        <v>676.29219382388692</v>
      </c>
      <c r="CZ29" s="59">
        <f t="shared" si="42"/>
        <v>298.25577221580448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7.3717948717948714</v>
      </c>
      <c r="EJ29" s="12">
        <f>IF('Données projet'!$A$192&gt;35,EJ28+EI29-ER28,IF(A29&lt;'Données projet'!$A$192,$EG$205^A29,IF(A29='Données projet'!$A$192,'Données projet'!$B$192,EJ28+EI29-ER28)))</f>
        <v>62.5</v>
      </c>
      <c r="EK29" s="17">
        <f>EJ29*VLOOKUP('Données projet'!$B$15,Paramètres!$A$1:$I$89,3,0)*VLOOKUP('Données projet'!$B$15,Paramètres!$A$1:$I$89,5,0)</f>
        <v>48.75</v>
      </c>
      <c r="EL29" s="13">
        <f t="shared" si="45"/>
        <v>14.290467583875053</v>
      </c>
      <c r="EM29" s="20">
        <f t="shared" si="19"/>
        <v>109.79548104191571</v>
      </c>
      <c r="EN29" s="59">
        <f t="shared" si="20"/>
        <v>398.23992548636016</v>
      </c>
      <c r="EO29" s="59">
        <f ca="1">AVERAGE(OFFSET($EN$3,0,0,'Données projet'!$E$15+1,1))-AVERAGE(OFFSET($H$3,0,0,'Données projet'!$E$15+1,1))</f>
        <v>197.51452239559433</v>
      </c>
      <c r="EP29" s="59">
        <f t="shared" si="46"/>
        <v>196.65166921588821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2.9380490595033573</v>
      </c>
      <c r="EX29" s="21">
        <f>EXP(-LN(2)/2)*EX28+(1-EXP(-LN(2)/2))/(LN(2)/2)*ER29*EU29*VLOOKUP('Données projet'!$B$15,Paramètres!$A$1:$I$89,3,0)*0.475*44/12</f>
        <v>2.6280968430857308</v>
      </c>
      <c r="EY29" s="22">
        <f t="shared" si="21"/>
        <v>5.5661459025890885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510.83907804643553</v>
      </c>
      <c r="S30" s="59">
        <f ca="1">AVERAGE(OFFSET($R$3,0,0,'Données projet'!$E$9+1,1))-AVERAGE(OFFSET($H$3,0,0,'Données projet'!$E$9+1,1))</f>
        <v>635.71275911100679</v>
      </c>
      <c r="T30" s="59">
        <f t="shared" si="34"/>
        <v>281.7776857269169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4.0942857142857143</v>
      </c>
      <c r="AI30" s="13">
        <f>IF('Données projet'!$A$62&gt;35,AI29+AH30-AQ29,IF(A30&lt;'Données projet'!$A$62,$AF$205^A30,IF(A30='Données projet'!$A$62,'Données projet'!$B$62,AI29+AH30-AQ29)))</f>
        <v>110.54571428571435</v>
      </c>
      <c r="AJ30" s="13">
        <f>AI30*VLOOKUP('Données projet'!$B$10,Paramètres!$A$1:$I$89,3,0)*VLOOKUP('Données projet'!$B$10,Paramètres!$A$1:$I$89,5,0)</f>
        <v>112.09335428571437</v>
      </c>
      <c r="AK30" s="13">
        <f t="shared" si="35"/>
        <v>29.823652732348606</v>
      </c>
      <c r="AL30" s="20">
        <f t="shared" si="4"/>
        <v>247.17212055645965</v>
      </c>
      <c r="AM30" s="59">
        <f t="shared" si="5"/>
        <v>536.83878722312636</v>
      </c>
      <c r="AN30" s="59">
        <f ca="1">AVERAGE(OFFSET($AM$3,0,0,'Données projet'!$E$10+1,1))-AVERAGE(OFFSET($H$3,0,0,'Données projet'!$E$10+1,1))</f>
        <v>706.69239849991595</v>
      </c>
      <c r="AO30" s="59">
        <f t="shared" si="36"/>
        <v>310.59887275116529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105.19530171428579</v>
      </c>
      <c r="BF30" s="13">
        <f t="shared" si="37"/>
        <v>28.196034549376744</v>
      </c>
      <c r="BG30" s="20">
        <f t="shared" si="7"/>
        <v>232.32324399254557</v>
      </c>
      <c r="BH30" s="59">
        <f t="shared" si="8"/>
        <v>521.98991065921223</v>
      </c>
      <c r="BI30" s="59">
        <f ca="1">AVERAGE(OFFSET($BH$3,0,0,'Données projet'!$E$11+1,1))-AVERAGE(OFFSET($H$3,0,0,'Données projet'!$E$11+1,1))</f>
        <v>666.1523645983184</v>
      </c>
      <c r="BJ30" s="59">
        <f t="shared" si="38"/>
        <v>294.13851344047526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4.0942857142857143</v>
      </c>
      <c r="BY30" s="12">
        <f>IF('Données projet'!$A$114&gt;35,BY29+BX30-CG29,IF(A30&lt;'Données projet'!$A$114,$BV$205^A30,IF(A30='Données projet'!$A$114,'Données projet'!$B$114,BY29+BX30-CG29)))</f>
        <v>110.54571428571435</v>
      </c>
      <c r="BZ30" s="13">
        <f>BY30*VLOOKUP('Données projet'!$B$12,Paramètres!$A$1:$I$89,3,0)*VLOOKUP('Données projet'!$B$12,Paramètres!$A$1:$I$89,5,0)</f>
        <v>118.99140685714293</v>
      </c>
      <c r="CA30" s="13">
        <f t="shared" si="39"/>
        <v>31.439646074287381</v>
      </c>
      <c r="CB30" s="20">
        <f t="shared" si="10"/>
        <v>262.00075052224111</v>
      </c>
      <c r="CC30" s="59">
        <f t="shared" si="11"/>
        <v>551.66741718890785</v>
      </c>
      <c r="CD30" s="59">
        <f ca="1">AVERAGE(OFFSET($CC$3,0,0,'Données projet'!$E$12+1,1))-AVERAGE(OFFSET($H$3,0,0,'Données projet'!$E$12+1,1))</f>
        <v>747.18304127457918</v>
      </c>
      <c r="CE30" s="59">
        <f t="shared" si="40"/>
        <v>327.03701004966723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4.0942857142857143</v>
      </c>
      <c r="CT30" s="12">
        <f>IF('Données projet'!$A$140&gt;35,CT29+CS30-DB29,IF(A30&lt;'Données projet'!$A$140,$CQ$205^A30,IF(A30='Données projet'!$A$140,'Données projet'!$B$140,CT29+CS30-DB29)))</f>
        <v>110.54571428571435</v>
      </c>
      <c r="CU30" s="17">
        <f>CT30*VLOOKUP('Données projet'!$B$13,Paramètres!$A$1:$I$89,3,0)*VLOOKUP('Données projet'!$B$13,Paramètres!$A$1:$I$89,5,0)</f>
        <v>106.91981485714292</v>
      </c>
      <c r="CV30" s="13">
        <f t="shared" si="41"/>
        <v>28.604073721071018</v>
      </c>
      <c r="CW30" s="20">
        <f t="shared" si="13"/>
        <v>236.03743927372258</v>
      </c>
      <c r="CX30" s="59">
        <f t="shared" si="14"/>
        <v>525.70410594038924</v>
      </c>
      <c r="CY30" s="59">
        <f ca="1">AVERAGE(OFFSET($CX$3,0,0,'Données projet'!$E$13+1,1))-AVERAGE(OFFSET($H$3,0,0,'Données projet'!$E$13+1,1))</f>
        <v>676.29219382388692</v>
      </c>
      <c r="CZ30" s="59">
        <f t="shared" si="42"/>
        <v>298.25577221580448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7.3717948717948714</v>
      </c>
      <c r="EJ30" s="12">
        <f>IF('Données projet'!$A$192&gt;35,EJ29+EI30-ER29,IF(A30&lt;'Données projet'!$A$192,$EG$205^A30,IF(A30='Données projet'!$A$192,'Données projet'!$B$192,EJ29+EI30-ER29)))</f>
        <v>69.871794871794876</v>
      </c>
      <c r="EK30" s="17">
        <f>EJ30*VLOOKUP('Données projet'!$B$15,Paramètres!$A$1:$I$89,3,0)*VLOOKUP('Données projet'!$B$15,Paramètres!$A$1:$I$89,5,0)</f>
        <v>54.500000000000007</v>
      </c>
      <c r="EL30" s="13">
        <f t="shared" si="45"/>
        <v>15.770011654349027</v>
      </c>
      <c r="EM30" s="20">
        <f t="shared" si="19"/>
        <v>122.38693696465789</v>
      </c>
      <c r="EN30" s="59">
        <f t="shared" si="20"/>
        <v>412.05360363132456</v>
      </c>
      <c r="EO30" s="59">
        <f ca="1">AVERAGE(OFFSET($EN$3,0,0,'Données projet'!$E$15+1,1))-AVERAGE(OFFSET($H$3,0,0,'Données projet'!$E$15+1,1))</f>
        <v>197.51452239559433</v>
      </c>
      <c r="EP30" s="59">
        <f t="shared" si="46"/>
        <v>196.65166921588821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2.8577079534659529</v>
      </c>
      <c r="EX30" s="21">
        <f>EXP(-LN(2)/2)*EX29+(1-EXP(-LN(2)/2))/(LN(2)/2)*ER30*EU30*VLOOKUP('Données projet'!$B$15,Paramètres!$A$1:$I$89,3,0)*0.475*44/12</f>
        <v>1.8583450993608783</v>
      </c>
      <c r="EY30" s="22">
        <f t="shared" si="21"/>
        <v>4.7160530528268314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520.04711903389557</v>
      </c>
      <c r="S31" s="59">
        <f ca="1">AVERAGE(OFFSET($R$3,0,0,'Données projet'!$E$9+1,1))-AVERAGE(OFFSET($H$3,0,0,'Données projet'!$E$9+1,1))</f>
        <v>635.71275911100679</v>
      </c>
      <c r="T31" s="59">
        <f t="shared" si="34"/>
        <v>281.7776857269169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4.0942857142857143</v>
      </c>
      <c r="AI31" s="13">
        <f>IF('Données projet'!$A$62&gt;35,AI30+AH31-AQ30,IF(A31&lt;'Données projet'!$A$62,$AF$205^A31,IF(A31='Données projet'!$A$62,'Données projet'!$B$62,AI30+AH31-AQ30)))</f>
        <v>114.64000000000007</v>
      </c>
      <c r="AJ31" s="13">
        <f>AI31*VLOOKUP('Données projet'!$B$10,Paramètres!$A$1:$I$89,3,0)*VLOOKUP('Données projet'!$B$10,Paramètres!$A$1:$I$89,5,0)</f>
        <v>116.24496000000008</v>
      </c>
      <c r="AK31" s="13">
        <f t="shared" si="35"/>
        <v>30.797583987099902</v>
      </c>
      <c r="AL31" s="20">
        <f t="shared" si="4"/>
        <v>256.09909744419912</v>
      </c>
      <c r="AM31" s="59">
        <f t="shared" si="5"/>
        <v>546.98798633308797</v>
      </c>
      <c r="AN31" s="59">
        <f ca="1">AVERAGE(OFFSET($AM$3,0,0,'Données projet'!$E$10+1,1))-AVERAGE(OFFSET($H$3,0,0,'Données projet'!$E$10+1,1))</f>
        <v>706.69239849991595</v>
      </c>
      <c r="AO31" s="59">
        <f t="shared" si="36"/>
        <v>310.59887275116529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109.09142400000007</v>
      </c>
      <c r="BF31" s="13">
        <f t="shared" si="37"/>
        <v>29.116813756207414</v>
      </c>
      <c r="BG31" s="20">
        <f t="shared" si="7"/>
        <v>240.71268075872808</v>
      </c>
      <c r="BH31" s="59">
        <f t="shared" si="8"/>
        <v>531.601569647617</v>
      </c>
      <c r="BI31" s="59">
        <f ca="1">AVERAGE(OFFSET($BH$3,0,0,'Données projet'!$E$11+1,1))-AVERAGE(OFFSET($H$3,0,0,'Données projet'!$E$11+1,1))</f>
        <v>666.1523645983184</v>
      </c>
      <c r="BJ31" s="59">
        <f t="shared" si="38"/>
        <v>294.13851344047526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4.0942857142857143</v>
      </c>
      <c r="BY31" s="12">
        <f>IF('Données projet'!$A$114&gt;35,BY30+BX31-CG30,IF(A31&lt;'Données projet'!$A$114,$BV$205^A31,IF(A31='Données projet'!$A$114,'Données projet'!$B$114,BY30+BX31-CG30)))</f>
        <v>114.64000000000007</v>
      </c>
      <c r="BZ31" s="13">
        <f>BY31*VLOOKUP('Données projet'!$B$12,Paramètres!$A$1:$I$89,3,0)*VLOOKUP('Données projet'!$B$12,Paramètres!$A$1:$I$89,5,0)</f>
        <v>123.39849600000008</v>
      </c>
      <c r="CA31" s="13">
        <f t="shared" si="39"/>
        <v>32.466349752232674</v>
      </c>
      <c r="CB31" s="20">
        <f t="shared" si="10"/>
        <v>271.4646063518054</v>
      </c>
      <c r="CC31" s="59">
        <f t="shared" si="11"/>
        <v>562.3534952406942</v>
      </c>
      <c r="CD31" s="59">
        <f ca="1">AVERAGE(OFFSET($CC$3,0,0,'Données projet'!$E$12+1,1))-AVERAGE(OFFSET($H$3,0,0,'Données projet'!$E$12+1,1))</f>
        <v>747.18304127457918</v>
      </c>
      <c r="CE31" s="59">
        <f t="shared" si="40"/>
        <v>327.03701004966723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4.0942857142857143</v>
      </c>
      <c r="CT31" s="12">
        <f>IF('Données projet'!$A$140&gt;35,CT30+CS31-DB30,IF(A31&lt;'Données projet'!$A$140,$CQ$205^A31,IF(A31='Données projet'!$A$140,'Données projet'!$B$140,CT30+CS31-DB30)))</f>
        <v>114.64000000000007</v>
      </c>
      <c r="CU31" s="17">
        <f>CT31*VLOOKUP('Données projet'!$B$13,Paramètres!$A$1:$I$89,3,0)*VLOOKUP('Données projet'!$B$13,Paramètres!$A$1:$I$89,5,0)</f>
        <v>110.87980800000008</v>
      </c>
      <c r="CV31" s="13">
        <f t="shared" si="41"/>
        <v>29.538177992609299</v>
      </c>
      <c r="CW31" s="20">
        <f t="shared" si="13"/>
        <v>244.56132560379464</v>
      </c>
      <c r="CX31" s="59">
        <f t="shared" si="14"/>
        <v>535.45021449268347</v>
      </c>
      <c r="CY31" s="59">
        <f ca="1">AVERAGE(OFFSET($CX$3,0,0,'Données projet'!$E$13+1,1))-AVERAGE(OFFSET($H$3,0,0,'Données projet'!$E$13+1,1))</f>
        <v>676.29219382388692</v>
      </c>
      <c r="CZ31" s="59">
        <f t="shared" si="42"/>
        <v>298.25577221580448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7.3717948717948714</v>
      </c>
      <c r="EJ31" s="12">
        <f>IF('Données projet'!$A$192&gt;35,EJ30+EI31-ER30,IF(A31&lt;'Données projet'!$A$192,$EG$205^A31,IF(A31='Données projet'!$A$192,'Données projet'!$B$192,EJ30+EI31-ER30)))</f>
        <v>77.243589743589752</v>
      </c>
      <c r="EK31" s="17">
        <f>EJ31*VLOOKUP('Données projet'!$B$15,Paramètres!$A$1:$I$89,3,0)*VLOOKUP('Données projet'!$B$15,Paramètres!$A$1:$I$89,5,0)</f>
        <v>60.250000000000007</v>
      </c>
      <c r="EL31" s="13">
        <f t="shared" si="45"/>
        <v>17.231461552057397</v>
      </c>
      <c r="EM31" s="20">
        <f t="shared" si="19"/>
        <v>134.94687886983328</v>
      </c>
      <c r="EN31" s="59">
        <f t="shared" si="20"/>
        <v>425.83576775872211</v>
      </c>
      <c r="EO31" s="59">
        <f ca="1">AVERAGE(OFFSET($EN$3,0,0,'Données projet'!$E$15+1,1))-AVERAGE(OFFSET($H$3,0,0,'Données projet'!$E$15+1,1))</f>
        <v>197.51452239559433</v>
      </c>
      <c r="EP31" s="59">
        <f t="shared" si="46"/>
        <v>196.65166921588821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2.7795637791980963</v>
      </c>
      <c r="EX31" s="21">
        <f>EXP(-LN(2)/2)*EX30+(1-EXP(-LN(2)/2))/(LN(2)/2)*ER31*EU31*VLOOKUP('Données projet'!$B$15,Paramètres!$A$1:$I$89,3,0)*0.475*44/12</f>
        <v>1.3140484215428656</v>
      </c>
      <c r="EY31" s="22">
        <f t="shared" si="21"/>
        <v>4.0936122007409619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529.24879561117245</v>
      </c>
      <c r="S32" s="59">
        <f ca="1">AVERAGE(OFFSET($R$3,0,0,'Données projet'!$E$9+1,1))-AVERAGE(OFFSET($H$3,0,0,'Données projet'!$E$9+1,1))</f>
        <v>635.71275911100679</v>
      </c>
      <c r="T32" s="59">
        <f t="shared" si="34"/>
        <v>281.7776857269169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4.0942857142857143</v>
      </c>
      <c r="AI32" s="13">
        <f>IF('Données projet'!$A$62&gt;35,AI31+AH32-AQ31,IF(A32&lt;'Données projet'!$A$62,$AF$205^A32,IF(A32='Données projet'!$A$62,'Données projet'!$B$62,AI31+AH32-AQ31)))</f>
        <v>118.73428571428579</v>
      </c>
      <c r="AJ32" s="13">
        <f>AI32*VLOOKUP('Données projet'!$B$10,Paramètres!$A$1:$I$89,3,0)*VLOOKUP('Données projet'!$B$10,Paramètres!$A$1:$I$89,5,0)</f>
        <v>120.39656571428579</v>
      </c>
      <c r="AK32" s="13">
        <f t="shared" si="35"/>
        <v>31.767473966995706</v>
      </c>
      <c r="AL32" s="20">
        <f t="shared" si="4"/>
        <v>265.01903577823191</v>
      </c>
      <c r="AM32" s="59">
        <f t="shared" si="5"/>
        <v>557.130146889343</v>
      </c>
      <c r="AN32" s="59">
        <f ca="1">AVERAGE(OFFSET($AM$3,0,0,'Données projet'!$E$10+1,1))-AVERAGE(OFFSET($H$3,0,0,'Données projet'!$E$10+1,1))</f>
        <v>706.69239849991595</v>
      </c>
      <c r="AO32" s="59">
        <f t="shared" si="36"/>
        <v>310.59887275116529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112.98754628571437</v>
      </c>
      <c r="BF32" s="13">
        <f t="shared" si="37"/>
        <v>30.03377223971917</v>
      </c>
      <c r="BG32" s="20">
        <f t="shared" si="7"/>
        <v>249.0954630984634</v>
      </c>
      <c r="BH32" s="59">
        <f t="shared" si="8"/>
        <v>541.20657420957457</v>
      </c>
      <c r="BI32" s="59">
        <f ca="1">AVERAGE(OFFSET($BH$3,0,0,'Données projet'!$E$11+1,1))-AVERAGE(OFFSET($H$3,0,0,'Données projet'!$E$11+1,1))</f>
        <v>666.1523645983184</v>
      </c>
      <c r="BJ32" s="59">
        <f t="shared" si="38"/>
        <v>294.13851344047526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4.0942857142857143</v>
      </c>
      <c r="BY32" s="12">
        <f>IF('Données projet'!$A$114&gt;35,BY31+BX32-CG31,IF(A32&lt;'Données projet'!$A$114,$BV$205^A32,IF(A32='Données projet'!$A$114,'Données projet'!$B$114,BY31+BX32-CG31)))</f>
        <v>118.73428571428579</v>
      </c>
      <c r="BZ32" s="13">
        <f>BY32*VLOOKUP('Données projet'!$B$12,Paramètres!$A$1:$I$89,3,0)*VLOOKUP('Données projet'!$B$12,Paramètres!$A$1:$I$89,5,0)</f>
        <v>127.80558514285723</v>
      </c>
      <c r="CA32" s="13">
        <f t="shared" si="39"/>
        <v>33.48879317901816</v>
      </c>
      <c r="CB32" s="20">
        <f t="shared" si="10"/>
        <v>280.92104224393296</v>
      </c>
      <c r="CC32" s="59">
        <f t="shared" si="11"/>
        <v>573.0321533550441</v>
      </c>
      <c r="CD32" s="59">
        <f ca="1">AVERAGE(OFFSET($CC$3,0,0,'Données projet'!$E$12+1,1))-AVERAGE(OFFSET($H$3,0,0,'Données projet'!$E$12+1,1))</f>
        <v>747.18304127457918</v>
      </c>
      <c r="CE32" s="59">
        <f t="shared" si="40"/>
        <v>327.03701004966723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4.0942857142857143</v>
      </c>
      <c r="CT32" s="12">
        <f>IF('Données projet'!$A$140&gt;35,CT31+CS32-DB31,IF(A32&lt;'Données projet'!$A$140,$CQ$205^A32,IF(A32='Données projet'!$A$140,'Données projet'!$B$140,CT31+CS32-DB31)))</f>
        <v>118.73428571428579</v>
      </c>
      <c r="CU32" s="17">
        <f>CT32*VLOOKUP('Données projet'!$B$13,Paramètres!$A$1:$I$89,3,0)*VLOOKUP('Données projet'!$B$13,Paramètres!$A$1:$I$89,5,0)</f>
        <v>114.83980114285721</v>
      </c>
      <c r="CV32" s="13">
        <f t="shared" si="41"/>
        <v>30.468406249196239</v>
      </c>
      <c r="CW32" s="20">
        <f t="shared" si="13"/>
        <v>253.07846120782642</v>
      </c>
      <c r="CX32" s="59">
        <f t="shared" si="14"/>
        <v>545.18957231893751</v>
      </c>
      <c r="CY32" s="59">
        <f ca="1">AVERAGE(OFFSET($CX$3,0,0,'Données projet'!$E$13+1,1))-AVERAGE(OFFSET($H$3,0,0,'Données projet'!$E$13+1,1))</f>
        <v>676.29219382388692</v>
      </c>
      <c r="CZ32" s="59">
        <f t="shared" si="42"/>
        <v>298.25577221580448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7.3717948717948714</v>
      </c>
      <c r="EJ32" s="12">
        <f>IF('Données projet'!$A$192&gt;35,EJ31+EI32-ER31,IF(A32&lt;'Données projet'!$A$192,$EG$205^A32,IF(A32='Données projet'!$A$192,'Données projet'!$B$192,EJ31+EI32-ER31)))</f>
        <v>84.615384615384627</v>
      </c>
      <c r="EK32" s="17">
        <f>EJ32*VLOOKUP('Données projet'!$B$15,Paramètres!$A$1:$I$89,3,0)*VLOOKUP('Données projet'!$B$15,Paramètres!$A$1:$I$89,5,0)</f>
        <v>66.000000000000014</v>
      </c>
      <c r="EL32" s="13">
        <f t="shared" si="45"/>
        <v>18.676740573099728</v>
      </c>
      <c r="EM32" s="20">
        <f t="shared" si="19"/>
        <v>147.47865649814872</v>
      </c>
      <c r="EN32" s="59">
        <f t="shared" si="20"/>
        <v>439.58976760925987</v>
      </c>
      <c r="EO32" s="59">
        <f ca="1">AVERAGE(OFFSET($EN$3,0,0,'Données projet'!$E$15+1,1))-AVERAGE(OFFSET($H$3,0,0,'Données projet'!$E$15+1,1))</f>
        <v>197.51452239559433</v>
      </c>
      <c r="EP32" s="59">
        <f t="shared" si="46"/>
        <v>196.65166921588821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2.703556461485018</v>
      </c>
      <c r="EX32" s="21">
        <f>EXP(-LN(2)/2)*EX31+(1-EXP(-LN(2)/2))/(LN(2)/2)*ER32*EU32*VLOOKUP('Données projet'!$B$15,Paramètres!$A$1:$I$89,3,0)*0.475*44/12</f>
        <v>0.92917254968043927</v>
      </c>
      <c r="EY32" s="22">
        <f t="shared" si="21"/>
        <v>3.6327290111654573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538.44435239358359</v>
      </c>
      <c r="S33" s="59">
        <f ca="1">AVERAGE(OFFSET($R$3,0,0,'Données projet'!$E$9+1,1))-AVERAGE(OFFSET($H$3,0,0,'Données projet'!$E$9+1,1))</f>
        <v>635.71275911100679</v>
      </c>
      <c r="T33" s="59">
        <f t="shared" si="34"/>
        <v>281.7776857269169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4.0942857142857143</v>
      </c>
      <c r="AI33" s="13">
        <f>IF('Données projet'!$A$62&gt;35,AI32+AH33-AQ32,IF(A33&lt;'Données projet'!$A$62,$AF$205^A33,IF(A33='Données projet'!$A$62,'Données projet'!$B$62,AI32+AH33-AQ32)))</f>
        <v>122.82857142857151</v>
      </c>
      <c r="AJ33" s="13">
        <f>AI33*VLOOKUP('Données projet'!$B$10,Paramètres!$A$1:$I$89,3,0)*VLOOKUP('Données projet'!$B$10,Paramètres!$A$1:$I$89,5,0)</f>
        <v>124.54817142857152</v>
      </c>
      <c r="AK33" s="13">
        <f t="shared" si="35"/>
        <v>32.733477997934884</v>
      </c>
      <c r="AL33" s="20">
        <f t="shared" si="4"/>
        <v>273.93220608449866</v>
      </c>
      <c r="AM33" s="59">
        <f t="shared" si="5"/>
        <v>567.26553941783197</v>
      </c>
      <c r="AN33" s="59">
        <f ca="1">AVERAGE(OFFSET($AM$3,0,0,'Données projet'!$E$10+1,1))-AVERAGE(OFFSET($H$3,0,0,'Données projet'!$E$10+1,1))</f>
        <v>706.69239849991595</v>
      </c>
      <c r="AO33" s="59">
        <f t="shared" si="36"/>
        <v>310.59887275116529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116.88366857142864</v>
      </c>
      <c r="BF33" s="13">
        <f t="shared" si="37"/>
        <v>30.947056848939916</v>
      </c>
      <c r="BG33" s="20">
        <f t="shared" si="7"/>
        <v>257.47184677380858</v>
      </c>
      <c r="BH33" s="59">
        <f t="shared" si="8"/>
        <v>550.80518010714195</v>
      </c>
      <c r="BI33" s="59">
        <f ca="1">AVERAGE(OFFSET($BH$3,0,0,'Données projet'!$E$11+1,1))-AVERAGE(OFFSET($H$3,0,0,'Données projet'!$E$11+1,1))</f>
        <v>666.1523645983184</v>
      </c>
      <c r="BJ33" s="59">
        <f t="shared" si="38"/>
        <v>294.13851344047526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4.0942857142857143</v>
      </c>
      <c r="BY33" s="12">
        <f>IF('Données projet'!$A$114&gt;35,BY32+BX33-CG32,IF(A33&lt;'Données projet'!$A$114,$BV$205^A33,IF(A33='Données projet'!$A$114,'Données projet'!$B$114,BY32+BX33-CG32)))</f>
        <v>122.82857142857151</v>
      </c>
      <c r="BZ33" s="13">
        <f>BY33*VLOOKUP('Données projet'!$B$12,Paramètres!$A$1:$I$89,3,0)*VLOOKUP('Données projet'!$B$12,Paramètres!$A$1:$I$89,5,0)</f>
        <v>132.21267428571434</v>
      </c>
      <c r="CA33" s="13">
        <f t="shared" si="39"/>
        <v>34.507140096869726</v>
      </c>
      <c r="CB33" s="20">
        <f t="shared" si="10"/>
        <v>290.3703433830006</v>
      </c>
      <c r="CC33" s="59">
        <f t="shared" si="11"/>
        <v>583.70367671633392</v>
      </c>
      <c r="CD33" s="59">
        <f ca="1">AVERAGE(OFFSET($CC$3,0,0,'Données projet'!$E$12+1,1))-AVERAGE(OFFSET($H$3,0,0,'Données projet'!$E$12+1,1))</f>
        <v>747.18304127457918</v>
      </c>
      <c r="CE33" s="59">
        <f t="shared" si="40"/>
        <v>327.03701004966723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4.0942857142857143</v>
      </c>
      <c r="CT33" s="12">
        <f>IF('Données projet'!$A$140&gt;35,CT32+CS33-DB32,IF(A33&lt;'Données projet'!$A$140,$CQ$205^A33,IF(A33='Données projet'!$A$140,'Données projet'!$B$140,CT32+CS33-DB32)))</f>
        <v>122.82857142857151</v>
      </c>
      <c r="CU33" s="17">
        <f>CT33*VLOOKUP('Données projet'!$B$13,Paramètres!$A$1:$I$89,3,0)*VLOOKUP('Données projet'!$B$13,Paramètres!$A$1:$I$89,5,0)</f>
        <v>118.79979428571436</v>
      </c>
      <c r="CV33" s="13">
        <f t="shared" si="41"/>
        <v>31.394907464986783</v>
      </c>
      <c r="CW33" s="20">
        <f t="shared" si="13"/>
        <v>261.5891055491378</v>
      </c>
      <c r="CX33" s="59">
        <f t="shared" si="14"/>
        <v>554.92243888247117</v>
      </c>
      <c r="CY33" s="59">
        <f ca="1">AVERAGE(OFFSET($CX$3,0,0,'Données projet'!$E$13+1,1))-AVERAGE(OFFSET($H$3,0,0,'Données projet'!$E$13+1,1))</f>
        <v>676.29219382388692</v>
      </c>
      <c r="CZ33" s="59">
        <f t="shared" si="42"/>
        <v>298.25577221580448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7.3717948717948714</v>
      </c>
      <c r="EJ33" s="12">
        <f>IF('Données projet'!$A$192&gt;35,EJ32+EI33-ER32,IF(A33&lt;'Données projet'!$A$192,$EG$205^A33,IF(A33='Données projet'!$A$192,'Données projet'!$B$192,EJ32+EI33-ER32)))</f>
        <v>91.987179487179503</v>
      </c>
      <c r="EK33" s="17">
        <f>EJ33*VLOOKUP('Données projet'!$B$15,Paramètres!$A$1:$I$89,3,0)*VLOOKUP('Données projet'!$B$15,Paramètres!$A$1:$I$89,5,0)</f>
        <v>71.750000000000014</v>
      </c>
      <c r="EL33" s="13">
        <f t="shared" si="45"/>
        <v>20.107417731610468</v>
      </c>
      <c r="EM33" s="20">
        <f t="shared" si="19"/>
        <v>159.98500254922158</v>
      </c>
      <c r="EN33" s="59">
        <f t="shared" si="20"/>
        <v>453.31833588255489</v>
      </c>
      <c r="EO33" s="59">
        <f ca="1">AVERAGE(OFFSET($EN$3,0,0,'Données projet'!$E$15+1,1))-AVERAGE(OFFSET($H$3,0,0,'Données projet'!$E$15+1,1))</f>
        <v>197.51452239559433</v>
      </c>
      <c r="EP33" s="59">
        <f t="shared" si="46"/>
        <v>196.65166921588821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2.629627567871855</v>
      </c>
      <c r="EX33" s="21">
        <f>EXP(-LN(2)/2)*EX32+(1-EXP(-LN(2)/2))/(LN(2)/2)*ER33*EU33*VLOOKUP('Données projet'!$B$15,Paramètres!$A$1:$I$89,3,0)*0.475*44/12</f>
        <v>0.65702421077143291</v>
      </c>
      <c r="EY33" s="22">
        <f t="shared" si="21"/>
        <v>3.2866517786432881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546.41179454115968</v>
      </c>
      <c r="S34" s="59">
        <f ca="1">AVERAGE(OFFSET($R$3,0,0,'Données projet'!$E$9+1,1))-AVERAGE(OFFSET($H$3,0,0,'Données projet'!$E$9+1,1))</f>
        <v>635.71275911100679</v>
      </c>
      <c r="T34" s="59">
        <f t="shared" si="34"/>
        <v>281.7776857269169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4.0942857142857143</v>
      </c>
      <c r="AI34" s="13">
        <f>IF('Données projet'!$A$62&gt;35,AI33+AH34-AQ33,IF(A34&lt;'Données projet'!$A$62,$AF$205^A34,IF(A34='Données projet'!$A$62,'Données projet'!$B$62,AI33+AH34-AQ33)))</f>
        <v>126.92285714285723</v>
      </c>
      <c r="AJ34" s="13">
        <f>AI34*VLOOKUP('Données projet'!$B$10,Paramètres!$A$1:$I$89,3,0)*VLOOKUP('Données projet'!$B$10,Paramètres!$A$1:$I$89,5,0)</f>
        <v>128.69977714285722</v>
      </c>
      <c r="AK34" s="13">
        <f t="shared" si="35"/>
        <v>33.69574046316044</v>
      </c>
      <c r="AL34" s="20">
        <f t="shared" si="4"/>
        <v>282.83885983048071</v>
      </c>
      <c r="AM34" s="59">
        <f t="shared" si="5"/>
        <v>576.17219316381397</v>
      </c>
      <c r="AN34" s="59">
        <f ca="1">AVERAGE(OFFSET($AM$3,0,0,'Données projet'!$E$10+1,1))-AVERAGE(OFFSET($H$3,0,0,'Données projet'!$E$10+1,1))</f>
        <v>706.69239849991595</v>
      </c>
      <c r="AO34" s="59">
        <f t="shared" si="36"/>
        <v>310.59887275116529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120.77979085714293</v>
      </c>
      <c r="BF34" s="13">
        <f t="shared" si="37"/>
        <v>31.856804087434281</v>
      </c>
      <c r="BG34" s="20">
        <f t="shared" si="7"/>
        <v>265.842069528472</v>
      </c>
      <c r="BH34" s="59">
        <f t="shared" si="8"/>
        <v>559.17540286180531</v>
      </c>
      <c r="BI34" s="59">
        <f ca="1">AVERAGE(OFFSET($BH$3,0,0,'Données projet'!$E$11+1,1))-AVERAGE(OFFSET($H$3,0,0,'Données projet'!$E$11+1,1))</f>
        <v>666.1523645983184</v>
      </c>
      <c r="BJ34" s="59">
        <f t="shared" si="38"/>
        <v>294.13851344047526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4.0942857142857143</v>
      </c>
      <c r="BY34" s="12">
        <f>IF('Données projet'!$A$114&gt;35,BY33+BX34-CG33,IF(A34&lt;'Données projet'!$A$114,$BV$205^A34,IF(A34='Données projet'!$A$114,'Données projet'!$B$114,BY33+BX34-CG33)))</f>
        <v>126.92285714285723</v>
      </c>
      <c r="BZ34" s="13">
        <f>BY34*VLOOKUP('Données projet'!$B$12,Paramètres!$A$1:$I$89,3,0)*VLOOKUP('Données projet'!$B$12,Paramètres!$A$1:$I$89,5,0)</f>
        <v>136.6197634285715</v>
      </c>
      <c r="CA34" s="13">
        <f t="shared" si="39"/>
        <v>35.521542712430268</v>
      </c>
      <c r="CB34" s="20">
        <f t="shared" si="10"/>
        <v>299.81277486224468</v>
      </c>
      <c r="CC34" s="59">
        <f t="shared" si="11"/>
        <v>593.14610819557799</v>
      </c>
      <c r="CD34" s="59">
        <f ca="1">AVERAGE(OFFSET($CC$3,0,0,'Données projet'!$E$12+1,1))-AVERAGE(OFFSET($H$3,0,0,'Données projet'!$E$12+1,1))</f>
        <v>747.18304127457918</v>
      </c>
      <c r="CE34" s="59">
        <f t="shared" si="40"/>
        <v>327.03701004966723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4.0942857142857143</v>
      </c>
      <c r="CT34" s="12">
        <f>IF('Données projet'!$A$140&gt;35,CT33+CS34-DB33,IF(A34&lt;'Données projet'!$A$140,$CQ$205^A34,IF(A34='Données projet'!$A$140,'Données projet'!$B$140,CT33+CS34-DB33)))</f>
        <v>126.92285714285723</v>
      </c>
      <c r="CU34" s="17">
        <f>CT34*VLOOKUP('Données projet'!$B$13,Paramètres!$A$1:$I$89,3,0)*VLOOKUP('Données projet'!$B$13,Paramètres!$A$1:$I$89,5,0)</f>
        <v>122.75978742857151</v>
      </c>
      <c r="CV34" s="13">
        <f t="shared" si="41"/>
        <v>32.317820118958174</v>
      </c>
      <c r="CW34" s="20">
        <f t="shared" si="13"/>
        <v>270.09349981194748</v>
      </c>
      <c r="CX34" s="59">
        <f t="shared" si="14"/>
        <v>563.42683314528085</v>
      </c>
      <c r="CY34" s="59">
        <f ca="1">AVERAGE(OFFSET($CX$3,0,0,'Données projet'!$E$13+1,1))-AVERAGE(OFFSET($H$3,0,0,'Données projet'!$E$13+1,1))</f>
        <v>676.29219382388692</v>
      </c>
      <c r="CZ34" s="59">
        <f t="shared" si="42"/>
        <v>298.25577221580448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99.358974358974351</v>
      </c>
      <c r="EH34" s="12">
        <f>VLOOKUP(A34,'Données projet'!$A$191:$I$211,9,0)</f>
        <v>7.3717948717948714</v>
      </c>
      <c r="EI34" s="12">
        <f t="array" ref="EI34">INDEX(EH:EH,MIN(IF(ISNUMBER(EH34:EH230),ROW(EH34:EH230),"")))</f>
        <v>7.3717948717948714</v>
      </c>
      <c r="EJ34" s="12">
        <f>IF('Données projet'!$A$192&gt;35,EJ33+EI34-ER33,IF(A34&lt;'Données projet'!$A$192,$EG$205^A34,IF(A34='Données projet'!$A$192,'Données projet'!$B$192,EJ33+EI34-ER33)))</f>
        <v>99.358974358974379</v>
      </c>
      <c r="EK34" s="17">
        <f>EJ34*VLOOKUP('Données projet'!$B$15,Paramètres!$A$1:$I$89,3,0)*VLOOKUP('Données projet'!$B$15,Paramètres!$A$1:$I$89,5,0)</f>
        <v>77.500000000000014</v>
      </c>
      <c r="EL34" s="13">
        <f t="shared" si="45"/>
        <v>21.524796250766268</v>
      </c>
      <c r="EM34" s="20">
        <f t="shared" si="19"/>
        <v>172.46818680341792</v>
      </c>
      <c r="EN34" s="59">
        <f t="shared" si="20"/>
        <v>465.80152013675126</v>
      </c>
      <c r="EO34" s="59">
        <f ca="1">AVERAGE(OFFSET($EN$3,0,0,'Données projet'!$E$15+1,1))-AVERAGE(OFFSET($H$3,0,0,'Données projet'!$E$15+1,1))</f>
        <v>197.51452239559433</v>
      </c>
      <c r="EP34" s="59">
        <f t="shared" si="46"/>
        <v>196.65166921588821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23.076923076923077</v>
      </c>
      <c r="ES34" s="16">
        <f>IF(ISNA(VLOOKUP(A34,'Données projet'!$A$191:$I$211,5,0)),0%,VLOOKUP(A34,'Données projet'!$A$191:$I$211,5,0)*VLOOKUP('Données projet'!$B$15,Paramètres!$A$1:$I$89,7,0))</f>
        <v>0.1075</v>
      </c>
      <c r="ET34" s="16">
        <f>IF(ISNA(VLOOKUP(A34,'Données projet'!$A$191:$I$211,6,0)),0%,VLOOKUP(A34,'Données projet'!$A$191:$I$211,6,0)*VLOOKUP('Données projet'!$B$15,Paramètres!$A$1:$I$89,7,0))</f>
        <v>0.1075</v>
      </c>
      <c r="EU34" s="16">
        <f>IF(ISNA(VLOOKUP(A34,'Données projet'!$A$191:$I$211,7,0)),0%,VLOOKUP(A34,'Données projet'!$A$191:$I$211,7,0))</f>
        <v>0.25</v>
      </c>
      <c r="EV34" s="21">
        <f>EXP(-LN(2)/35)*EV33+(1-EXP(-LN(2)/35))/(LN(2)/35)*ER34*ES34*VLOOKUP('Données projet'!$B$15,Paramètres!$A$1:$I$89,3,0)*0.475*44/12</f>
        <v>2.1390851843962584</v>
      </c>
      <c r="EW34" s="21">
        <f>EXP(-LN(2)/25)*EW33+(1-EXP(-LN(2)/25))/(LN(2)/25)*Calculateur!ER34*Calculateur!ET34*VLOOKUP('Données projet'!$B$15,Paramètres!$A$1:$I$89,3,0)*0.475*44/12</f>
        <v>4.6883830547122312</v>
      </c>
      <c r="EX34" s="21">
        <f>EXP(-LN(2)/2)*EX33+(1-EXP(-LN(2)/2))/(LN(2)/2)*ER34*EU34*VLOOKUP('Données projet'!$B$15,Paramètres!$A$1:$I$89,3,0)*0.475*44/12</f>
        <v>4.710457390564466</v>
      </c>
      <c r="EY34" s="22">
        <f t="shared" si="21"/>
        <v>11.537925629672955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554.37355615571153</v>
      </c>
      <c r="S35" s="59">
        <f ca="1">AVERAGE(OFFSET($R$3,0,0,'Données projet'!$E$9+1,1))-AVERAGE(OFFSET($H$3,0,0,'Données projet'!$E$9+1,1))</f>
        <v>635.71275911100679</v>
      </c>
      <c r="T35" s="59">
        <f t="shared" si="34"/>
        <v>281.7776857269169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4.0942857142857143</v>
      </c>
      <c r="AI35" s="13">
        <f>IF('Données projet'!$A$62&gt;35,AI34+AH35-AQ34,IF(A35&lt;'Données projet'!$A$62,$AF$205^A35,IF(A35='Données projet'!$A$62,'Données projet'!$B$62,AI34+AH35-AQ34)))</f>
        <v>131.01714285714294</v>
      </c>
      <c r="AJ35" s="13">
        <f>AI35*VLOOKUP('Données projet'!$B$10,Paramètres!$A$1:$I$89,3,0)*VLOOKUP('Données projet'!$B$10,Paramètres!$A$1:$I$89,5,0)</f>
        <v>132.85138285714297</v>
      </c>
      <c r="AK35" s="13">
        <f t="shared" si="35"/>
        <v>34.654395902029187</v>
      </c>
      <c r="AL35" s="20">
        <f t="shared" si="4"/>
        <v>291.73923133889144</v>
      </c>
      <c r="AM35" s="59">
        <f t="shared" si="5"/>
        <v>585.07256467222476</v>
      </c>
      <c r="AN35" s="59">
        <f ca="1">AVERAGE(OFFSET($AM$3,0,0,'Données projet'!$E$10+1,1))-AVERAGE(OFFSET($H$3,0,0,'Données projet'!$E$10+1,1))</f>
        <v>706.69239849991595</v>
      </c>
      <c r="AO35" s="59">
        <f t="shared" si="36"/>
        <v>310.59887275116529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124.67591314285721</v>
      </c>
      <c r="BF35" s="13">
        <f t="shared" si="37"/>
        <v>32.763141152108169</v>
      </c>
      <c r="BG35" s="20">
        <f t="shared" si="7"/>
        <v>274.20635289706468</v>
      </c>
      <c r="BH35" s="59">
        <f t="shared" si="8"/>
        <v>567.53968623039805</v>
      </c>
      <c r="BI35" s="59">
        <f ca="1">AVERAGE(OFFSET($BH$3,0,0,'Données projet'!$E$11+1,1))-AVERAGE(OFFSET($H$3,0,0,'Données projet'!$E$11+1,1))</f>
        <v>666.1523645983184</v>
      </c>
      <c r="BJ35" s="59">
        <f t="shared" si="38"/>
        <v>294.13851344047526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4.0942857142857143</v>
      </c>
      <c r="BY35" s="12">
        <f>IF('Données projet'!$A$114&gt;35,BY34+BX35-CG34,IF(A35&lt;'Données projet'!$A$114,$BV$205^A35,IF(A35='Données projet'!$A$114,'Données projet'!$B$114,BY34+BX35-CG34)))</f>
        <v>131.01714285714294</v>
      </c>
      <c r="BZ35" s="13">
        <f>BY35*VLOOKUP('Données projet'!$B$12,Paramètres!$A$1:$I$89,3,0)*VLOOKUP('Données projet'!$B$12,Paramètres!$A$1:$I$89,5,0)</f>
        <v>141.02685257142866</v>
      </c>
      <c r="CA35" s="13">
        <f t="shared" si="39"/>
        <v>36.532142855065764</v>
      </c>
      <c r="CB35" s="20">
        <f t="shared" si="10"/>
        <v>309.24858370114447</v>
      </c>
      <c r="CC35" s="59">
        <f t="shared" si="11"/>
        <v>602.58191703447778</v>
      </c>
      <c r="CD35" s="59">
        <f ca="1">AVERAGE(OFFSET($CC$3,0,0,'Données projet'!$E$12+1,1))-AVERAGE(OFFSET($H$3,0,0,'Données projet'!$E$12+1,1))</f>
        <v>747.18304127457918</v>
      </c>
      <c r="CE35" s="59">
        <f t="shared" si="40"/>
        <v>327.03701004966723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4.0942857142857143</v>
      </c>
      <c r="CT35" s="12">
        <f>IF('Données projet'!$A$140&gt;35,CT34+CS35-DB34,IF(A35&lt;'Données projet'!$A$140,$CQ$205^A35,IF(A35='Données projet'!$A$140,'Données projet'!$B$140,CT34+CS35-DB34)))</f>
        <v>131.01714285714294</v>
      </c>
      <c r="CU35" s="17">
        <f>CT35*VLOOKUP('Données projet'!$B$13,Paramètres!$A$1:$I$89,3,0)*VLOOKUP('Données projet'!$B$13,Paramètres!$A$1:$I$89,5,0)</f>
        <v>126.71978057142866</v>
      </c>
      <c r="CV35" s="13">
        <f t="shared" si="41"/>
        <v>33.237273248747421</v>
      </c>
      <c r="CW35" s="20">
        <f t="shared" si="13"/>
        <v>278.59186873680665</v>
      </c>
      <c r="CX35" s="59">
        <f t="shared" si="14"/>
        <v>571.9252020701399</v>
      </c>
      <c r="CY35" s="59">
        <f ca="1">AVERAGE(OFFSET($CX$3,0,0,'Données projet'!$E$13+1,1))-AVERAGE(OFFSET($H$3,0,0,'Données projet'!$E$13+1,1))</f>
        <v>676.29219382388692</v>
      </c>
      <c r="CZ35" s="59">
        <f t="shared" si="42"/>
        <v>298.25577221580448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7.3717948717948731</v>
      </c>
      <c r="EJ35" s="12">
        <f>IF('Données projet'!$A$192&gt;35,EJ34+EI35-ER34,IF(A35&lt;'Données projet'!$A$192,$EG$205^A35,IF(A35='Données projet'!$A$192,'Données projet'!$B$192,EJ34+EI35-ER34)))</f>
        <v>83.653846153846175</v>
      </c>
      <c r="EK35" s="17">
        <f>EJ35*VLOOKUP('Données projet'!$B$15,Paramètres!$A$1:$I$89,3,0)*VLOOKUP('Données projet'!$B$15,Paramètres!$A$1:$I$89,5,0)</f>
        <v>65.250000000000014</v>
      </c>
      <c r="EL35" s="13">
        <f t="shared" si="45"/>
        <v>18.489084564748591</v>
      </c>
      <c r="EM35" s="20">
        <f t="shared" si="19"/>
        <v>145.84557228360381</v>
      </c>
      <c r="EN35" s="59">
        <f t="shared" si="20"/>
        <v>439.17890561693713</v>
      </c>
      <c r="EO35" s="59">
        <f ca="1">AVERAGE(OFFSET($EN$3,0,0,'Données projet'!$E$15+1,1))-AVERAGE(OFFSET($H$3,0,0,'Données projet'!$E$15+1,1))</f>
        <v>197.51452239559433</v>
      </c>
      <c r="EP35" s="59">
        <f t="shared" si="46"/>
        <v>196.65166921588821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2.0971390286433804</v>
      </c>
      <c r="EW35" s="21">
        <f>EXP(-LN(2)/25)*EW34+(1-EXP(-LN(2)/25))/(LN(2)/25)*Calculateur!ER35*Calculateur!ET35*VLOOKUP('Données projet'!$B$15,Paramètres!$A$1:$I$89,3,0)*0.475*44/12</f>
        <v>4.5601789735297755</v>
      </c>
      <c r="EX35" s="21">
        <f>EXP(-LN(2)/2)*EX34+(1-EXP(-LN(2)/2))/(LN(2)/2)*ER35*EU35*VLOOKUP('Données projet'!$B$15,Paramètres!$A$1:$I$89,3,0)*0.475*44/12</f>
        <v>3.3307963633584237</v>
      </c>
      <c r="EY35" s="22">
        <f t="shared" si="21"/>
        <v>9.9881143655315796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562.32983512218527</v>
      </c>
      <c r="S36" s="59">
        <f ca="1">AVERAGE(OFFSET($R$3,0,0,'Données projet'!$E$9+1,1))-AVERAGE(OFFSET($H$3,0,0,'Données projet'!$E$9+1,1))</f>
        <v>635.71275911100679</v>
      </c>
      <c r="T36" s="59">
        <f t="shared" si="34"/>
        <v>281.7776857269169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4.0942857142857143</v>
      </c>
      <c r="AI36" s="13">
        <f>IF('Données projet'!$A$62&gt;35,AI35+AH36-AQ35,IF(A36&lt;'Données projet'!$A$62,$AF$205^A36,IF(A36='Données projet'!$A$62,'Données projet'!$B$62,AI35+AH36-AQ35)))</f>
        <v>135.11142857142866</v>
      </c>
      <c r="AJ36" s="13">
        <f>AI36*VLOOKUP('Données projet'!$B$10,Paramètres!$A$1:$I$89,3,0)*VLOOKUP('Données projet'!$B$10,Paramètres!$A$1:$I$89,5,0)</f>
        <v>137.00298857142866</v>
      </c>
      <c r="AK36" s="13">
        <f t="shared" si="35"/>
        <v>35.609569967576427</v>
      </c>
      <c r="AL36" s="20">
        <f t="shared" si="4"/>
        <v>300.63353945543383</v>
      </c>
      <c r="AM36" s="59">
        <f t="shared" si="5"/>
        <v>593.9668727887672</v>
      </c>
      <c r="AN36" s="59">
        <f ca="1">AVERAGE(OFFSET($AM$3,0,0,'Données projet'!$E$10+1,1))-AVERAGE(OFFSET($H$3,0,0,'Données projet'!$E$10+1,1))</f>
        <v>706.69239849991595</v>
      </c>
      <c r="AO36" s="59">
        <f t="shared" si="36"/>
        <v>310.59887275116529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128.5720354285715</v>
      </c>
      <c r="BF36" s="13">
        <f t="shared" si="37"/>
        <v>33.666186838514868</v>
      </c>
      <c r="BG36" s="20">
        <f t="shared" si="7"/>
        <v>282.56490378184208</v>
      </c>
      <c r="BH36" s="59">
        <f t="shared" si="8"/>
        <v>575.89823711517533</v>
      </c>
      <c r="BI36" s="59">
        <f ca="1">AVERAGE(OFFSET($BH$3,0,0,'Données projet'!$E$11+1,1))-AVERAGE(OFFSET($H$3,0,0,'Données projet'!$E$11+1,1))</f>
        <v>666.1523645983184</v>
      </c>
      <c r="BJ36" s="59">
        <f t="shared" si="38"/>
        <v>294.13851344047526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4.0942857142857143</v>
      </c>
      <c r="BY36" s="12">
        <f>IF('Données projet'!$A$114&gt;35,BY35+BX36-CG35,IF(A36&lt;'Données projet'!$A$114,$BV$205^A36,IF(A36='Données projet'!$A$114,'Données projet'!$B$114,BY35+BX36-CG35)))</f>
        <v>135.11142857142866</v>
      </c>
      <c r="BZ36" s="13">
        <f>BY36*VLOOKUP('Données projet'!$B$12,Paramètres!$A$1:$I$89,3,0)*VLOOKUP('Données projet'!$B$12,Paramètres!$A$1:$I$89,5,0)</f>
        <v>145.43394171428579</v>
      </c>
      <c r="CA36" s="13">
        <f t="shared" si="39"/>
        <v>37.539072986315936</v>
      </c>
      <c r="CB36" s="20">
        <f t="shared" si="10"/>
        <v>318.67800060354801</v>
      </c>
      <c r="CC36" s="59">
        <f t="shared" si="11"/>
        <v>612.01133393688133</v>
      </c>
      <c r="CD36" s="59">
        <f ca="1">AVERAGE(OFFSET($CC$3,0,0,'Données projet'!$E$12+1,1))-AVERAGE(OFFSET($H$3,0,0,'Données projet'!$E$12+1,1))</f>
        <v>747.18304127457918</v>
      </c>
      <c r="CE36" s="59">
        <f t="shared" si="40"/>
        <v>327.03701004966723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4.0942857142857143</v>
      </c>
      <c r="CT36" s="12">
        <f>IF('Données projet'!$A$140&gt;35,CT35+CS36-DB35,IF(A36&lt;'Données projet'!$A$140,$CQ$205^A36,IF(A36='Données projet'!$A$140,'Données projet'!$B$140,CT35+CS36-DB35)))</f>
        <v>135.11142857142866</v>
      </c>
      <c r="CU36" s="17">
        <f>CT36*VLOOKUP('Données projet'!$B$13,Paramètres!$A$1:$I$89,3,0)*VLOOKUP('Données projet'!$B$13,Paramètres!$A$1:$I$89,5,0)</f>
        <v>130.6797737142858</v>
      </c>
      <c r="CV36" s="13">
        <f t="shared" si="41"/>
        <v>34.153387369058827</v>
      </c>
      <c r="CW36" s="20">
        <f t="shared" si="13"/>
        <v>287.08442222015856</v>
      </c>
      <c r="CX36" s="59">
        <f t="shared" si="14"/>
        <v>580.41775555349182</v>
      </c>
      <c r="CY36" s="59">
        <f ca="1">AVERAGE(OFFSET($CX$3,0,0,'Données projet'!$E$13+1,1))-AVERAGE(OFFSET($H$3,0,0,'Données projet'!$E$13+1,1))</f>
        <v>676.29219382388692</v>
      </c>
      <c r="CZ36" s="59">
        <f t="shared" si="42"/>
        <v>298.25577221580448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7.3717948717948731</v>
      </c>
      <c r="EJ36" s="12">
        <f>IF('Données projet'!$A$192&gt;35,EJ35+EI36-ER35,IF(A36&lt;'Données projet'!$A$192,$EG$205^A36,IF(A36='Données projet'!$A$192,'Données projet'!$B$192,EJ35+EI36-ER35)))</f>
        <v>91.02564102564105</v>
      </c>
      <c r="EK36" s="17">
        <f>EJ36*VLOOKUP('Données projet'!$B$15,Paramètres!$A$1:$I$89,3,0)*VLOOKUP('Données projet'!$B$15,Paramètres!$A$1:$I$89,5,0)</f>
        <v>71.000000000000028</v>
      </c>
      <c r="EL36" s="13">
        <f t="shared" si="45"/>
        <v>19.921587432217475</v>
      </c>
      <c r="EM36" s="20">
        <f t="shared" si="19"/>
        <v>158.35509811111217</v>
      </c>
      <c r="EN36" s="59">
        <f t="shared" si="20"/>
        <v>451.68843144444548</v>
      </c>
      <c r="EO36" s="59">
        <f ca="1">AVERAGE(OFFSET($EN$3,0,0,'Données projet'!$E$15+1,1))-AVERAGE(OFFSET($H$3,0,0,'Données projet'!$E$15+1,1))</f>
        <v>197.51452239559433</v>
      </c>
      <c r="EP36" s="59">
        <f t="shared" si="46"/>
        <v>196.65166921588821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2.0560154114201876</v>
      </c>
      <c r="EW36" s="21">
        <f>EXP(-LN(2)/25)*EW35+(1-EXP(-LN(2)/25))/(LN(2)/25)*Calculateur!ER36*Calculateur!ET36*VLOOKUP('Données projet'!$B$15,Paramètres!$A$1:$I$89,3,0)*0.475*44/12</f>
        <v>4.4354806396892137</v>
      </c>
      <c r="EX36" s="21">
        <f>EXP(-LN(2)/2)*EX35+(1-EXP(-LN(2)/2))/(LN(2)/2)*ER36*EU36*VLOOKUP('Données projet'!$B$15,Paramètres!$A$1:$I$89,3,0)*0.475*44/12</f>
        <v>2.3552286952822334</v>
      </c>
      <c r="EY36" s="22">
        <f t="shared" si="21"/>
        <v>8.8467247463916348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570.28081665098216</v>
      </c>
      <c r="S37" s="59">
        <f ca="1">AVERAGE(OFFSET($R$3,0,0,'Données projet'!$E$9+1,1))-AVERAGE(OFFSET($H$3,0,0,'Données projet'!$E$9+1,1))</f>
        <v>635.71275911100679</v>
      </c>
      <c r="T37" s="59">
        <f t="shared" si="34"/>
        <v>281.7776857269169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4.0942857142857143</v>
      </c>
      <c r="AI37" s="13">
        <f>IF('Données projet'!$A$62&gt;35,AI36+AH37-AQ36,IF(A37&lt;'Données projet'!$A$62,$AF$205^A37,IF(A37='Données projet'!$A$62,'Données projet'!$B$62,AI36+AH37-AQ36)))</f>
        <v>139.20571428571438</v>
      </c>
      <c r="AJ37" s="13">
        <f>AI37*VLOOKUP('Données projet'!$B$10,Paramètres!$A$1:$I$89,3,0)*VLOOKUP('Données projet'!$B$10,Paramètres!$A$1:$I$89,5,0)</f>
        <v>141.15459428571441</v>
      </c>
      <c r="AK37" s="13">
        <f t="shared" si="35"/>
        <v>36.561380264751591</v>
      </c>
      <c r="AL37" s="20">
        <f t="shared" si="4"/>
        <v>309.52198900872827</v>
      </c>
      <c r="AM37" s="59">
        <f t="shared" si="5"/>
        <v>602.85532234206153</v>
      </c>
      <c r="AN37" s="59">
        <f ca="1">AVERAGE(OFFSET($AM$3,0,0,'Données projet'!$E$10+1,1))-AVERAGE(OFFSET($H$3,0,0,'Données projet'!$E$10+1,1))</f>
        <v>706.69239849991595</v>
      </c>
      <c r="AO37" s="59">
        <f t="shared" si="36"/>
        <v>310.59887275116529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132.46815771428581</v>
      </c>
      <c r="BF37" s="13">
        <f t="shared" si="37"/>
        <v>34.566052333343904</v>
      </c>
      <c r="BG37" s="20">
        <f t="shared" si="7"/>
        <v>290.91791583295509</v>
      </c>
      <c r="BH37" s="59">
        <f t="shared" si="8"/>
        <v>584.2512491662884</v>
      </c>
      <c r="BI37" s="59">
        <f ca="1">AVERAGE(OFFSET($BH$3,0,0,'Données projet'!$E$11+1,1))-AVERAGE(OFFSET($H$3,0,0,'Données projet'!$E$11+1,1))</f>
        <v>666.1523645983184</v>
      </c>
      <c r="BJ37" s="59">
        <f t="shared" si="38"/>
        <v>294.13851344047526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4.0942857142857143</v>
      </c>
      <c r="BY37" s="12">
        <f>IF('Données projet'!$A$114&gt;35,BY36+BX37-CG36,IF(A37&lt;'Données projet'!$A$114,$BV$205^A37,IF(A37='Données projet'!$A$114,'Données projet'!$B$114,BY36+BX37-CG36)))</f>
        <v>139.20571428571438</v>
      </c>
      <c r="BZ37" s="13">
        <f>BY37*VLOOKUP('Données projet'!$B$12,Paramètres!$A$1:$I$89,3,0)*VLOOKUP('Données projet'!$B$12,Paramètres!$A$1:$I$89,5,0)</f>
        <v>149.84103085714295</v>
      </c>
      <c r="CA37" s="13">
        <f t="shared" si="39"/>
        <v>38.542457083549316</v>
      </c>
      <c r="CB37" s="20">
        <f t="shared" si="10"/>
        <v>328.10124149670571</v>
      </c>
      <c r="CC37" s="59">
        <f t="shared" si="11"/>
        <v>621.43457483003908</v>
      </c>
      <c r="CD37" s="59">
        <f ca="1">AVERAGE(OFFSET($CC$3,0,0,'Données projet'!$E$12+1,1))-AVERAGE(OFFSET($H$3,0,0,'Données projet'!$E$12+1,1))</f>
        <v>747.18304127457918</v>
      </c>
      <c r="CE37" s="59">
        <f t="shared" si="40"/>
        <v>327.03701004966723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4.0942857142857143</v>
      </c>
      <c r="CT37" s="12">
        <f>IF('Données projet'!$A$140&gt;35,CT36+CS37-DB36,IF(A37&lt;'Données projet'!$A$140,$CQ$205^A37,IF(A37='Données projet'!$A$140,'Données projet'!$B$140,CT36+CS37-DB36)))</f>
        <v>139.20571428571438</v>
      </c>
      <c r="CU37" s="17">
        <f>CT37*VLOOKUP('Données projet'!$B$13,Paramètres!$A$1:$I$89,3,0)*VLOOKUP('Données projet'!$B$13,Paramètres!$A$1:$I$89,5,0)</f>
        <v>134.63976685714297</v>
      </c>
      <c r="CV37" s="13">
        <f t="shared" si="41"/>
        <v>35.066275275621095</v>
      </c>
      <c r="CW37" s="20">
        <f t="shared" si="13"/>
        <v>295.5713567145641</v>
      </c>
      <c r="CX37" s="59">
        <f t="shared" si="14"/>
        <v>588.90469004789747</v>
      </c>
      <c r="CY37" s="59">
        <f ca="1">AVERAGE(OFFSET($CX$3,0,0,'Données projet'!$E$13+1,1))-AVERAGE(OFFSET($H$3,0,0,'Données projet'!$E$13+1,1))</f>
        <v>676.29219382388692</v>
      </c>
      <c r="CZ37" s="59">
        <f t="shared" si="42"/>
        <v>298.25577221580448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7.3717948717948731</v>
      </c>
      <c r="EJ37" s="12">
        <f>IF('Données projet'!$A$192&gt;35,EJ36+EI37-ER36,IF(A37&lt;'Données projet'!$A$192,$EG$205^A37,IF(A37='Données projet'!$A$192,'Données projet'!$B$192,EJ36+EI37-ER36)))</f>
        <v>98.397435897435926</v>
      </c>
      <c r="EK37" s="17">
        <f>EJ37*VLOOKUP('Données projet'!$B$15,Paramètres!$A$1:$I$89,3,0)*VLOOKUP('Données projet'!$B$15,Paramètres!$A$1:$I$89,5,0)</f>
        <v>76.750000000000028</v>
      </c>
      <c r="EL37" s="13">
        <f t="shared" si="45"/>
        <v>21.340634370994778</v>
      </c>
      <c r="EM37" s="20">
        <f t="shared" si="19"/>
        <v>170.84118819614926</v>
      </c>
      <c r="EN37" s="59">
        <f t="shared" si="20"/>
        <v>464.1745215294826</v>
      </c>
      <c r="EO37" s="59">
        <f ca="1">AVERAGE(OFFSET($EN$3,0,0,'Données projet'!$E$15+1,1))-AVERAGE(OFFSET($H$3,0,0,'Données projet'!$E$15+1,1))</f>
        <v>197.51452239559433</v>
      </c>
      <c r="EP37" s="59">
        <f t="shared" si="46"/>
        <v>196.65166921588821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2.0156982032478119</v>
      </c>
      <c r="EW37" s="21">
        <f>EXP(-LN(2)/25)*EW36+(1-EXP(-LN(2)/25))/(LN(2)/25)*Calculateur!ER37*Calculateur!ET37*VLOOKUP('Données projet'!$B$15,Paramètres!$A$1:$I$89,3,0)*0.475*44/12</f>
        <v>4.3141921883451229</v>
      </c>
      <c r="EX37" s="21">
        <f>EXP(-LN(2)/2)*EX36+(1-EXP(-LN(2)/2))/(LN(2)/2)*ER37*EU37*VLOOKUP('Données projet'!$B$15,Paramètres!$A$1:$I$89,3,0)*0.475*44/12</f>
        <v>1.6653981816792123</v>
      </c>
      <c r="EY37" s="22">
        <f t="shared" si="21"/>
        <v>7.9952885732721466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578.22667443838566</v>
      </c>
      <c r="S38" s="59">
        <f ca="1">AVERAGE(OFFSET($R$3,0,0,'Données projet'!$E$9+1,1))-AVERAGE(OFFSET($H$3,0,0,'Données projet'!$E$9+1,1))</f>
        <v>635.71275911100679</v>
      </c>
      <c r="T38" s="59">
        <f t="shared" si="34"/>
        <v>281.7776857269169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4.0942857142857143</v>
      </c>
      <c r="AI38" s="13">
        <f>IF('Données projet'!$A$62&gt;35,AI37+AH38-AQ37,IF(A38&lt;'Données projet'!$A$62,$AF$205^A38,IF(A38='Données projet'!$A$62,'Données projet'!$B$62,AI37+AH38-AQ37)))</f>
        <v>143.3000000000001</v>
      </c>
      <c r="AJ38" s="13">
        <f>AI38*VLOOKUP('Données projet'!$B$10,Paramètres!$A$1:$I$89,3,0)*VLOOKUP('Données projet'!$B$10,Paramètres!$A$1:$I$89,5,0)</f>
        <v>145.3062000000001</v>
      </c>
      <c r="AK38" s="13">
        <f t="shared" si="35"/>
        <v>37.509937087266451</v>
      </c>
      <c r="AL38" s="20">
        <f t="shared" si="4"/>
        <v>318.40477209365588</v>
      </c>
      <c r="AM38" s="59">
        <f t="shared" si="5"/>
        <v>611.73810542698925</v>
      </c>
      <c r="AN38" s="59">
        <f ca="1">AVERAGE(OFFSET($AM$3,0,0,'Données projet'!$E$10+1,1))-AVERAGE(OFFSET($H$3,0,0,'Données projet'!$E$10+1,1))</f>
        <v>706.69239849991595</v>
      </c>
      <c r="AO38" s="59">
        <f t="shared" si="36"/>
        <v>310.59887275116529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136.36428000000009</v>
      </c>
      <c r="BF38" s="13">
        <f t="shared" si="37"/>
        <v>35.462841911056067</v>
      </c>
      <c r="BG38" s="20">
        <f t="shared" si="7"/>
        <v>299.26557066175616</v>
      </c>
      <c r="BH38" s="59">
        <f t="shared" si="8"/>
        <v>592.59890399508947</v>
      </c>
      <c r="BI38" s="59">
        <f ca="1">AVERAGE(OFFSET($BH$3,0,0,'Données projet'!$E$11+1,1))-AVERAGE(OFFSET($H$3,0,0,'Données projet'!$E$11+1,1))</f>
        <v>666.1523645983184</v>
      </c>
      <c r="BJ38" s="59">
        <f t="shared" si="38"/>
        <v>294.13851344047526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4.0942857142857143</v>
      </c>
      <c r="BY38" s="12">
        <f>IF('Données projet'!$A$114&gt;35,BY37+BX38-CG37,IF(A38&lt;'Données projet'!$A$114,$BV$205^A38,IF(A38='Données projet'!$A$114,'Données projet'!$B$114,BY37+BX38-CG37)))</f>
        <v>143.3000000000001</v>
      </c>
      <c r="BZ38" s="13">
        <f>BY38*VLOOKUP('Données projet'!$B$12,Paramètres!$A$1:$I$89,3,0)*VLOOKUP('Données projet'!$B$12,Paramètres!$A$1:$I$89,5,0)</f>
        <v>154.24812000000009</v>
      </c>
      <c r="CA38" s="13">
        <f t="shared" si="39"/>
        <v>39.542411416737707</v>
      </c>
      <c r="CB38" s="20">
        <f t="shared" si="10"/>
        <v>337.51850888415163</v>
      </c>
      <c r="CC38" s="59">
        <f t="shared" si="11"/>
        <v>630.851842217485</v>
      </c>
      <c r="CD38" s="59">
        <f ca="1">AVERAGE(OFFSET($CC$3,0,0,'Données projet'!$E$12+1,1))-AVERAGE(OFFSET($H$3,0,0,'Données projet'!$E$12+1,1))</f>
        <v>747.18304127457918</v>
      </c>
      <c r="CE38" s="59">
        <f t="shared" si="40"/>
        <v>327.03701004966723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4.0942857142857143</v>
      </c>
      <c r="CT38" s="12">
        <f>IF('Données projet'!$A$140&gt;35,CT37+CS38-DB37,IF(A38&lt;'Données projet'!$A$140,$CQ$205^A38,IF(A38='Données projet'!$A$140,'Données projet'!$B$140,CT37+CS38-DB37)))</f>
        <v>143.3000000000001</v>
      </c>
      <c r="CU38" s="17">
        <f>CT38*VLOOKUP('Données projet'!$B$13,Paramètres!$A$1:$I$89,3,0)*VLOOKUP('Données projet'!$B$13,Paramètres!$A$1:$I$89,5,0)</f>
        <v>138.59976000000009</v>
      </c>
      <c r="CV38" s="13">
        <f t="shared" si="41"/>
        <v>35.976042751903812</v>
      </c>
      <c r="CW38" s="20">
        <f t="shared" si="13"/>
        <v>304.05285645956593</v>
      </c>
      <c r="CX38" s="59">
        <f t="shared" si="14"/>
        <v>597.38618979289924</v>
      </c>
      <c r="CY38" s="59">
        <f ca="1">AVERAGE(OFFSET($CX$3,0,0,'Données projet'!$E$13+1,1))-AVERAGE(OFFSET($H$3,0,0,'Données projet'!$E$13+1,1))</f>
        <v>676.29219382388692</v>
      </c>
      <c r="CZ38" s="59">
        <f t="shared" si="42"/>
        <v>298.25577221580448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7.3717948717948731</v>
      </c>
      <c r="EJ38" s="12">
        <f>IF('Données projet'!$A$192&gt;35,EJ37+EI38-ER37,IF(A38&lt;'Données projet'!$A$192,$EG$205^A38,IF(A38='Données projet'!$A$192,'Données projet'!$B$192,EJ37+EI38-ER37)))</f>
        <v>105.7692307692308</v>
      </c>
      <c r="EK38" s="17">
        <f>EJ38*VLOOKUP('Données projet'!$B$15,Paramètres!$A$1:$I$89,3,0)*VLOOKUP('Données projet'!$B$15,Paramètres!$A$1:$I$89,5,0)</f>
        <v>82.500000000000028</v>
      </c>
      <c r="EL38" s="13">
        <f t="shared" si="45"/>
        <v>22.747348109696244</v>
      </c>
      <c r="EM38" s="20">
        <f t="shared" si="19"/>
        <v>183.30579795772098</v>
      </c>
      <c r="EN38" s="59">
        <f t="shared" si="20"/>
        <v>476.6391312910543</v>
      </c>
      <c r="EO38" s="59">
        <f ca="1">AVERAGE(OFFSET($EN$3,0,0,'Données projet'!$E$15+1,1))-AVERAGE(OFFSET($H$3,0,0,'Données projet'!$E$15+1,1))</f>
        <v>197.51452239559433</v>
      </c>
      <c r="EP38" s="59">
        <f t="shared" si="46"/>
        <v>196.65166921588821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1.9761715909366278</v>
      </c>
      <c r="EW38" s="21">
        <f>EXP(-LN(2)/25)*EW37+(1-EXP(-LN(2)/25))/(LN(2)/25)*Calculateur!ER38*Calculateur!ET38*VLOOKUP('Données projet'!$B$15,Paramètres!$A$1:$I$89,3,0)*0.475*44/12</f>
        <v>4.1962203760813184</v>
      </c>
      <c r="EX38" s="21">
        <f>EXP(-LN(2)/2)*EX37+(1-EXP(-LN(2)/2))/(LN(2)/2)*ER38*EU38*VLOOKUP('Données projet'!$B$15,Paramètres!$A$1:$I$89,3,0)*0.475*44/12</f>
        <v>1.1776143476411169</v>
      </c>
      <c r="EY38" s="22">
        <f t="shared" si="21"/>
        <v>7.3500063146590628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586.16757169064044</v>
      </c>
      <c r="S39" s="59">
        <f ca="1">AVERAGE(OFFSET($R$3,0,0,'Données projet'!$E$9+1,1))-AVERAGE(OFFSET($H$3,0,0,'Données projet'!$E$9+1,1))</f>
        <v>635.71275911100679</v>
      </c>
      <c r="T39" s="59">
        <f t="shared" si="34"/>
        <v>281.7776857269169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4.0942857142857143</v>
      </c>
      <c r="AI39" s="13">
        <f>IF('Données projet'!$A$62&gt;35,AI38+AH39-AQ38,IF(A39&lt;'Données projet'!$A$62,$AF$205^A39,IF(A39='Données projet'!$A$62,'Données projet'!$B$62,AI38+AH39-AQ38)))</f>
        <v>147.39428571428581</v>
      </c>
      <c r="AJ39" s="13">
        <f>AI39*VLOOKUP('Données projet'!$B$10,Paramètres!$A$1:$I$89,3,0)*VLOOKUP('Données projet'!$B$10,Paramètres!$A$1:$I$89,5,0)</f>
        <v>149.45780571428583</v>
      </c>
      <c r="AK39" s="13">
        <f t="shared" si="35"/>
        <v>38.455344067865383</v>
      </c>
      <c r="AL39" s="20">
        <f t="shared" si="4"/>
        <v>327.2820692039133</v>
      </c>
      <c r="AM39" s="59">
        <f t="shared" si="5"/>
        <v>620.61540253724661</v>
      </c>
      <c r="AN39" s="59">
        <f ca="1">AVERAGE(OFFSET($AM$3,0,0,'Données projet'!$E$10+1,1))-AVERAGE(OFFSET($H$3,0,0,'Données projet'!$E$10+1,1))</f>
        <v>706.69239849991595</v>
      </c>
      <c r="AO39" s="59">
        <f t="shared" si="36"/>
        <v>310.59887275116529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140.26040228571438</v>
      </c>
      <c r="BF39" s="13">
        <f t="shared" si="37"/>
        <v>36.356653548665221</v>
      </c>
      <c r="BG39" s="20">
        <f t="shared" si="7"/>
        <v>307.60803891154438</v>
      </c>
      <c r="BH39" s="59">
        <f t="shared" si="8"/>
        <v>600.9413722448777</v>
      </c>
      <c r="BI39" s="59">
        <f ca="1">AVERAGE(OFFSET($BH$3,0,0,'Données projet'!$E$11+1,1))-AVERAGE(OFFSET($H$3,0,0,'Données projet'!$E$11+1,1))</f>
        <v>666.1523645983184</v>
      </c>
      <c r="BJ39" s="59">
        <f t="shared" si="38"/>
        <v>294.13851344047526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4.0942857142857143</v>
      </c>
      <c r="BY39" s="12">
        <f>IF('Données projet'!$A$114&gt;35,BY38+BX39-CG38,IF(A39&lt;'Données projet'!$A$114,$BV$205^A39,IF(A39='Données projet'!$A$114,'Données projet'!$B$114,BY38+BX39-CG38)))</f>
        <v>147.39428571428581</v>
      </c>
      <c r="BZ39" s="13">
        <f>BY39*VLOOKUP('Données projet'!$B$12,Paramètres!$A$1:$I$89,3,0)*VLOOKUP('Données projet'!$B$12,Paramètres!$A$1:$I$89,5,0)</f>
        <v>158.65520914285725</v>
      </c>
      <c r="CA39" s="13">
        <f t="shared" si="39"/>
        <v>40.539045233961282</v>
      </c>
      <c r="CB39" s="20">
        <f t="shared" si="10"/>
        <v>346.92999303962557</v>
      </c>
      <c r="CC39" s="59">
        <f t="shared" si="11"/>
        <v>640.26332637295889</v>
      </c>
      <c r="CD39" s="59">
        <f ca="1">AVERAGE(OFFSET($CC$3,0,0,'Données projet'!$E$12+1,1))-AVERAGE(OFFSET($H$3,0,0,'Données projet'!$E$12+1,1))</f>
        <v>747.18304127457918</v>
      </c>
      <c r="CE39" s="59">
        <f t="shared" si="40"/>
        <v>327.03701004966723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4.0942857142857143</v>
      </c>
      <c r="CT39" s="12">
        <f>IF('Données projet'!$A$140&gt;35,CT38+CS39-DB38,IF(A39&lt;'Données projet'!$A$140,$CQ$205^A39,IF(A39='Données projet'!$A$140,'Données projet'!$B$140,CT38+CS39-DB38)))</f>
        <v>147.39428571428581</v>
      </c>
      <c r="CU39" s="17">
        <f>CT39*VLOOKUP('Données projet'!$B$13,Paramètres!$A$1:$I$89,3,0)*VLOOKUP('Données projet'!$B$13,Paramètres!$A$1:$I$89,5,0)</f>
        <v>142.55975314285723</v>
      </c>
      <c r="CV39" s="13">
        <f t="shared" si="41"/>
        <v>36.88278919279611</v>
      </c>
      <c r="CW39" s="20">
        <f t="shared" si="13"/>
        <v>312.52909456792958</v>
      </c>
      <c r="CX39" s="59">
        <f t="shared" si="14"/>
        <v>605.86242790126289</v>
      </c>
      <c r="CY39" s="59">
        <f ca="1">AVERAGE(OFFSET($CX$3,0,0,'Données projet'!$E$13+1,1))-AVERAGE(OFFSET($H$3,0,0,'Données projet'!$E$13+1,1))</f>
        <v>676.29219382388692</v>
      </c>
      <c r="CZ39" s="59">
        <f t="shared" si="42"/>
        <v>298.25577221580448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7.3717948717948731</v>
      </c>
      <c r="EJ39" s="12">
        <f>IF('Données projet'!$A$192&gt;35,EJ38+EI39-ER38,IF(A39&lt;'Données projet'!$A$192,$EG$205^A39,IF(A39='Données projet'!$A$192,'Données projet'!$B$192,EJ38+EI39-ER38)))</f>
        <v>113.14102564102568</v>
      </c>
      <c r="EK39" s="17">
        <f>EJ39*VLOOKUP('Données projet'!$B$15,Paramètres!$A$1:$I$89,3,0)*VLOOKUP('Données projet'!$B$15,Paramètres!$A$1:$I$89,5,0)</f>
        <v>88.250000000000028</v>
      </c>
      <c r="EL39" s="13">
        <f t="shared" si="45"/>
        <v>24.142686012928117</v>
      </c>
      <c r="EM39" s="20">
        <f t="shared" si="19"/>
        <v>195.75059480584989</v>
      </c>
      <c r="EN39" s="59">
        <f t="shared" si="20"/>
        <v>489.08392813918317</v>
      </c>
      <c r="EO39" s="59">
        <f ca="1">AVERAGE(OFFSET($EN$3,0,0,'Données projet'!$E$15+1,1))-AVERAGE(OFFSET($H$3,0,0,'Données projet'!$E$15+1,1))</f>
        <v>197.51452239559433</v>
      </c>
      <c r="EP39" s="59">
        <f t="shared" si="46"/>
        <v>196.65166921588821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1.9374200713840131</v>
      </c>
      <c r="EW39" s="21">
        <f>EXP(-LN(2)/25)*EW38+(1-EXP(-LN(2)/25))/(LN(2)/25)*Calculateur!ER39*Calculateur!ET39*VLOOKUP('Données projet'!$B$15,Paramètres!$A$1:$I$89,3,0)*0.475*44/12</f>
        <v>4.0814745092277356</v>
      </c>
      <c r="EX39" s="21">
        <f>EXP(-LN(2)/2)*EX38+(1-EXP(-LN(2)/2))/(LN(2)/2)*ER39*EU39*VLOOKUP('Données projet'!$B$15,Paramètres!$A$1:$I$89,3,0)*0.475*44/12</f>
        <v>0.83269909083960625</v>
      </c>
      <c r="EY39" s="22">
        <f t="shared" si="21"/>
        <v>6.8515936714513543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594.10366203104638</v>
      </c>
      <c r="S40" s="59">
        <f ca="1">AVERAGE(OFFSET($R$3,0,0,'Données projet'!$E$9+1,1))-AVERAGE(OFFSET($H$3,0,0,'Données projet'!$E$9+1,1))</f>
        <v>635.71275911100679</v>
      </c>
      <c r="T40" s="59">
        <f t="shared" si="34"/>
        <v>281.7776857269169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4.0942857142857143</v>
      </c>
      <c r="AI40" s="13">
        <f>IF('Données projet'!$A$62&gt;35,AI39+AH40-AQ39,IF(A40&lt;'Données projet'!$A$62,$AF$205^A40,IF(A40='Données projet'!$A$62,'Données projet'!$B$62,AI39+AH40-AQ39)))</f>
        <v>151.48857142857153</v>
      </c>
      <c r="AJ40" s="13">
        <f>AI40*VLOOKUP('Données projet'!$B$10,Paramètres!$A$1:$I$89,3,0)*VLOOKUP('Données projet'!$B$10,Paramètres!$A$1:$I$89,5,0)</f>
        <v>153.60941142857155</v>
      </c>
      <c r="AK40" s="13">
        <f t="shared" si="35"/>
        <v>39.397698754311712</v>
      </c>
      <c r="AL40" s="20">
        <f t="shared" si="4"/>
        <v>336.15405023518832</v>
      </c>
      <c r="AM40" s="59">
        <f t="shared" si="5"/>
        <v>629.48738356852164</v>
      </c>
      <c r="AN40" s="59">
        <f ca="1">AVERAGE(OFFSET($AM$3,0,0,'Données projet'!$E$10+1,1))-AVERAGE(OFFSET($H$3,0,0,'Données projet'!$E$10+1,1))</f>
        <v>706.69239849991595</v>
      </c>
      <c r="AO40" s="59">
        <f t="shared" si="36"/>
        <v>310.59887275116529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144.15652457142866</v>
      </c>
      <c r="BF40" s="13">
        <f t="shared" si="37"/>
        <v>37.247579470290766</v>
      </c>
      <c r="BG40" s="20">
        <f t="shared" si="7"/>
        <v>315.94548120599461</v>
      </c>
      <c r="BH40" s="59">
        <f t="shared" si="8"/>
        <v>609.27881453932787</v>
      </c>
      <c r="BI40" s="59">
        <f ca="1">AVERAGE(OFFSET($BH$3,0,0,'Données projet'!$E$11+1,1))-AVERAGE(OFFSET($H$3,0,0,'Données projet'!$E$11+1,1))</f>
        <v>666.1523645983184</v>
      </c>
      <c r="BJ40" s="59">
        <f t="shared" si="38"/>
        <v>294.13851344047526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4.0942857142857143</v>
      </c>
      <c r="BY40" s="12">
        <f>IF('Données projet'!$A$114&gt;35,BY39+BX40-CG39,IF(A40&lt;'Données projet'!$A$114,$BV$205^A40,IF(A40='Données projet'!$A$114,'Données projet'!$B$114,BY39+BX40-CG39)))</f>
        <v>151.48857142857153</v>
      </c>
      <c r="BZ40" s="13">
        <f>BY40*VLOOKUP('Données projet'!$B$12,Paramètres!$A$1:$I$89,3,0)*VLOOKUP('Données projet'!$B$12,Paramètres!$A$1:$I$89,5,0)</f>
        <v>163.06229828571438</v>
      </c>
      <c r="CA40" s="13">
        <f t="shared" si="39"/>
        <v>41.53246136860475</v>
      </c>
      <c r="CB40" s="20">
        <f t="shared" si="10"/>
        <v>356.33587306460578</v>
      </c>
      <c r="CC40" s="59">
        <f t="shared" si="11"/>
        <v>649.66920639793909</v>
      </c>
      <c r="CD40" s="59">
        <f ca="1">AVERAGE(OFFSET($CC$3,0,0,'Données projet'!$E$12+1,1))-AVERAGE(OFFSET($H$3,0,0,'Données projet'!$E$12+1,1))</f>
        <v>747.18304127457918</v>
      </c>
      <c r="CE40" s="59">
        <f t="shared" si="40"/>
        <v>327.03701004966723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4.0942857142857143</v>
      </c>
      <c r="CT40" s="12">
        <f>IF('Données projet'!$A$140&gt;35,CT39+CS40-DB39,IF(A40&lt;'Données projet'!$A$140,$CQ$205^A40,IF(A40='Données projet'!$A$140,'Données projet'!$B$140,CT39+CS40-DB39)))</f>
        <v>151.48857142857153</v>
      </c>
      <c r="CU40" s="17">
        <f>CT40*VLOOKUP('Données projet'!$B$13,Paramètres!$A$1:$I$89,3,0)*VLOOKUP('Données projet'!$B$13,Paramètres!$A$1:$I$89,5,0)</f>
        <v>146.5197462857144</v>
      </c>
      <c r="CV40" s="13">
        <f t="shared" si="41"/>
        <v>37.786608157039595</v>
      </c>
      <c r="CW40" s="20">
        <f t="shared" si="13"/>
        <v>321.00023398779655</v>
      </c>
      <c r="CX40" s="59">
        <f t="shared" si="14"/>
        <v>614.33356732112986</v>
      </c>
      <c r="CY40" s="59">
        <f ca="1">AVERAGE(OFFSET($CX$3,0,0,'Données projet'!$E$13+1,1))-AVERAGE(OFFSET($H$3,0,0,'Données projet'!$E$13+1,1))</f>
        <v>676.29219382388692</v>
      </c>
      <c r="CZ40" s="59">
        <f t="shared" si="42"/>
        <v>298.25577221580448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120.51282051282051</v>
      </c>
      <c r="EH40" s="12">
        <f>VLOOKUP(A40,'Données projet'!$A$191:$I$211,9,0)</f>
        <v>7.3717948717948731</v>
      </c>
      <c r="EI40" s="12">
        <f t="array" ref="EI40">INDEX(EH:EH,MIN(IF(ISNUMBER(EH40:EH236),ROW(EH40:EH236),"")))</f>
        <v>7.3717948717948731</v>
      </c>
      <c r="EJ40" s="12">
        <f>IF('Données projet'!$A$192&gt;35,EJ39+EI40-ER39,IF(A40&lt;'Données projet'!$A$192,$EG$205^A40,IF(A40='Données projet'!$A$192,'Données projet'!$B$192,EJ39+EI40-ER39)))</f>
        <v>120.51282051282055</v>
      </c>
      <c r="EK40" s="17">
        <f>EJ40*VLOOKUP('Données projet'!$B$15,Paramètres!$A$1:$I$89,3,0)*VLOOKUP('Données projet'!$B$15,Paramètres!$A$1:$I$89,5,0)</f>
        <v>94.000000000000028</v>
      </c>
      <c r="EL40" s="13">
        <f t="shared" si="45"/>
        <v>25.527473634349285</v>
      </c>
      <c r="EM40" s="20">
        <f t="shared" si="19"/>
        <v>208.17701657982505</v>
      </c>
      <c r="EN40" s="59">
        <f t="shared" si="20"/>
        <v>501.51034991315839</v>
      </c>
      <c r="EO40" s="59">
        <f ca="1">AVERAGE(OFFSET($EN$3,0,0,'Données projet'!$E$15+1,1))-AVERAGE(OFFSET($H$3,0,0,'Données projet'!$E$15+1,1))</f>
        <v>197.51452239559433</v>
      </c>
      <c r="EP40" s="59">
        <f t="shared" si="46"/>
        <v>196.65166921588821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23.076923076923077</v>
      </c>
      <c r="ES40" s="16">
        <f>IF(ISNA(VLOOKUP(A40,'Données projet'!$A$191:$I$211,5,0)),0%,VLOOKUP(A40,'Données projet'!$A$191:$I$211,5,0)*VLOOKUP('Données projet'!$B$15,Paramètres!$A$1:$I$89,7,0))</f>
        <v>0.1075</v>
      </c>
      <c r="ET40" s="16">
        <f>IF(ISNA(VLOOKUP(A40,'Données projet'!$A$191:$I$211,6,0)),0%,VLOOKUP(A40,'Données projet'!$A$191:$I$211,6,0)*VLOOKUP('Données projet'!$B$15,Paramètres!$A$1:$I$89,7,0))</f>
        <v>0.1075</v>
      </c>
      <c r="EU40" s="16">
        <f>IF(ISNA(VLOOKUP(A40,'Données projet'!$A$191:$I$211,7,0)),0%,VLOOKUP(A40,'Données projet'!$A$191:$I$211,7,0))</f>
        <v>0.25</v>
      </c>
      <c r="EV40" s="21">
        <f>EXP(-LN(2)/35)*EV39+(1-EXP(-LN(2)/35))/(LN(2)/35)*ER40*ES40*VLOOKUP('Données projet'!$B$15,Paramètres!$A$1:$I$89,3,0)*0.475*44/12</f>
        <v>4.0385136298899909</v>
      </c>
      <c r="EW40" s="21">
        <f>EXP(-LN(2)/25)*EW39+(1-EXP(-LN(2)/25))/(LN(2)/25)*Calculateur!ER40*Calculateur!ET40*VLOOKUP('Données projet'!$B$15,Paramètres!$A$1:$I$89,3,0)*0.475*44/12</f>
        <v>6.1005291651074227</v>
      </c>
      <c r="EX40" s="21">
        <f>EXP(-LN(2)/2)*EX39+(1-EXP(-LN(2)/2))/(LN(2)/2)*ER40*EU40*VLOOKUP('Données projet'!$B$15,Paramètres!$A$1:$I$89,3,0)*0.475*44/12</f>
        <v>4.8346782895448053</v>
      </c>
      <c r="EY40" s="22">
        <f t="shared" si="21"/>
        <v>14.97372108454222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602.03509030623036</v>
      </c>
      <c r="S41" s="59">
        <f ca="1">AVERAGE(OFFSET($R$3,0,0,'Données projet'!$E$9+1,1))-AVERAGE(OFFSET($H$3,0,0,'Données projet'!$E$9+1,1))</f>
        <v>635.71275911100679</v>
      </c>
      <c r="T41" s="59">
        <f t="shared" si="34"/>
        <v>281.7776857269169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4.0942857142857143</v>
      </c>
      <c r="AI41" s="13">
        <f>IF('Données projet'!$A$62&gt;35,AI40+AH41-AQ40,IF(A41&lt;'Données projet'!$A$62,$AF$205^A41,IF(A41='Données projet'!$A$62,'Données projet'!$B$62,AI40+AH41-AQ40)))</f>
        <v>155.58285714285725</v>
      </c>
      <c r="AJ41" s="13">
        <f>AI41*VLOOKUP('Données projet'!$B$10,Paramètres!$A$1:$I$89,3,0)*VLOOKUP('Données projet'!$B$10,Paramètres!$A$1:$I$89,5,0)</f>
        <v>157.76101714285727</v>
      </c>
      <c r="AK41" s="13">
        <f t="shared" si="35"/>
        <v>40.337093121354812</v>
      </c>
      <c r="AL41" s="20">
        <f t="shared" si="4"/>
        <v>345.02087537683605</v>
      </c>
      <c r="AM41" s="59">
        <f t="shared" si="5"/>
        <v>638.35420871016936</v>
      </c>
      <c r="AN41" s="59">
        <f ca="1">AVERAGE(OFFSET($AM$3,0,0,'Données projet'!$E$10+1,1))-AVERAGE(OFFSET($H$3,0,0,'Données projet'!$E$10+1,1))</f>
        <v>706.69239849991595</v>
      </c>
      <c r="AO41" s="59">
        <f t="shared" si="36"/>
        <v>310.59887275116529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148.05264685714295</v>
      </c>
      <c r="BF41" s="13">
        <f t="shared" si="37"/>
        <v>38.135706631183687</v>
      </c>
      <c r="BG41" s="20">
        <f t="shared" si="7"/>
        <v>324.27804899216886</v>
      </c>
      <c r="BH41" s="59">
        <f t="shared" si="8"/>
        <v>617.61138232550218</v>
      </c>
      <c r="BI41" s="59">
        <f ca="1">AVERAGE(OFFSET($BH$3,0,0,'Données projet'!$E$11+1,1))-AVERAGE(OFFSET($H$3,0,0,'Données projet'!$E$11+1,1))</f>
        <v>666.1523645983184</v>
      </c>
      <c r="BJ41" s="59">
        <f t="shared" si="38"/>
        <v>294.13851344047526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4.0942857142857143</v>
      </c>
      <c r="BY41" s="12">
        <f>IF('Données projet'!$A$114&gt;35,BY40+BX41-CG40,IF(A41&lt;'Données projet'!$A$114,$BV$205^A41,IF(A41='Données projet'!$A$114,'Données projet'!$B$114,BY40+BX41-CG40)))</f>
        <v>155.58285714285725</v>
      </c>
      <c r="BZ41" s="13">
        <f>BY41*VLOOKUP('Données projet'!$B$12,Paramètres!$A$1:$I$89,3,0)*VLOOKUP('Données projet'!$B$12,Paramètres!$A$1:$I$89,5,0)</f>
        <v>167.46938742857154</v>
      </c>
      <c r="CA41" s="13">
        <f t="shared" si="39"/>
        <v>42.522756779065304</v>
      </c>
      <c r="CB41" s="20">
        <f t="shared" si="10"/>
        <v>365.7363178283008</v>
      </c>
      <c r="CC41" s="59">
        <f t="shared" si="11"/>
        <v>659.06965116163406</v>
      </c>
      <c r="CD41" s="59">
        <f ca="1">AVERAGE(OFFSET($CC$3,0,0,'Données projet'!$E$12+1,1))-AVERAGE(OFFSET($H$3,0,0,'Données projet'!$E$12+1,1))</f>
        <v>747.18304127457918</v>
      </c>
      <c r="CE41" s="59">
        <f t="shared" si="40"/>
        <v>327.03701004966723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4.0942857142857143</v>
      </c>
      <c r="CT41" s="12">
        <f>IF('Données projet'!$A$140&gt;35,CT40+CS41-DB40,IF(A41&lt;'Données projet'!$A$140,$CQ$205^A41,IF(A41='Données projet'!$A$140,'Données projet'!$B$140,CT40+CS41-DB40)))</f>
        <v>155.58285714285725</v>
      </c>
      <c r="CU41" s="17">
        <f>CT41*VLOOKUP('Données projet'!$B$13,Paramètres!$A$1:$I$89,3,0)*VLOOKUP('Données projet'!$B$13,Paramètres!$A$1:$I$89,5,0)</f>
        <v>150.47973942857155</v>
      </c>
      <c r="CV41" s="13">
        <f t="shared" si="41"/>
        <v>38.687587858258858</v>
      </c>
      <c r="CW41" s="20">
        <f t="shared" si="13"/>
        <v>329.46642835789629</v>
      </c>
      <c r="CX41" s="59">
        <f t="shared" si="14"/>
        <v>622.79976169122961</v>
      </c>
      <c r="CY41" s="59">
        <f ca="1">AVERAGE(OFFSET($CX$3,0,0,'Données projet'!$E$13+1,1))-AVERAGE(OFFSET($H$3,0,0,'Données projet'!$E$13+1,1))</f>
        <v>676.29219382388692</v>
      </c>
      <c r="CZ41" s="59">
        <f t="shared" si="42"/>
        <v>298.25577221580448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7.1428571428571432</v>
      </c>
      <c r="EJ41" s="12">
        <f>IF('Données projet'!$A$192&gt;35,EJ40+EI41-ER40,IF(A41&lt;'Données projet'!$A$192,$EG$205^A41,IF(A41='Données projet'!$A$192,'Données projet'!$B$192,EJ40+EI41-ER40)))</f>
        <v>104.57875457875461</v>
      </c>
      <c r="EK41" s="17">
        <f>EJ41*VLOOKUP('Données projet'!$B$15,Paramètres!$A$1:$I$89,3,0)*VLOOKUP('Données projet'!$B$15,Paramètres!$A$1:$I$89,5,0)</f>
        <v>81.571428571428598</v>
      </c>
      <c r="EL41" s="13">
        <f t="shared" si="45"/>
        <v>22.520970512999273</v>
      </c>
      <c r="EM41" s="20">
        <f t="shared" si="19"/>
        <v>181.29426173871184</v>
      </c>
      <c r="EN41" s="59">
        <f t="shared" si="20"/>
        <v>474.62759507204515</v>
      </c>
      <c r="EO41" s="59">
        <f ca="1">AVERAGE(OFFSET($EN$3,0,0,'Données projet'!$E$15+1,1))-AVERAGE(OFFSET($H$3,0,0,'Données projet'!$E$15+1,1))</f>
        <v>197.51452239559433</v>
      </c>
      <c r="EP41" s="59">
        <f t="shared" si="46"/>
        <v>196.65166921588821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3.9593208408579366</v>
      </c>
      <c r="EW41" s="21">
        <f>EXP(-LN(2)/25)*EW40+(1-EXP(-LN(2)/25))/(LN(2)/25)*Calculateur!ER41*Calculateur!ET41*VLOOKUP('Données projet'!$B$15,Paramètres!$A$1:$I$89,3,0)*0.475*44/12</f>
        <v>5.9337098742746743</v>
      </c>
      <c r="EX41" s="21">
        <f>EXP(-LN(2)/2)*EX40+(1-EXP(-LN(2)/2))/(LN(2)/2)*ER41*EU41*VLOOKUP('Données projet'!$B$15,Paramètres!$A$1:$I$89,3,0)*0.475*44/12</f>
        <v>3.4186338033925106</v>
      </c>
      <c r="EY41" s="22">
        <f t="shared" si="21"/>
        <v>13.31166451852512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609.96199330516015</v>
      </c>
      <c r="S42" s="59">
        <f ca="1">AVERAGE(OFFSET($R$3,0,0,'Données projet'!$E$9+1,1))-AVERAGE(OFFSET($H$3,0,0,'Données projet'!$E$9+1,1))</f>
        <v>635.71275911100679</v>
      </c>
      <c r="T42" s="59">
        <f t="shared" si="34"/>
        <v>281.7776857269169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4.0942857142857143</v>
      </c>
      <c r="AI42" s="13">
        <f>IF('Données projet'!$A$62&gt;35,AI41+AH42-AQ41,IF(A42&lt;'Données projet'!$A$62,$AF$205^A42,IF(A42='Données projet'!$A$62,'Données projet'!$B$62,AI41+AH42-AQ41)))</f>
        <v>159.67714285714297</v>
      </c>
      <c r="AJ42" s="13">
        <f>AI42*VLOOKUP('Données projet'!$B$10,Paramètres!$A$1:$I$89,3,0)*VLOOKUP('Données projet'!$B$10,Paramètres!$A$1:$I$89,5,0)</f>
        <v>161.91262285714299</v>
      </c>
      <c r="AK42" s="13">
        <f t="shared" si="35"/>
        <v>41.273614027289312</v>
      </c>
      <c r="AL42" s="20">
        <f t="shared" si="4"/>
        <v>353.88269590705289</v>
      </c>
      <c r="AM42" s="59">
        <f t="shared" si="5"/>
        <v>647.21602924038621</v>
      </c>
      <c r="AN42" s="59">
        <f ca="1">AVERAGE(OFFSET($AM$3,0,0,'Données projet'!$E$10+1,1))-AVERAGE(OFFSET($H$3,0,0,'Données projet'!$E$10+1,1))</f>
        <v>706.69239849991595</v>
      </c>
      <c r="AO42" s="59">
        <f t="shared" si="36"/>
        <v>310.59887275116529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151.94876914285726</v>
      </c>
      <c r="BF42" s="13">
        <f t="shared" si="37"/>
        <v>39.021117149369502</v>
      </c>
      <c r="BG42" s="20">
        <f t="shared" si="7"/>
        <v>332.60588529229494</v>
      </c>
      <c r="BH42" s="59">
        <f t="shared" si="8"/>
        <v>625.9392186256282</v>
      </c>
      <c r="BI42" s="59">
        <f ca="1">AVERAGE(OFFSET($BH$3,0,0,'Données projet'!$E$11+1,1))-AVERAGE(OFFSET($H$3,0,0,'Données projet'!$E$11+1,1))</f>
        <v>666.1523645983184</v>
      </c>
      <c r="BJ42" s="59">
        <f t="shared" si="38"/>
        <v>294.13851344047526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4.0942857142857143</v>
      </c>
      <c r="BY42" s="12">
        <f>IF('Données projet'!$A$114&gt;35,BY41+BX42-CG41,IF(A42&lt;'Données projet'!$A$114,$BV$205^A42,IF(A42='Données projet'!$A$114,'Données projet'!$B$114,BY41+BX42-CG41)))</f>
        <v>159.67714285714297</v>
      </c>
      <c r="BZ42" s="13">
        <f>BY42*VLOOKUP('Données projet'!$B$12,Paramètres!$A$1:$I$89,3,0)*VLOOKUP('Données projet'!$B$12,Paramètres!$A$1:$I$89,5,0)</f>
        <v>171.8764765714287</v>
      </c>
      <c r="CA42" s="13">
        <f t="shared" si="39"/>
        <v>43.510023030050547</v>
      </c>
      <c r="CB42" s="20">
        <f t="shared" si="10"/>
        <v>375.13148680590967</v>
      </c>
      <c r="CC42" s="59">
        <f t="shared" si="11"/>
        <v>668.46482013924299</v>
      </c>
      <c r="CD42" s="59">
        <f ca="1">AVERAGE(OFFSET($CC$3,0,0,'Données projet'!$E$12+1,1))-AVERAGE(OFFSET($H$3,0,0,'Données projet'!$E$12+1,1))</f>
        <v>747.18304127457918</v>
      </c>
      <c r="CE42" s="59">
        <f t="shared" si="40"/>
        <v>327.03701004966723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4.0942857142857143</v>
      </c>
      <c r="CT42" s="12">
        <f>IF('Données projet'!$A$140&gt;35,CT41+CS42-DB41,IF(A42&lt;'Données projet'!$A$140,$CQ$205^A42,IF(A42='Données projet'!$A$140,'Données projet'!$B$140,CT41+CS42-DB41)))</f>
        <v>159.67714285714297</v>
      </c>
      <c r="CU42" s="17">
        <f>CT42*VLOOKUP('Données projet'!$B$13,Paramètres!$A$1:$I$89,3,0)*VLOOKUP('Données projet'!$B$13,Paramètres!$A$1:$I$89,5,0)</f>
        <v>154.43973257142869</v>
      </c>
      <c r="CV42" s="13">
        <f t="shared" si="41"/>
        <v>39.585811602851294</v>
      </c>
      <c r="CW42" s="20">
        <f t="shared" si="13"/>
        <v>337.92782277020427</v>
      </c>
      <c r="CX42" s="59">
        <f t="shared" si="14"/>
        <v>631.26115610353759</v>
      </c>
      <c r="CY42" s="59">
        <f ca="1">AVERAGE(OFFSET($CX$3,0,0,'Données projet'!$E$13+1,1))-AVERAGE(OFFSET($H$3,0,0,'Données projet'!$E$13+1,1))</f>
        <v>676.29219382388692</v>
      </c>
      <c r="CZ42" s="59">
        <f t="shared" si="42"/>
        <v>298.25577221580448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7.1428571428571432</v>
      </c>
      <c r="EJ42" s="12">
        <f>IF('Données projet'!$A$192&gt;35,EJ41+EI42-ER41,IF(A42&lt;'Données projet'!$A$192,$EG$205^A42,IF(A42='Données projet'!$A$192,'Données projet'!$B$192,EJ41+EI42-ER41)))</f>
        <v>111.72161172161175</v>
      </c>
      <c r="EK42" s="17">
        <f>EJ42*VLOOKUP('Données projet'!$B$15,Paramètres!$A$1:$I$89,3,0)*VLOOKUP('Données projet'!$B$15,Paramètres!$A$1:$I$89,5,0)</f>
        <v>87.142857142857167</v>
      </c>
      <c r="EL42" s="13">
        <f t="shared" si="45"/>
        <v>23.874862491880062</v>
      </c>
      <c r="EM42" s="20">
        <f t="shared" si="19"/>
        <v>193.35586169716734</v>
      </c>
      <c r="EN42" s="59">
        <f t="shared" si="20"/>
        <v>486.68919503050063</v>
      </c>
      <c r="EO42" s="59">
        <f ca="1">AVERAGE(OFFSET($EN$3,0,0,'Données projet'!$E$15+1,1))-AVERAGE(OFFSET($H$3,0,0,'Données projet'!$E$15+1,1))</f>
        <v>197.51452239559433</v>
      </c>
      <c r="EP42" s="59">
        <f t="shared" si="46"/>
        <v>196.65166921588821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3.881680974115969</v>
      </c>
      <c r="EW42" s="21">
        <f>EXP(-LN(2)/25)*EW41+(1-EXP(-LN(2)/25))/(LN(2)/25)*Calculateur!ER42*Calculateur!ET42*VLOOKUP('Données projet'!$B$15,Paramètres!$A$1:$I$89,3,0)*0.475*44/12</f>
        <v>5.7714522657223926</v>
      </c>
      <c r="EX42" s="21">
        <f>EXP(-LN(2)/2)*EX41+(1-EXP(-LN(2)/2))/(LN(2)/2)*ER42*EU42*VLOOKUP('Données projet'!$B$15,Paramètres!$A$1:$I$89,3,0)*0.475*44/12</f>
        <v>2.4173391447724026</v>
      </c>
      <c r="EY42" s="22">
        <f t="shared" si="21"/>
        <v>12.070472384610763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617.88450040233704</v>
      </c>
      <c r="S43" s="59">
        <f ca="1">AVERAGE(OFFSET($R$3,0,0,'Données projet'!$E$9+1,1))-AVERAGE(OFFSET($H$3,0,0,'Données projet'!$E$9+1,1))</f>
        <v>635.71275911100679</v>
      </c>
      <c r="T43" s="59">
        <f t="shared" si="34"/>
        <v>281.7776857269169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4.0942857142857143</v>
      </c>
      <c r="AI43" s="13">
        <f>IF('Données projet'!$A$62&gt;35,AI42+AH43-AQ42,IF(A43&lt;'Données projet'!$A$62,$AF$205^A43,IF(A43='Données projet'!$A$62,'Données projet'!$B$62,AI42+AH43-AQ42)))</f>
        <v>163.77142857142869</v>
      </c>
      <c r="AJ43" s="13">
        <f>AI43*VLOOKUP('Données projet'!$B$10,Paramètres!$A$1:$I$89,3,0)*VLOOKUP('Données projet'!$B$10,Paramètres!$A$1:$I$89,5,0)</f>
        <v>166.06422857142869</v>
      </c>
      <c r="AK43" s="13">
        <f t="shared" si="35"/>
        <v>42.20734362237048</v>
      </c>
      <c r="AL43" s="20">
        <f t="shared" si="4"/>
        <v>362.73965490420022</v>
      </c>
      <c r="AM43" s="59">
        <f t="shared" si="5"/>
        <v>656.07298823753354</v>
      </c>
      <c r="AN43" s="59">
        <f ca="1">AVERAGE(OFFSET($AM$3,0,0,'Données projet'!$E$10+1,1))-AVERAGE(OFFSET($H$3,0,0,'Données projet'!$E$10+1,1))</f>
        <v>706.69239849991595</v>
      </c>
      <c r="AO43" s="59">
        <f t="shared" si="36"/>
        <v>310.59887275116529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155.84489142857154</v>
      </c>
      <c r="BF43" s="13">
        <f t="shared" si="37"/>
        <v>39.903888691774469</v>
      </c>
      <c r="BG43" s="20">
        <f t="shared" si="7"/>
        <v>340.92912537626927</v>
      </c>
      <c r="BH43" s="59">
        <f t="shared" si="8"/>
        <v>634.26245870960258</v>
      </c>
      <c r="BI43" s="59">
        <f ca="1">AVERAGE(OFFSET($BH$3,0,0,'Données projet'!$E$11+1,1))-AVERAGE(OFFSET($H$3,0,0,'Données projet'!$E$11+1,1))</f>
        <v>666.1523645983184</v>
      </c>
      <c r="BJ43" s="59">
        <f t="shared" si="38"/>
        <v>294.13851344047526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4.0942857142857143</v>
      </c>
      <c r="BY43" s="12">
        <f>IF('Données projet'!$A$114&gt;35,BY42+BX43-CG42,IF(A43&lt;'Données projet'!$A$114,$BV$205^A43,IF(A43='Données projet'!$A$114,'Données projet'!$B$114,BY42+BX43-CG42)))</f>
        <v>163.77142857142869</v>
      </c>
      <c r="BZ43" s="13">
        <f>BY43*VLOOKUP('Données projet'!$B$12,Paramètres!$A$1:$I$89,3,0)*VLOOKUP('Données projet'!$B$12,Paramètres!$A$1:$I$89,5,0)</f>
        <v>176.28356571428583</v>
      </c>
      <c r="CA43" s="13">
        <f t="shared" si="39"/>
        <v>44.494346723123805</v>
      </c>
      <c r="CB43" s="20">
        <f t="shared" si="10"/>
        <v>384.52153082848844</v>
      </c>
      <c r="CC43" s="59">
        <f t="shared" si="11"/>
        <v>677.85486416182175</v>
      </c>
      <c r="CD43" s="59">
        <f ca="1">AVERAGE(OFFSET($CC$3,0,0,'Données projet'!$E$12+1,1))-AVERAGE(OFFSET($H$3,0,0,'Données projet'!$E$12+1,1))</f>
        <v>747.18304127457918</v>
      </c>
      <c r="CE43" s="59">
        <f t="shared" si="40"/>
        <v>327.03701004966723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4.0942857142857143</v>
      </c>
      <c r="CT43" s="12">
        <f>IF('Données projet'!$A$140&gt;35,CT42+CS43-DB42,IF(A43&lt;'Données projet'!$A$140,$CQ$205^A43,IF(A43='Données projet'!$A$140,'Données projet'!$B$140,CT42+CS43-DB42)))</f>
        <v>163.77142857142869</v>
      </c>
      <c r="CU43" s="17">
        <f>CT43*VLOOKUP('Données projet'!$B$13,Paramètres!$A$1:$I$89,3,0)*VLOOKUP('Données projet'!$B$13,Paramètres!$A$1:$I$89,5,0)</f>
        <v>158.39972571428584</v>
      </c>
      <c r="CV43" s="13">
        <f t="shared" si="41"/>
        <v>40.481358181700742</v>
      </c>
      <c r="CW43" s="20">
        <f t="shared" si="13"/>
        <v>346.38455445217664</v>
      </c>
      <c r="CX43" s="59">
        <f t="shared" si="14"/>
        <v>639.7178877855099</v>
      </c>
      <c r="CY43" s="59">
        <f ca="1">AVERAGE(OFFSET($CX$3,0,0,'Données projet'!$E$13+1,1))-AVERAGE(OFFSET($H$3,0,0,'Données projet'!$E$13+1,1))</f>
        <v>676.29219382388692</v>
      </c>
      <c r="CZ43" s="59">
        <f t="shared" si="42"/>
        <v>298.25577221580448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7.1428571428571432</v>
      </c>
      <c r="EJ43" s="12">
        <f>IF('Données projet'!$A$192&gt;35,EJ42+EI43-ER42,IF(A43&lt;'Données projet'!$A$192,$EG$205^A43,IF(A43='Données projet'!$A$192,'Données projet'!$B$192,EJ42+EI43-ER42)))</f>
        <v>118.86446886446889</v>
      </c>
      <c r="EK43" s="17">
        <f>EJ43*VLOOKUP('Données projet'!$B$15,Paramètres!$A$1:$I$89,3,0)*VLOOKUP('Données projet'!$B$15,Paramètres!$A$1:$I$89,5,0)</f>
        <v>92.714285714285737</v>
      </c>
      <c r="EL43" s="13">
        <f t="shared" si="45"/>
        <v>25.218709027237011</v>
      </c>
      <c r="EM43" s="20">
        <f t="shared" si="19"/>
        <v>205.39996584148545</v>
      </c>
      <c r="EN43" s="59">
        <f t="shared" si="20"/>
        <v>498.73329917481874</v>
      </c>
      <c r="EO43" s="59">
        <f ca="1">AVERAGE(OFFSET($EN$3,0,0,'Données projet'!$E$15+1,1))-AVERAGE(OFFSET($H$3,0,0,'Données projet'!$E$15+1,1))</f>
        <v>197.51452239559433</v>
      </c>
      <c r="EP43" s="59">
        <f t="shared" si="46"/>
        <v>196.65166921588821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3.8055635778051689</v>
      </c>
      <c r="EW43" s="21">
        <f>EXP(-LN(2)/25)*EW42+(1-EXP(-LN(2)/25))/(LN(2)/25)*Calculateur!ER43*Calculateur!ET43*VLOOKUP('Données projet'!$B$15,Paramètres!$A$1:$I$89,3,0)*0.475*44/12</f>
        <v>5.6136316000087296</v>
      </c>
      <c r="EX43" s="21">
        <f>EXP(-LN(2)/2)*EX42+(1-EXP(-LN(2)/2))/(LN(2)/2)*ER43*EU43*VLOOKUP('Données projet'!$B$15,Paramètres!$A$1:$I$89,3,0)*0.475*44/12</f>
        <v>1.7093169016962553</v>
      </c>
      <c r="EY43" s="22">
        <f t="shared" si="21"/>
        <v>11.128512079510154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625.80273413486134</v>
      </c>
      <c r="S44" s="59">
        <f ca="1">AVERAGE(OFFSET($R$3,0,0,'Données projet'!$E$9+1,1))-AVERAGE(OFFSET($H$3,0,0,'Données projet'!$E$9+1,1))</f>
        <v>635.71275911100679</v>
      </c>
      <c r="T44" s="59">
        <f t="shared" si="34"/>
        <v>281.7776857269169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4.0942857142857143</v>
      </c>
      <c r="AI44" s="13">
        <f>IF('Données projet'!$A$62&gt;35,AI43+AH44-AQ43,IF(A44&lt;'Données projet'!$A$62,$AF$205^A44,IF(A44='Données projet'!$A$62,'Données projet'!$B$62,AI43+AH44-AQ43)))</f>
        <v>167.8657142857144</v>
      </c>
      <c r="AJ44" s="13">
        <f>AI44*VLOOKUP('Données projet'!$B$10,Paramètres!$A$1:$I$89,3,0)*VLOOKUP('Données projet'!$B$10,Paramètres!$A$1:$I$89,5,0)</f>
        <v>170.21583428571441</v>
      </c>
      <c r="AK44" s="13">
        <f t="shared" si="35"/>
        <v>43.138359715238352</v>
      </c>
      <c r="AL44" s="20">
        <f t="shared" si="4"/>
        <v>371.59188788499273</v>
      </c>
      <c r="AM44" s="59">
        <f t="shared" si="5"/>
        <v>664.92522121832599</v>
      </c>
      <c r="AN44" s="59">
        <f ca="1">AVERAGE(OFFSET($AM$3,0,0,'Données projet'!$E$10+1,1))-AVERAGE(OFFSET($H$3,0,0,'Données projet'!$E$10+1,1))</f>
        <v>706.69239849991595</v>
      </c>
      <c r="AO44" s="59">
        <f t="shared" si="36"/>
        <v>310.59887275116529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159.74101371428583</v>
      </c>
      <c r="BF44" s="13">
        <f t="shared" si="37"/>
        <v>40.784094820651994</v>
      </c>
      <c r="BG44" s="20">
        <f t="shared" si="7"/>
        <v>349.24789736501674</v>
      </c>
      <c r="BH44" s="59">
        <f t="shared" si="8"/>
        <v>642.58123069835005</v>
      </c>
      <c r="BI44" s="59">
        <f ca="1">AVERAGE(OFFSET($BH$3,0,0,'Données projet'!$E$11+1,1))-AVERAGE(OFFSET($H$3,0,0,'Données projet'!$E$11+1,1))</f>
        <v>666.1523645983184</v>
      </c>
      <c r="BJ44" s="59">
        <f t="shared" si="38"/>
        <v>294.13851344047526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4.0942857142857143</v>
      </c>
      <c r="BY44" s="12">
        <f>IF('Données projet'!$A$114&gt;35,BY43+BX44-CG43,IF(A44&lt;'Données projet'!$A$114,$BV$205^A44,IF(A44='Données projet'!$A$114,'Données projet'!$B$114,BY43+BX44-CG43)))</f>
        <v>167.8657142857144</v>
      </c>
      <c r="BZ44" s="13">
        <f>BY44*VLOOKUP('Données projet'!$B$12,Paramètres!$A$1:$I$89,3,0)*VLOOKUP('Données projet'!$B$12,Paramètres!$A$1:$I$89,5,0)</f>
        <v>180.69065485714296</v>
      </c>
      <c r="CA44" s="13">
        <f t="shared" si="39"/>
        <v>45.475809882982915</v>
      </c>
      <c r="CB44" s="20">
        <f t="shared" si="10"/>
        <v>393.9065927557192</v>
      </c>
      <c r="CC44" s="59">
        <f t="shared" si="11"/>
        <v>687.23992608905246</v>
      </c>
      <c r="CD44" s="59">
        <f ca="1">AVERAGE(OFFSET($CC$3,0,0,'Données projet'!$E$12+1,1))-AVERAGE(OFFSET($H$3,0,0,'Données projet'!$E$12+1,1))</f>
        <v>747.18304127457918</v>
      </c>
      <c r="CE44" s="59">
        <f t="shared" si="40"/>
        <v>327.03701004966723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4.0942857142857143</v>
      </c>
      <c r="CT44" s="12">
        <f>IF('Données projet'!$A$140&gt;35,CT43+CS44-DB43,IF(A44&lt;'Données projet'!$A$140,$CQ$205^A44,IF(A44='Données projet'!$A$140,'Données projet'!$B$140,CT43+CS44-DB43)))</f>
        <v>167.8657142857144</v>
      </c>
      <c r="CU44" s="17">
        <f>CT44*VLOOKUP('Données projet'!$B$13,Paramètres!$A$1:$I$89,3,0)*VLOOKUP('Données projet'!$B$13,Paramètres!$A$1:$I$89,5,0)</f>
        <v>162.35971885714298</v>
      </c>
      <c r="CV44" s="13">
        <f t="shared" si="41"/>
        <v>41.374302221617441</v>
      </c>
      <c r="CW44" s="20">
        <f t="shared" si="13"/>
        <v>354.83675337884102</v>
      </c>
      <c r="CX44" s="59">
        <f t="shared" si="14"/>
        <v>648.17008671217434</v>
      </c>
      <c r="CY44" s="59">
        <f ca="1">AVERAGE(OFFSET($CX$3,0,0,'Données projet'!$E$13+1,1))-AVERAGE(OFFSET($H$3,0,0,'Données projet'!$E$13+1,1))</f>
        <v>676.29219382388692</v>
      </c>
      <c r="CZ44" s="59">
        <f t="shared" si="42"/>
        <v>298.25577221580448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7.1428571428571432</v>
      </c>
      <c r="EJ44" s="12">
        <f>IF('Données projet'!$A$192&gt;35,EJ43+EI44-ER43,IF(A44&lt;'Données projet'!$A$192,$EG$205^A44,IF(A44='Données projet'!$A$192,'Données projet'!$B$192,EJ43+EI44-ER43)))</f>
        <v>126.00732600732603</v>
      </c>
      <c r="EK44" s="17">
        <f>EJ44*VLOOKUP('Données projet'!$B$15,Paramètres!$A$1:$I$89,3,0)*VLOOKUP('Données projet'!$B$15,Paramètres!$A$1:$I$89,5,0)</f>
        <v>98.285714285714306</v>
      </c>
      <c r="EL44" s="13">
        <f t="shared" si="45"/>
        <v>26.553182521641848</v>
      </c>
      <c r="EM44" s="20">
        <f t="shared" si="19"/>
        <v>217.42774527281196</v>
      </c>
      <c r="EN44" s="59">
        <f t="shared" si="20"/>
        <v>510.76107860614525</v>
      </c>
      <c r="EO44" s="59">
        <f ca="1">AVERAGE(OFFSET($EN$3,0,0,'Données projet'!$E$15+1,1))-AVERAGE(OFFSET($H$3,0,0,'Données projet'!$E$15+1,1))</f>
        <v>197.51452239559433</v>
      </c>
      <c r="EP44" s="59">
        <f t="shared" si="46"/>
        <v>196.65166921588821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3.7309387972089958</v>
      </c>
      <c r="EW44" s="21">
        <f>EXP(-LN(2)/25)*EW43+(1-EXP(-LN(2)/25))/(LN(2)/25)*Calculateur!ER44*Calculateur!ET44*VLOOKUP('Données projet'!$B$15,Paramètres!$A$1:$I$89,3,0)*0.475*44/12</f>
        <v>5.4601265486984349</v>
      </c>
      <c r="EX44" s="21">
        <f>EXP(-LN(2)/2)*EX43+(1-EXP(-LN(2)/2))/(LN(2)/2)*ER44*EU44*VLOOKUP('Données projet'!$B$15,Paramètres!$A$1:$I$89,3,0)*0.475*44/12</f>
        <v>1.2086695723862013</v>
      </c>
      <c r="EY44" s="22">
        <f t="shared" si="21"/>
        <v>10.399734918293632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633.71681072161061</v>
      </c>
      <c r="S45" s="59">
        <f ca="1">AVERAGE(OFFSET($R$3,0,0,'Données projet'!$E$9+1,1))-AVERAGE(OFFSET($H$3,0,0,'Données projet'!$E$9+1,1))</f>
        <v>635.71275911100679</v>
      </c>
      <c r="T45" s="59">
        <f t="shared" si="34"/>
        <v>281.7776857269169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4.0942857142857143</v>
      </c>
      <c r="AH45" s="12">
        <f t="array" ref="AH45">INDEX(AG:AG,MIN(IF(ISNUMBER(AG45:AG241),ROW(AG45:AG241),"")))</f>
        <v>4.0942857142857143</v>
      </c>
      <c r="AI45" s="13">
        <f>IF('Données projet'!$A$62&gt;35,AI44+AH45-AQ44,IF(A45&lt;'Données projet'!$A$62,$AF$205^A45,IF(A45='Données projet'!$A$62,'Données projet'!$B$62,AI44+AH45-AQ44)))</f>
        <v>171.96000000000012</v>
      </c>
      <c r="AJ45" s="13">
        <f>AI45*VLOOKUP('Données projet'!$B$10,Paramètres!$A$1:$I$89,3,0)*VLOOKUP('Données projet'!$B$10,Paramètres!$A$1:$I$89,5,0)</f>
        <v>174.36744000000013</v>
      </c>
      <c r="AK45" s="13">
        <f t="shared" si="35"/>
        <v>44.066736102586425</v>
      </c>
      <c r="AL45" s="20">
        <f t="shared" si="4"/>
        <v>380.43952337867154</v>
      </c>
      <c r="AM45" s="59">
        <f t="shared" si="5"/>
        <v>673.7728567120048</v>
      </c>
      <c r="AN45" s="59">
        <f ca="1">AVERAGE(OFFSET($AM$3,0,0,'Données projet'!$E$10+1,1))-AVERAGE(OFFSET($H$3,0,0,'Données projet'!$E$10+1,1))</f>
        <v>706.69239849991595</v>
      </c>
      <c r="AO45" s="59">
        <f t="shared" si="36"/>
        <v>310.59887275116529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44.510000000000005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17.095733695579888</v>
      </c>
      <c r="AW45" s="21">
        <f>EXP(-LN(2)/2)*AW44+(1-EXP(-LN(2)/2))/(LN(2)/2)*AQ45*AT45*VLOOKUP('Données projet'!$B$10,Paramètres!$A$1:$I$89,3,0)*0.475*44/12</f>
        <v>8.5168664661306082</v>
      </c>
      <c r="AX45" s="21">
        <f t="shared" si="6"/>
        <v>25.612600161710496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163.63713600000011</v>
      </c>
      <c r="BF45" s="13">
        <f t="shared" si="37"/>
        <v>41.661805305260039</v>
      </c>
      <c r="BG45" s="20">
        <f t="shared" si="7"/>
        <v>357.56232277332811</v>
      </c>
      <c r="BH45" s="59">
        <f t="shared" si="8"/>
        <v>650.89565610666136</v>
      </c>
      <c r="BI45" s="59">
        <f ca="1">AVERAGE(OFFSET($BH$3,0,0,'Données projet'!$E$11+1,1))-AVERAGE(OFFSET($H$3,0,0,'Données projet'!$E$11+1,1))</f>
        <v>666.1523645983184</v>
      </c>
      <c r="BJ45" s="59">
        <f t="shared" si="38"/>
        <v>294.13851344047526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16.043688545082667</v>
      </c>
      <c r="BR45" s="21">
        <f>EXP(-LN(2)/2)*BR44+(1-EXP(-LN(2)/2))/(LN(2)/2)*BL45*BO45*VLOOKUP('Données projet'!$B$11,Paramètres!$A$1:$I$89,3,0)*0.475*44/12</f>
        <v>7.992751606676415</v>
      </c>
      <c r="BS45" s="22">
        <f t="shared" si="9"/>
        <v>24.036440151759081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4.0942857142857143</v>
      </c>
      <c r="BX45" s="12">
        <f t="array" ref="BX45">INDEX(BW:BW,MIN(IF(ISNUMBER(BW45:BW241),ROW(BW45:BW241),"")))</f>
        <v>4.0942857142857143</v>
      </c>
      <c r="BY45" s="12">
        <f>IF('Données projet'!$A$114&gt;35,BY44+BX45-CG44,IF(A45&lt;'Données projet'!$A$114,$BV$205^A45,IF(A45='Données projet'!$A$114,'Données projet'!$B$114,BY44+BX45-CG44)))</f>
        <v>171.96000000000012</v>
      </c>
      <c r="BZ45" s="13">
        <f>BY45*VLOOKUP('Données projet'!$B$12,Paramètres!$A$1:$I$89,3,0)*VLOOKUP('Données projet'!$B$12,Paramètres!$A$1:$I$89,5,0)</f>
        <v>185.09774400000012</v>
      </c>
      <c r="CA45" s="13">
        <f t="shared" si="39"/>
        <v>46.454490304992056</v>
      </c>
      <c r="CB45" s="20">
        <f t="shared" si="10"/>
        <v>403.28680808119469</v>
      </c>
      <c r="CC45" s="59">
        <f t="shared" si="11"/>
        <v>696.62014141452801</v>
      </c>
      <c r="CD45" s="59">
        <f ca="1">AVERAGE(OFFSET($CC$3,0,0,'Données projet'!$E$12+1,1))-AVERAGE(OFFSET($H$3,0,0,'Données projet'!$E$12+1,1))</f>
        <v>747.18304127457918</v>
      </c>
      <c r="CE45" s="59">
        <f t="shared" si="40"/>
        <v>327.03701004966723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44.510000000000005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0.34400000000000003</v>
      </c>
      <c r="CJ45" s="16">
        <f>IF(ISNA(VLOOKUP(A45,'Données projet'!$A$113:$I$133,7,0)),0%,VLOOKUP(A45,'Données projet'!$A$113:$I$133,7,0))</f>
        <v>0.2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18.147778846077113</v>
      </c>
      <c r="CM45" s="21">
        <f>EXP(-LN(2)/2)*CM44+(1-EXP(-LN(2)/2))/(LN(2)/2)*CG45*CJ45*VLOOKUP('Données projet'!$B$12,Paramètres!$A$1:$I$89,3,0)*0.475*44/12</f>
        <v>9.0409813255847986</v>
      </c>
      <c r="CN45" s="22">
        <f t="shared" si="12"/>
        <v>27.188760171661912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4.0942857142857143</v>
      </c>
      <c r="CS45" s="12">
        <f t="array" ref="CS45">INDEX(CR:CR,MIN(IF(ISNUMBER(CR45:CR241),ROW(CR45:CR241),"")))</f>
        <v>4.0942857142857143</v>
      </c>
      <c r="CT45" s="12">
        <f>IF('Données projet'!$A$140&gt;35,CT44+CS45-DB44,IF(A45&lt;'Données projet'!$A$140,$CQ$205^A45,IF(A45='Données projet'!$A$140,'Données projet'!$B$140,CT44+CS45-DB44)))</f>
        <v>171.96000000000012</v>
      </c>
      <c r="CU45" s="17">
        <f>CT45*VLOOKUP('Données projet'!$B$13,Paramètres!$A$1:$I$89,3,0)*VLOOKUP('Données projet'!$B$13,Paramètres!$A$1:$I$89,5,0)</f>
        <v>166.31971200000012</v>
      </c>
      <c r="CV45" s="13">
        <f t="shared" si="41"/>
        <v>42.264714501525802</v>
      </c>
      <c r="CW45" s="20">
        <f t="shared" si="13"/>
        <v>363.28454282349094</v>
      </c>
      <c r="CX45" s="59">
        <f t="shared" si="14"/>
        <v>656.6178761568242</v>
      </c>
      <c r="CY45" s="59">
        <f ca="1">AVERAGE(OFFSET($CX$3,0,0,'Données projet'!$E$13+1,1))-AVERAGE(OFFSET($H$3,0,0,'Données projet'!$E$13+1,1))</f>
        <v>676.29219382388692</v>
      </c>
      <c r="CZ45" s="59">
        <f t="shared" si="42"/>
        <v>298.25577221580448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44.510000000000005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0.34400000000000003</v>
      </c>
      <c r="DE45" s="16">
        <f>IF(ISNA(VLOOKUP(A45,'Données projet'!$A$139:$I$159,7,0)),0%,VLOOKUP(A45,'Données projet'!$A$139:$I$159,7,0))</f>
        <v>0.2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16.306699832706972</v>
      </c>
      <c r="DH45" s="21">
        <f>EXP(-LN(2)/2)*DH44+(1-EXP(-LN(2)/2))/(LN(2)/2)*DB45*DE45*VLOOKUP('Données projet'!$B$13,Paramètres!$A$1:$I$89,3,0)*0.475*44/12</f>
        <v>8.1237803215399644</v>
      </c>
      <c r="DI45" s="22">
        <f t="shared" si="15"/>
        <v>24.430480154246936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7.1428571428571432</v>
      </c>
      <c r="EJ45" s="12">
        <f>IF('Données projet'!$A$192&gt;35,EJ44+EI45-ER44,IF(A45&lt;'Données projet'!$A$192,$EG$205^A45,IF(A45='Données projet'!$A$192,'Données projet'!$B$192,EJ44+EI45-ER44)))</f>
        <v>133.15018315018318</v>
      </c>
      <c r="EK45" s="17">
        <f>EJ45*VLOOKUP('Données projet'!$B$15,Paramètres!$A$1:$I$89,3,0)*VLOOKUP('Données projet'!$B$15,Paramètres!$A$1:$I$89,5,0)</f>
        <v>103.85714285714289</v>
      </c>
      <c r="EL45" s="13">
        <f t="shared" si="45"/>
        <v>27.878874840299215</v>
      </c>
      <c r="EM45" s="20">
        <f t="shared" si="19"/>
        <v>229.44023082304497</v>
      </c>
      <c r="EN45" s="59">
        <f t="shared" si="20"/>
        <v>522.77356415637826</v>
      </c>
      <c r="EO45" s="59">
        <f ca="1">AVERAGE(OFFSET($EN$3,0,0,'Données projet'!$E$15+1,1))-AVERAGE(OFFSET($H$3,0,0,'Données projet'!$E$15+1,1))</f>
        <v>197.51452239559433</v>
      </c>
      <c r="EP45" s="59">
        <f t="shared" si="46"/>
        <v>196.65166921588821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3.6577773630436923</v>
      </c>
      <c r="EW45" s="21">
        <f>EXP(-LN(2)/25)*EW44+(1-EXP(-LN(2)/25))/(LN(2)/25)*Calculateur!ER45*Calculateur!ET45*VLOOKUP('Données projet'!$B$15,Paramètres!$A$1:$I$89,3,0)*0.475*44/12</f>
        <v>5.3108191010887005</v>
      </c>
      <c r="EX45" s="21">
        <f>EXP(-LN(2)/2)*EX44+(1-EXP(-LN(2)/2))/(LN(2)/2)*ER45*EU45*VLOOKUP('Données projet'!$B$15,Paramètres!$A$1:$I$89,3,0)*0.475*44/12</f>
        <v>0.85465845084812764</v>
      </c>
      <c r="EY45" s="22">
        <f t="shared" si="21"/>
        <v>9.8232549149805202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567.08551362729156</v>
      </c>
      <c r="S46" s="59">
        <f ca="1">AVERAGE(OFFSET($R$3,0,0,'Données projet'!$E$9+1,1))-AVERAGE(OFFSET($H$3,0,0,'Données projet'!$E$9+1,1))</f>
        <v>635.71275911100679</v>
      </c>
      <c r="T46" s="59">
        <f t="shared" si="34"/>
        <v>281.7776857269169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10.110000000000001</v>
      </c>
      <c r="AI46" s="13">
        <f>IF('Données projet'!$A$62&gt;35,AI45+AH46-AQ45,IF(A46&lt;'Données projet'!$A$62,$AF$205^A46,IF(A46='Données projet'!$A$62,'Données projet'!$B$62,AI45+AH46-AQ45)))</f>
        <v>137.56000000000012</v>
      </c>
      <c r="AJ46" s="13">
        <f>AI46*VLOOKUP('Données projet'!$B$10,Paramètres!$A$1:$I$89,3,0)*VLOOKUP('Données projet'!$B$10,Paramètres!$A$1:$I$89,5,0)</f>
        <v>139.48584000000011</v>
      </c>
      <c r="AK46" s="13">
        <f t="shared" si="35"/>
        <v>36.179193448415994</v>
      </c>
      <c r="AL46" s="20">
        <f t="shared" si="4"/>
        <v>305.94993325599131</v>
      </c>
      <c r="AM46" s="59">
        <f t="shared" si="5"/>
        <v>599.28326658932463</v>
      </c>
      <c r="AN46" s="59">
        <f ca="1">AVERAGE(OFFSET($AM$3,0,0,'Données projet'!$E$10+1,1))-AVERAGE(OFFSET($H$3,0,0,'Données projet'!$E$10+1,1))</f>
        <v>706.69239849991595</v>
      </c>
      <c r="AO46" s="59">
        <f t="shared" si="36"/>
        <v>310.59887275116529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16.628249958648695</v>
      </c>
      <c r="AW46" s="21">
        <f>EXP(-LN(2)/2)*AW45+(1-EXP(-LN(2)/2))/(LN(2)/2)*AQ46*AT46*VLOOKUP('Données projet'!$B$10,Paramètres!$A$1:$I$89,3,0)*0.475*44/12</f>
        <v>6.0223340326612602</v>
      </c>
      <c r="AX46" s="21">
        <f t="shared" si="6"/>
        <v>22.650583991309954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130.90209600000011</v>
      </c>
      <c r="BF46" s="13">
        <f t="shared" si="37"/>
        <v>34.204723264285022</v>
      </c>
      <c r="BG46" s="20">
        <f t="shared" si="7"/>
        <v>287.56104355196334</v>
      </c>
      <c r="BH46" s="59">
        <f t="shared" si="8"/>
        <v>580.89437688529665</v>
      </c>
      <c r="BI46" s="59">
        <f ca="1">AVERAGE(OFFSET($BH$3,0,0,'Données projet'!$E$11+1,1))-AVERAGE(OFFSET($H$3,0,0,'Données projet'!$E$11+1,1))</f>
        <v>666.1523645983184</v>
      </c>
      <c r="BJ46" s="59">
        <f t="shared" si="38"/>
        <v>294.13851344047526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15.604973038116469</v>
      </c>
      <c r="BR46" s="21">
        <f>EXP(-LN(2)/2)*BR45+(1-EXP(-LN(2)/2))/(LN(2)/2)*BL46*BO46*VLOOKUP('Données projet'!$B$11,Paramètres!$A$1:$I$89,3,0)*0.475*44/12</f>
        <v>5.6517288614205663</v>
      </c>
      <c r="BS46" s="22">
        <f t="shared" si="9"/>
        <v>21.256701899537035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10.110000000000001</v>
      </c>
      <c r="BY46" s="12">
        <f>IF('Données projet'!$A$114&gt;35,BY45+BX46-CG45,IF(A46&lt;'Données projet'!$A$114,$BV$205^A46,IF(A46='Données projet'!$A$114,'Données projet'!$B$114,BY45+BX46-CG45)))</f>
        <v>137.56000000000012</v>
      </c>
      <c r="BZ46" s="13">
        <f>BY46*VLOOKUP('Données projet'!$B$12,Paramètres!$A$1:$I$89,3,0)*VLOOKUP('Données projet'!$B$12,Paramètres!$A$1:$I$89,5,0)</f>
        <v>148.06958400000011</v>
      </c>
      <c r="CA46" s="13">
        <f t="shared" si="39"/>
        <v>38.139561490991106</v>
      </c>
      <c r="CB46" s="20">
        <f t="shared" si="10"/>
        <v>324.31426173014296</v>
      </c>
      <c r="CC46" s="59">
        <f t="shared" si="11"/>
        <v>617.64759506347627</v>
      </c>
      <c r="CD46" s="59">
        <f ca="1">AVERAGE(OFFSET($CC$3,0,0,'Données projet'!$E$12+1,1))-AVERAGE(OFFSET($H$3,0,0,'Données projet'!$E$12+1,1))</f>
        <v>747.18304127457918</v>
      </c>
      <c r="CE46" s="59">
        <f t="shared" si="40"/>
        <v>327.03701004966723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17.651526879180921</v>
      </c>
      <c r="CM46" s="21">
        <f>EXP(-LN(2)/2)*CM45+(1-EXP(-LN(2)/2))/(LN(2)/2)*CG46*CJ46*VLOOKUP('Données projet'!$B$12,Paramètres!$A$1:$I$89,3,0)*0.475*44/12</f>
        <v>6.3929392039019532</v>
      </c>
      <c r="CN46" s="22">
        <f t="shared" si="12"/>
        <v>24.044466083082874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10.110000000000001</v>
      </c>
      <c r="CT46" s="12">
        <f>IF('Données projet'!$A$140&gt;35,CT45+CS46-DB45,IF(A46&lt;'Données projet'!$A$140,$CQ$205^A46,IF(A46='Données projet'!$A$140,'Données projet'!$B$140,CT45+CS46-DB45)))</f>
        <v>137.56000000000012</v>
      </c>
      <c r="CU46" s="17">
        <f>CT46*VLOOKUP('Données projet'!$B$13,Paramètres!$A$1:$I$89,3,0)*VLOOKUP('Données projet'!$B$13,Paramètres!$A$1:$I$89,5,0)</f>
        <v>133.04803200000012</v>
      </c>
      <c r="CV46" s="13">
        <f t="shared" si="41"/>
        <v>34.699717229636768</v>
      </c>
      <c r="CW46" s="20">
        <f t="shared" si="13"/>
        <v>292.16066324161756</v>
      </c>
      <c r="CX46" s="59">
        <f t="shared" si="14"/>
        <v>585.49399657495087</v>
      </c>
      <c r="CY46" s="59">
        <f ca="1">AVERAGE(OFFSET($CX$3,0,0,'Données projet'!$E$13+1,1))-AVERAGE(OFFSET($H$3,0,0,'Données projet'!$E$13+1,1))</f>
        <v>676.29219382388692</v>
      </c>
      <c r="CZ46" s="59">
        <f t="shared" si="42"/>
        <v>298.25577221580448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15.860792268249526</v>
      </c>
      <c r="DH46" s="21">
        <f>EXP(-LN(2)/2)*DH45+(1-EXP(-LN(2)/2))/(LN(2)/2)*DB46*DE46*VLOOKUP('Données projet'!$B$13,Paramètres!$A$1:$I$89,3,0)*0.475*44/12</f>
        <v>5.7443801542307407</v>
      </c>
      <c r="DI46" s="22">
        <f t="shared" si="15"/>
        <v>21.605172422480265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7.1428571428571432</v>
      </c>
      <c r="EJ46" s="12">
        <f>IF('Données projet'!$A$192&gt;35,EJ45+EI46-ER45,IF(A46&lt;'Données projet'!$A$192,$EG$205^A46,IF(A46='Données projet'!$A$192,'Données projet'!$B$192,EJ45+EI46-ER45)))</f>
        <v>140.29304029304032</v>
      </c>
      <c r="EK46" s="17">
        <f>EJ46*VLOOKUP('Données projet'!$B$15,Paramètres!$A$1:$I$89,3,0)*VLOOKUP('Données projet'!$B$15,Paramètres!$A$1:$I$89,5,0)</f>
        <v>109.42857142857146</v>
      </c>
      <c r="EL46" s="13">
        <f t="shared" si="45"/>
        <v>29.196310760611571</v>
      </c>
      <c r="EM46" s="20">
        <f t="shared" si="19"/>
        <v>241.43833647949381</v>
      </c>
      <c r="EN46" s="59">
        <f t="shared" si="20"/>
        <v>534.7716698128271</v>
      </c>
      <c r="EO46" s="59">
        <f ca="1">AVERAGE(OFFSET($EN$3,0,0,'Données projet'!$E$15+1,1))-AVERAGE(OFFSET($H$3,0,0,'Données projet'!$E$15+1,1))</f>
        <v>197.51452239559433</v>
      </c>
      <c r="EP46" s="59">
        <f t="shared" si="46"/>
        <v>196.65166921588821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3.5860505799783016</v>
      </c>
      <c r="EW46" s="21">
        <f>EXP(-LN(2)/25)*EW45+(1-EXP(-LN(2)/25))/(LN(2)/25)*Calculateur!ER46*Calculateur!ET46*VLOOKUP('Données projet'!$B$15,Paramètres!$A$1:$I$89,3,0)*0.475*44/12</f>
        <v>5.1655944734855916</v>
      </c>
      <c r="EX46" s="21">
        <f>EXP(-LN(2)/2)*EX45+(1-EXP(-LN(2)/2))/(LN(2)/2)*ER46*EU46*VLOOKUP('Données projet'!$B$15,Paramètres!$A$1:$I$89,3,0)*0.475*44/12</f>
        <v>0.60433478619310066</v>
      </c>
      <c r="EY46" s="22">
        <f t="shared" si="21"/>
        <v>9.3559798396569942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586.70214716038106</v>
      </c>
      <c r="S47" s="59">
        <f ca="1">AVERAGE(OFFSET($R$3,0,0,'Données projet'!$E$9+1,1))-AVERAGE(OFFSET($H$3,0,0,'Données projet'!$E$9+1,1))</f>
        <v>635.71275911100679</v>
      </c>
      <c r="T47" s="59">
        <f t="shared" si="34"/>
        <v>281.7776857269169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10.110000000000001</v>
      </c>
      <c r="AI47" s="13">
        <f>IF('Données projet'!$A$62&gt;35,AI46+AH47-AQ46,IF(A47&lt;'Données projet'!$A$62,$AF$205^A47,IF(A47='Données projet'!$A$62,'Données projet'!$B$62,AI46+AH47-AQ46)))</f>
        <v>147.67000000000013</v>
      </c>
      <c r="AJ47" s="13">
        <f>AI47*VLOOKUP('Données projet'!$B$10,Paramètres!$A$1:$I$89,3,0)*VLOOKUP('Données projet'!$B$10,Paramètres!$A$1:$I$89,5,0)</f>
        <v>149.73738000000014</v>
      </c>
      <c r="AK47" s="13">
        <f t="shared" si="35"/>
        <v>38.518898198188772</v>
      </c>
      <c r="AL47" s="20">
        <f t="shared" si="4"/>
        <v>327.87968452851231</v>
      </c>
      <c r="AM47" s="59">
        <f t="shared" si="5"/>
        <v>621.21301786184563</v>
      </c>
      <c r="AN47" s="59">
        <f ca="1">AVERAGE(OFFSET($AM$3,0,0,'Données projet'!$E$10+1,1))-AVERAGE(OFFSET($H$3,0,0,'Données projet'!$E$10+1,1))</f>
        <v>706.69239849991595</v>
      </c>
      <c r="AO47" s="59">
        <f t="shared" si="36"/>
        <v>310.59887275116529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16.173549589087784</v>
      </c>
      <c r="AW47" s="21">
        <f>EXP(-LN(2)/2)*AW46+(1-EXP(-LN(2)/2))/(LN(2)/2)*AQ47*AT47*VLOOKUP('Données projet'!$B$10,Paramètres!$A$1:$I$89,3,0)*0.475*44/12</f>
        <v>4.2584332330653041</v>
      </c>
      <c r="AX47" s="21">
        <f t="shared" si="6"/>
        <v>20.431982822153088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140.52277200000015</v>
      </c>
      <c r="BF47" s="13">
        <f t="shared" si="37"/>
        <v>36.41673922866012</v>
      </c>
      <c r="BG47" s="20">
        <f t="shared" si="7"/>
        <v>308.16964872324991</v>
      </c>
      <c r="BH47" s="59">
        <f t="shared" si="8"/>
        <v>601.50298205658328</v>
      </c>
      <c r="BI47" s="59">
        <f ca="1">AVERAGE(OFFSET($BH$3,0,0,'Données projet'!$E$11+1,1))-AVERAGE(OFFSET($H$3,0,0,'Données projet'!$E$11+1,1))</f>
        <v>666.1523645983184</v>
      </c>
      <c r="BJ47" s="59">
        <f t="shared" si="38"/>
        <v>294.13851344047526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15.178254229759307</v>
      </c>
      <c r="BR47" s="21">
        <f>EXP(-LN(2)/2)*BR46+(1-EXP(-LN(2)/2))/(LN(2)/2)*BL47*BO47*VLOOKUP('Données projet'!$B$11,Paramètres!$A$1:$I$89,3,0)*0.475*44/12</f>
        <v>3.996375803338208</v>
      </c>
      <c r="BS47" s="22">
        <f t="shared" si="9"/>
        <v>19.174630033097515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10.110000000000001</v>
      </c>
      <c r="BY47" s="12">
        <f>IF('Données projet'!$A$114&gt;35,BY46+BX47-CG46,IF(A47&lt;'Données projet'!$A$114,$BV$205^A47,IF(A47='Données projet'!$A$114,'Données projet'!$B$114,BY46+BX47-CG46)))</f>
        <v>147.67000000000013</v>
      </c>
      <c r="BZ47" s="13">
        <f>BY47*VLOOKUP('Données projet'!$B$12,Paramètres!$A$1:$I$89,3,0)*VLOOKUP('Données projet'!$B$12,Paramètres!$A$1:$I$89,5,0)</f>
        <v>158.95198800000011</v>
      </c>
      <c r="CA47" s="13">
        <f t="shared" si="39"/>
        <v>40.606043042105632</v>
      </c>
      <c r="CB47" s="20">
        <f t="shared" si="10"/>
        <v>347.56357073166754</v>
      </c>
      <c r="CC47" s="59">
        <f t="shared" si="11"/>
        <v>640.89690406500085</v>
      </c>
      <c r="CD47" s="59">
        <f ca="1">AVERAGE(OFFSET($CC$3,0,0,'Données projet'!$E$12+1,1))-AVERAGE(OFFSET($H$3,0,0,'Données projet'!$E$12+1,1))</f>
        <v>747.18304127457918</v>
      </c>
      <c r="CE47" s="59">
        <f t="shared" si="40"/>
        <v>327.03701004966723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17.168844948416261</v>
      </c>
      <c r="CM47" s="21">
        <f>EXP(-LN(2)/2)*CM46+(1-EXP(-LN(2)/2))/(LN(2)/2)*CG47*CJ47*VLOOKUP('Données projet'!$B$12,Paramètres!$A$1:$I$89,3,0)*0.475*44/12</f>
        <v>4.5204906627924002</v>
      </c>
      <c r="CN47" s="22">
        <f t="shared" si="12"/>
        <v>21.689335611208662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10.110000000000001</v>
      </c>
      <c r="CT47" s="12">
        <f>IF('Données projet'!$A$140&gt;35,CT46+CS47-DB46,IF(A47&lt;'Données projet'!$A$140,$CQ$205^A47,IF(A47='Données projet'!$A$140,'Données projet'!$B$140,CT46+CS47-DB46)))</f>
        <v>147.67000000000013</v>
      </c>
      <c r="CU47" s="17">
        <f>CT47*VLOOKUP('Données projet'!$B$13,Paramètres!$A$1:$I$89,3,0)*VLOOKUP('Données projet'!$B$13,Paramètres!$A$1:$I$89,5,0)</f>
        <v>142.82642400000012</v>
      </c>
      <c r="CV47" s="13">
        <f t="shared" si="41"/>
        <v>36.943744403258243</v>
      </c>
      <c r="CW47" s="20">
        <f t="shared" si="13"/>
        <v>313.0997099690083</v>
      </c>
      <c r="CX47" s="59">
        <f t="shared" si="14"/>
        <v>606.43304330234162</v>
      </c>
      <c r="CY47" s="59">
        <f ca="1">AVERAGE(OFFSET($CX$3,0,0,'Données projet'!$E$13+1,1))-AVERAGE(OFFSET($H$3,0,0,'Données projet'!$E$13+1,1))</f>
        <v>676.29219382388692</v>
      </c>
      <c r="CZ47" s="59">
        <f t="shared" si="42"/>
        <v>298.25577221580448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15.427078069591428</v>
      </c>
      <c r="DH47" s="21">
        <f>EXP(-LN(2)/2)*DH46+(1-EXP(-LN(2)/2))/(LN(2)/2)*DB47*DE47*VLOOKUP('Données projet'!$B$13,Paramètres!$A$1:$I$89,3,0)*0.475*44/12</f>
        <v>4.0618901607699831</v>
      </c>
      <c r="DI47" s="22">
        <f t="shared" si="15"/>
        <v>19.488968230361412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147.43589743589743</v>
      </c>
      <c r="EH47" s="12">
        <f>VLOOKUP(A47,'Données projet'!$A$191:$I$211,9,0)</f>
        <v>7.1428571428571432</v>
      </c>
      <c r="EI47" s="12">
        <f t="array" ref="EI47">INDEX(EH:EH,MIN(IF(ISNUMBER(EH47:EH243),ROW(EH47:EH243),"")))</f>
        <v>7.1428571428571432</v>
      </c>
      <c r="EJ47" s="12">
        <f>IF('Données projet'!$A$192&gt;35,EJ46+EI47-ER46,IF(A47&lt;'Données projet'!$A$192,$EG$205^A47,IF(A47='Données projet'!$A$192,'Données projet'!$B$192,EJ46+EI47-ER46)))</f>
        <v>147.43589743589746</v>
      </c>
      <c r="EK47" s="17">
        <f>EJ47*VLOOKUP('Données projet'!$B$15,Paramètres!$A$1:$I$89,3,0)*VLOOKUP('Données projet'!$B$15,Paramètres!$A$1:$I$89,5,0)</f>
        <v>115.00000000000003</v>
      </c>
      <c r="EL47" s="13">
        <f t="shared" si="45"/>
        <v>30.505958604729159</v>
      </c>
      <c r="EM47" s="20">
        <f t="shared" si="19"/>
        <v>253.42287790323667</v>
      </c>
      <c r="EN47" s="59">
        <f t="shared" si="20"/>
        <v>546.75621123656992</v>
      </c>
      <c r="EO47" s="59">
        <f ca="1">AVERAGE(OFFSET($EN$3,0,0,'Données projet'!$E$15+1,1))-AVERAGE(OFFSET($H$3,0,0,'Données projet'!$E$15+1,1))</f>
        <v>197.51452239559433</v>
      </c>
      <c r="EP47" s="59">
        <f t="shared" si="46"/>
        <v>196.65166921588821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27.564102564102562</v>
      </c>
      <c r="ES47" s="16">
        <f>IF(ISNA(VLOOKUP(A47,'Données projet'!$A$191:$I$211,5,0)),0%,VLOOKUP(A47,'Données projet'!$A$191:$I$211,5,0)*VLOOKUP('Données projet'!$B$15,Paramètres!$A$1:$I$89,7,0))</f>
        <v>0.1075</v>
      </c>
      <c r="ET47" s="16">
        <f>IF(ISNA(VLOOKUP(A47,'Données projet'!$A$191:$I$211,6,0)),0%,VLOOKUP(A47,'Données projet'!$A$191:$I$211,6,0)*VLOOKUP('Données projet'!$B$15,Paramètres!$A$1:$I$89,7,0))</f>
        <v>0.1075</v>
      </c>
      <c r="EU47" s="16">
        <f>IF(ISNA(VLOOKUP(A47,'Données projet'!$A$191:$I$211,7,0)),0%,VLOOKUP(A47,'Données projet'!$A$191:$I$211,7,0))</f>
        <v>0.25</v>
      </c>
      <c r="EV47" s="21">
        <f>EXP(-LN(2)/35)*EV46+(1-EXP(-LN(2)/35))/(LN(2)/35)*ER47*ES47*VLOOKUP('Données projet'!$B$15,Paramètres!$A$1:$I$89,3,0)*0.475*44/12</f>
        <v>6.0707487300753362</v>
      </c>
      <c r="EW47" s="21">
        <f>EXP(-LN(2)/25)*EW46+(1-EXP(-LN(2)/25))/(LN(2)/25)*Calculateur!ER47*Calculateur!ET47*VLOOKUP('Données projet'!$B$15,Paramètres!$A$1:$I$89,3,0)*0.475*44/12</f>
        <v>7.5692993546198561</v>
      </c>
      <c r="EX47" s="21">
        <f>EXP(-LN(2)/2)*EX46+(1-EXP(-LN(2)/2))/(LN(2)/2)*ER47*EU47*VLOOKUP('Données projet'!$B$15,Paramètres!$A$1:$I$89,3,0)*0.475*44/12</f>
        <v>5.4987863914280251</v>
      </c>
      <c r="EY47" s="22">
        <f t="shared" si="21"/>
        <v>19.138834476123215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606.28950942736401</v>
      </c>
      <c r="S48" s="59">
        <f ca="1">AVERAGE(OFFSET($R$3,0,0,'Données projet'!$E$9+1,1))-AVERAGE(OFFSET($H$3,0,0,'Données projet'!$E$9+1,1))</f>
        <v>635.71275911100679</v>
      </c>
      <c r="T48" s="59">
        <f t="shared" si="34"/>
        <v>281.7776857269169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10.110000000000001</v>
      </c>
      <c r="AI48" s="13">
        <f>IF('Données projet'!$A$62&gt;35,AI47+AH48-AQ47,IF(A48&lt;'Données projet'!$A$62,$AF$205^A48,IF(A48='Données projet'!$A$62,'Données projet'!$B$62,AI47+AH48-AQ47)))</f>
        <v>157.78000000000014</v>
      </c>
      <c r="AJ48" s="13">
        <f>AI48*VLOOKUP('Données projet'!$B$10,Paramètres!$A$1:$I$89,3,0)*VLOOKUP('Données projet'!$B$10,Paramètres!$A$1:$I$89,5,0)</f>
        <v>159.98892000000018</v>
      </c>
      <c r="AK48" s="13">
        <f t="shared" si="35"/>
        <v>40.840016271695262</v>
      </c>
      <c r="AL48" s="20">
        <f t="shared" si="4"/>
        <v>349.77706400653625</v>
      </c>
      <c r="AM48" s="59">
        <f t="shared" si="5"/>
        <v>643.11039733986956</v>
      </c>
      <c r="AN48" s="59">
        <f ca="1">AVERAGE(OFFSET($AM$3,0,0,'Données projet'!$E$10+1,1))-AVERAGE(OFFSET($H$3,0,0,'Données projet'!$E$10+1,1))</f>
        <v>706.69239849991595</v>
      </c>
      <c r="AO48" s="59">
        <f t="shared" si="36"/>
        <v>310.59887275116529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15.731283025044171</v>
      </c>
      <c r="AW48" s="21">
        <f>EXP(-LN(2)/2)*AW47+(1-EXP(-LN(2)/2))/(LN(2)/2)*AQ48*AT48*VLOOKUP('Données projet'!$B$10,Paramètres!$A$1:$I$89,3,0)*0.475*44/12</f>
        <v>3.0111670163306301</v>
      </c>
      <c r="AX48" s="21">
        <f t="shared" si="6"/>
        <v>18.742450041374802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150.14344800000015</v>
      </c>
      <c r="BF48" s="13">
        <f t="shared" si="37"/>
        <v>38.611182879849288</v>
      </c>
      <c r="BG48" s="20">
        <f t="shared" si="7"/>
        <v>328.74764878240444</v>
      </c>
      <c r="BH48" s="59">
        <f t="shared" si="8"/>
        <v>622.0809821157377</v>
      </c>
      <c r="BI48" s="59">
        <f ca="1">AVERAGE(OFFSET($BH$3,0,0,'Données projet'!$E$11+1,1))-AVERAGE(OFFSET($H$3,0,0,'Données projet'!$E$11+1,1))</f>
        <v>666.1523645983184</v>
      </c>
      <c r="BJ48" s="59">
        <f t="shared" si="38"/>
        <v>294.13851344047526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14.76320406965684</v>
      </c>
      <c r="BR48" s="21">
        <f>EXP(-LN(2)/2)*BR47+(1-EXP(-LN(2)/2))/(LN(2)/2)*BL48*BO48*VLOOKUP('Données projet'!$B$11,Paramètres!$A$1:$I$89,3,0)*0.475*44/12</f>
        <v>2.8258644307102836</v>
      </c>
      <c r="BS48" s="22">
        <f t="shared" si="9"/>
        <v>17.589068500367123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10.110000000000001</v>
      </c>
      <c r="BY48" s="12">
        <f>IF('Données projet'!$A$114&gt;35,BY47+BX48-CG47,IF(A48&lt;'Données projet'!$A$114,$BV$205^A48,IF(A48='Données projet'!$A$114,'Données projet'!$B$114,BY47+BX48-CG47)))</f>
        <v>157.78000000000014</v>
      </c>
      <c r="BZ48" s="13">
        <f>BY48*VLOOKUP('Données projet'!$B$12,Paramètres!$A$1:$I$89,3,0)*VLOOKUP('Données projet'!$B$12,Paramètres!$A$1:$I$89,5,0)</f>
        <v>169.83439200000015</v>
      </c>
      <c r="CA48" s="13">
        <f t="shared" si="39"/>
        <v>43.052930798699016</v>
      </c>
      <c r="CB48" s="20">
        <f t="shared" si="10"/>
        <v>370.77875387440105</v>
      </c>
      <c r="CC48" s="59">
        <f t="shared" si="11"/>
        <v>664.11208720773436</v>
      </c>
      <c r="CD48" s="59">
        <f ca="1">AVERAGE(OFFSET($CC$3,0,0,'Données projet'!$E$12+1,1))-AVERAGE(OFFSET($H$3,0,0,'Données projet'!$E$12+1,1))</f>
        <v>747.18304127457918</v>
      </c>
      <c r="CE48" s="59">
        <f t="shared" si="40"/>
        <v>327.03701004966723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16.699361980431501</v>
      </c>
      <c r="CM48" s="21">
        <f>EXP(-LN(2)/2)*CM47+(1-EXP(-LN(2)/2))/(LN(2)/2)*CG48*CJ48*VLOOKUP('Données projet'!$B$12,Paramètres!$A$1:$I$89,3,0)*0.475*44/12</f>
        <v>3.1964696019509771</v>
      </c>
      <c r="CN48" s="22">
        <f t="shared" si="12"/>
        <v>19.895831582382478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10.110000000000001</v>
      </c>
      <c r="CT48" s="12">
        <f>IF('Données projet'!$A$140&gt;35,CT47+CS48-DB47,IF(A48&lt;'Données projet'!$A$140,$CQ$205^A48,IF(A48='Données projet'!$A$140,'Données projet'!$B$140,CT47+CS48-DB47)))</f>
        <v>157.78000000000014</v>
      </c>
      <c r="CU48" s="17">
        <f>CT48*VLOOKUP('Données projet'!$B$13,Paramètres!$A$1:$I$89,3,0)*VLOOKUP('Données projet'!$B$13,Paramètres!$A$1:$I$89,5,0)</f>
        <v>152.60481600000014</v>
      </c>
      <c r="CV48" s="13">
        <f t="shared" si="41"/>
        <v>39.169944965802898</v>
      </c>
      <c r="CW48" s="20">
        <f t="shared" si="13"/>
        <v>334.00770868210697</v>
      </c>
      <c r="CX48" s="59">
        <f t="shared" si="14"/>
        <v>627.34104201544028</v>
      </c>
      <c r="CY48" s="59">
        <f ca="1">AVERAGE(OFFSET($CX$3,0,0,'Données projet'!$E$13+1,1))-AVERAGE(OFFSET($H$3,0,0,'Données projet'!$E$13+1,1))</f>
        <v>676.29219382388692</v>
      </c>
      <c r="CZ48" s="59">
        <f t="shared" si="42"/>
        <v>298.25577221580448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15.005223808503674</v>
      </c>
      <c r="DH48" s="21">
        <f>EXP(-LN(2)/2)*DH47+(1-EXP(-LN(2)/2))/(LN(2)/2)*DB48*DE48*VLOOKUP('Données projet'!$B$13,Paramètres!$A$1:$I$89,3,0)*0.475*44/12</f>
        <v>2.8721900771153708</v>
      </c>
      <c r="DI48" s="22">
        <f t="shared" si="15"/>
        <v>17.877413885619045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6.6506410256410255</v>
      </c>
      <c r="EJ48" s="12">
        <f>IF('Données projet'!$A$192&gt;35,EJ47+EI48-ER47,IF(A48&lt;'Données projet'!$A$192,$EG$205^A48,IF(A48='Données projet'!$A$192,'Données projet'!$B$192,EJ47+EI48-ER47)))</f>
        <v>126.52243589743591</v>
      </c>
      <c r="EK48" s="17">
        <f>EJ48*VLOOKUP('Données projet'!$B$15,Paramètres!$A$1:$I$89,3,0)*VLOOKUP('Données projet'!$B$15,Paramètres!$A$1:$I$89,5,0)</f>
        <v>98.687500000000014</v>
      </c>
      <c r="EL48" s="13">
        <f t="shared" si="45"/>
        <v>26.649072495226527</v>
      </c>
      <c r="EM48" s="20">
        <f t="shared" si="19"/>
        <v>218.29453042918621</v>
      </c>
      <c r="EN48" s="59">
        <f t="shared" si="20"/>
        <v>511.6278637625195</v>
      </c>
      <c r="EO48" s="59">
        <f ca="1">AVERAGE(OFFSET($EN$3,0,0,'Données projet'!$E$15+1,1))-AVERAGE(OFFSET($H$3,0,0,'Données projet'!$E$15+1,1))</f>
        <v>197.51452239559433</v>
      </c>
      <c r="EP48" s="59">
        <f t="shared" si="46"/>
        <v>196.65166921588821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5.9517050502696636</v>
      </c>
      <c r="EW48" s="21">
        <f>EXP(-LN(2)/25)*EW47+(1-EXP(-LN(2)/25))/(LN(2)/25)*Calculateur!ER48*Calculateur!ET48*VLOOKUP('Données projet'!$B$15,Paramètres!$A$1:$I$89,3,0)*0.475*44/12</f>
        <v>7.3623164657156233</v>
      </c>
      <c r="EX48" s="21">
        <f>EXP(-LN(2)/2)*EX47+(1-EXP(-LN(2)/2))/(LN(2)/2)*ER48*EU48*VLOOKUP('Données projet'!$B$15,Paramètres!$A$1:$I$89,3,0)*0.475*44/12</f>
        <v>3.8882291456750622</v>
      </c>
      <c r="EY48" s="22">
        <f t="shared" si="21"/>
        <v>17.202250661660351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625.84968951078758</v>
      </c>
      <c r="S49" s="59">
        <f ca="1">AVERAGE(OFFSET($R$3,0,0,'Données projet'!$E$9+1,1))-AVERAGE(OFFSET($H$3,0,0,'Données projet'!$E$9+1,1))</f>
        <v>635.71275911100679</v>
      </c>
      <c r="T49" s="59">
        <f t="shared" si="34"/>
        <v>281.7776857269169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10.110000000000001</v>
      </c>
      <c r="AI49" s="13">
        <f>IF('Données projet'!$A$62&gt;35,AI48+AH49-AQ48,IF(A49&lt;'Données projet'!$A$62,$AF$205^A49,IF(A49='Données projet'!$A$62,'Données projet'!$B$62,AI48+AH49-AQ48)))</f>
        <v>167.89000000000016</v>
      </c>
      <c r="AJ49" s="13">
        <f>AI49*VLOOKUP('Données projet'!$B$10,Paramètres!$A$1:$I$89,3,0)*VLOOKUP('Données projet'!$B$10,Paramètres!$A$1:$I$89,5,0)</f>
        <v>170.24046000000016</v>
      </c>
      <c r="AK49" s="13">
        <f t="shared" si="35"/>
        <v>43.143874195121747</v>
      </c>
      <c r="AL49" s="20">
        <f t="shared" si="4"/>
        <v>371.64438205650396</v>
      </c>
      <c r="AM49" s="59">
        <f t="shared" si="5"/>
        <v>664.97771538983727</v>
      </c>
      <c r="AN49" s="59">
        <f ca="1">AVERAGE(OFFSET($AM$3,0,0,'Données projet'!$E$10+1,1))-AVERAGE(OFFSET($H$3,0,0,'Données projet'!$E$10+1,1))</f>
        <v>706.69239849991595</v>
      </c>
      <c r="AO49" s="59">
        <f t="shared" si="36"/>
        <v>310.59887275116529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15.301110263452118</v>
      </c>
      <c r="AW49" s="21">
        <f>EXP(-LN(2)/2)*AW48+(1-EXP(-LN(2)/2))/(LN(2)/2)*AQ49*AT49*VLOOKUP('Données projet'!$B$10,Paramètres!$A$1:$I$89,3,0)*0.475*44/12</f>
        <v>2.129216616532652</v>
      </c>
      <c r="AX49" s="21">
        <f t="shared" si="6"/>
        <v>17.430326879984769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159.76412400000015</v>
      </c>
      <c r="BF49" s="13">
        <f t="shared" si="37"/>
        <v>40.78930834921298</v>
      </c>
      <c r="BG49" s="20">
        <f t="shared" si="7"/>
        <v>349.29722800821287</v>
      </c>
      <c r="BH49" s="59">
        <f t="shared" si="8"/>
        <v>642.63056134154613</v>
      </c>
      <c r="BI49" s="59">
        <f ca="1">AVERAGE(OFFSET($BH$3,0,0,'Données projet'!$E$11+1,1))-AVERAGE(OFFSET($H$3,0,0,'Données projet'!$E$11+1,1))</f>
        <v>666.1523645983184</v>
      </c>
      <c r="BJ49" s="59">
        <f t="shared" si="38"/>
        <v>294.13851344047526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14.359503478008914</v>
      </c>
      <c r="BR49" s="21">
        <f>EXP(-LN(2)/2)*BR48+(1-EXP(-LN(2)/2))/(LN(2)/2)*BL49*BO49*VLOOKUP('Données projet'!$B$11,Paramètres!$A$1:$I$89,3,0)*0.475*44/12</f>
        <v>1.9981879016691044</v>
      </c>
      <c r="BS49" s="22">
        <f t="shared" si="9"/>
        <v>16.35769137967802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10.110000000000001</v>
      </c>
      <c r="BY49" s="12">
        <f>IF('Données projet'!$A$114&gt;35,BY48+BX49-CG48,IF(A49&lt;'Données projet'!$A$114,$BV$205^A49,IF(A49='Données projet'!$A$114,'Données projet'!$B$114,BY48+BX49-CG48)))</f>
        <v>167.89000000000016</v>
      </c>
      <c r="BZ49" s="13">
        <f>BY49*VLOOKUP('Données projet'!$B$12,Paramètres!$A$1:$I$89,3,0)*VLOOKUP('Données projet'!$B$12,Paramètres!$A$1:$I$89,5,0)</f>
        <v>180.71679600000016</v>
      </c>
      <c r="CA49" s="13">
        <f t="shared" si="39"/>
        <v>45.481623164721867</v>
      </c>
      <c r="CB49" s="20">
        <f t="shared" si="10"/>
        <v>393.96224671189083</v>
      </c>
      <c r="CC49" s="59">
        <f t="shared" si="11"/>
        <v>687.29558004522414</v>
      </c>
      <c r="CD49" s="59">
        <f ca="1">AVERAGE(OFFSET($CC$3,0,0,'Données projet'!$E$12+1,1))-AVERAGE(OFFSET($H$3,0,0,'Données projet'!$E$12+1,1))</f>
        <v>747.18304127457918</v>
      </c>
      <c r="CE49" s="59">
        <f t="shared" si="40"/>
        <v>327.03701004966723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16.242717048895322</v>
      </c>
      <c r="CM49" s="21">
        <f>EXP(-LN(2)/2)*CM48+(1-EXP(-LN(2)/2))/(LN(2)/2)*CG49*CJ49*VLOOKUP('Données projet'!$B$12,Paramètres!$A$1:$I$89,3,0)*0.475*44/12</f>
        <v>2.2602453313962005</v>
      </c>
      <c r="CN49" s="22">
        <f t="shared" si="12"/>
        <v>18.502962380291521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10.110000000000001</v>
      </c>
      <c r="CT49" s="12">
        <f>IF('Données projet'!$A$140&gt;35,CT48+CS49-DB48,IF(A49&lt;'Données projet'!$A$140,$CQ$205^A49,IF(A49='Données projet'!$A$140,'Données projet'!$B$140,CT48+CS49-DB48)))</f>
        <v>167.89000000000016</v>
      </c>
      <c r="CU49" s="17">
        <f>CT49*VLOOKUP('Données projet'!$B$13,Paramètres!$A$1:$I$89,3,0)*VLOOKUP('Données projet'!$B$13,Paramètres!$A$1:$I$89,5,0)</f>
        <v>162.38320800000014</v>
      </c>
      <c r="CV49" s="13">
        <f t="shared" si="41"/>
        <v>41.37959119780465</v>
      </c>
      <c r="CW49" s="20">
        <f t="shared" si="13"/>
        <v>354.88687526951003</v>
      </c>
      <c r="CX49" s="59">
        <f t="shared" si="14"/>
        <v>648.22020860284329</v>
      </c>
      <c r="CY49" s="59">
        <f ca="1">AVERAGE(OFFSET($CX$3,0,0,'Données projet'!$E$13+1,1))-AVERAGE(OFFSET($H$3,0,0,'Données projet'!$E$13+1,1))</f>
        <v>676.29219382388692</v>
      </c>
      <c r="CZ49" s="59">
        <f t="shared" si="42"/>
        <v>298.25577221580448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14.594905174369716</v>
      </c>
      <c r="DH49" s="21">
        <f>EXP(-LN(2)/2)*DH48+(1-EXP(-LN(2)/2))/(LN(2)/2)*DB49*DE49*VLOOKUP('Données projet'!$B$13,Paramètres!$A$1:$I$89,3,0)*0.475*44/12</f>
        <v>2.0309450803849916</v>
      </c>
      <c r="DI49" s="22">
        <f t="shared" si="15"/>
        <v>16.625850254754706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6.6506410256410255</v>
      </c>
      <c r="EJ49" s="12">
        <f>IF('Données projet'!$A$192&gt;35,EJ48+EI49-ER48,IF(A49&lt;'Données projet'!$A$192,$EG$205^A49,IF(A49='Données projet'!$A$192,'Données projet'!$B$192,EJ48+EI49-ER48)))</f>
        <v>133.17307692307693</v>
      </c>
      <c r="EK49" s="17">
        <f>EJ49*VLOOKUP('Données projet'!$B$15,Paramètres!$A$1:$I$89,3,0)*VLOOKUP('Données projet'!$B$15,Paramètres!$A$1:$I$89,5,0)</f>
        <v>103.87500000000001</v>
      </c>
      <c r="EL49" s="13">
        <f t="shared" si="45"/>
        <v>27.883110316110333</v>
      </c>
      <c r="EM49" s="20">
        <f t="shared" si="19"/>
        <v>229.47870880055882</v>
      </c>
      <c r="EN49" s="59">
        <f t="shared" si="20"/>
        <v>522.81204213389219</v>
      </c>
      <c r="EO49" s="59">
        <f ca="1">AVERAGE(OFFSET($EN$3,0,0,'Données projet'!$E$15+1,1))-AVERAGE(OFFSET($H$3,0,0,'Données projet'!$E$15+1,1))</f>
        <v>197.51452239559433</v>
      </c>
      <c r="EP49" s="59">
        <f t="shared" si="46"/>
        <v>196.65166921588821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5.8349957444155054</v>
      </c>
      <c r="EW49" s="21">
        <f>EXP(-LN(2)/25)*EW48+(1-EXP(-LN(2)/25))/(LN(2)/25)*Calculateur!ER49*Calculateur!ET49*VLOOKUP('Données projet'!$B$15,Paramètres!$A$1:$I$89,3,0)*0.475*44/12</f>
        <v>7.1609935347932332</v>
      </c>
      <c r="EX49" s="21">
        <f>EXP(-LN(2)/2)*EX48+(1-EXP(-LN(2)/2))/(LN(2)/2)*ER49*EU49*VLOOKUP('Données projet'!$B$15,Paramètres!$A$1:$I$89,3,0)*0.475*44/12</f>
        <v>2.749393195714013</v>
      </c>
      <c r="EY49" s="22">
        <f t="shared" si="21"/>
        <v>15.745382474922753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645.38451067704409</v>
      </c>
      <c r="S50" s="59">
        <f ca="1">AVERAGE(OFFSET($R$3,0,0,'Données projet'!$E$9+1,1))-AVERAGE(OFFSET($H$3,0,0,'Données projet'!$E$9+1,1))</f>
        <v>635.71275911100679</v>
      </c>
      <c r="T50" s="59">
        <f t="shared" si="34"/>
        <v>281.7776857269169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10.110000000000001</v>
      </c>
      <c r="AI50" s="13">
        <f>IF('Données projet'!$A$62&gt;35,AI49+AH50-AQ49,IF(A50&lt;'Données projet'!$A$62,$AF$205^A50,IF(A50='Données projet'!$A$62,'Données projet'!$B$62,AI49+AH50-AQ49)))</f>
        <v>178.00000000000017</v>
      </c>
      <c r="AJ50" s="13">
        <f>AI50*VLOOKUP('Données projet'!$B$10,Paramètres!$A$1:$I$89,3,0)*VLOOKUP('Données projet'!$B$10,Paramètres!$A$1:$I$89,5,0)</f>
        <v>180.49200000000019</v>
      </c>
      <c r="AK50" s="13">
        <f t="shared" si="35"/>
        <v>45.431629706642696</v>
      </c>
      <c r="AL50" s="20">
        <f t="shared" si="4"/>
        <v>393.48365507240305</v>
      </c>
      <c r="AM50" s="59">
        <f t="shared" si="5"/>
        <v>686.81698840573631</v>
      </c>
      <c r="AN50" s="59">
        <f ca="1">AVERAGE(OFFSET($AM$3,0,0,'Données projet'!$E$10+1,1))-AVERAGE(OFFSET($H$3,0,0,'Données projet'!$E$10+1,1))</f>
        <v>706.69239849991595</v>
      </c>
      <c r="AO50" s="59">
        <f t="shared" si="36"/>
        <v>310.59887275116529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14.882700598647602</v>
      </c>
      <c r="AW50" s="21">
        <f>EXP(-LN(2)/2)*AW49+(1-EXP(-LN(2)/2))/(LN(2)/2)*AQ50*AT50*VLOOKUP('Données projet'!$B$10,Paramètres!$A$1:$I$89,3,0)*0.475*44/12</f>
        <v>1.5055835081653151</v>
      </c>
      <c r="AX50" s="21">
        <f t="shared" si="6"/>
        <v>16.388284106812918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169.38480000000015</v>
      </c>
      <c r="BF50" s="13">
        <f t="shared" si="37"/>
        <v>42.952210191662502</v>
      </c>
      <c r="BG50" s="20">
        <f t="shared" si="7"/>
        <v>369.82029275047915</v>
      </c>
      <c r="BH50" s="59">
        <f t="shared" si="8"/>
        <v>663.15362608381247</v>
      </c>
      <c r="BI50" s="59">
        <f ca="1">AVERAGE(OFFSET($BH$3,0,0,'Données projet'!$E$11+1,1))-AVERAGE(OFFSET($H$3,0,0,'Données projet'!$E$11+1,1))</f>
        <v>666.1523645983184</v>
      </c>
      <c r="BJ50" s="59">
        <f t="shared" si="38"/>
        <v>294.13851344047526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13.966842100269291</v>
      </c>
      <c r="BR50" s="21">
        <f>EXP(-LN(2)/2)*BR49+(1-EXP(-LN(2)/2))/(LN(2)/2)*BL50*BO50*VLOOKUP('Données projet'!$B$11,Paramètres!$A$1:$I$89,3,0)*0.475*44/12</f>
        <v>1.412932215355142</v>
      </c>
      <c r="BS50" s="22">
        <f t="shared" si="9"/>
        <v>15.379774315624433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10.110000000000001</v>
      </c>
      <c r="BY50" s="12">
        <f>IF('Données projet'!$A$114&gt;35,BY49+BX50-CG49,IF(A50&lt;'Données projet'!$A$114,$BV$205^A50,IF(A50='Données projet'!$A$114,'Données projet'!$B$114,BY49+BX50-CG49)))</f>
        <v>178.00000000000017</v>
      </c>
      <c r="BZ50" s="13">
        <f>BY50*VLOOKUP('Données projet'!$B$12,Paramètres!$A$1:$I$89,3,0)*VLOOKUP('Données projet'!$B$12,Paramètres!$A$1:$I$89,5,0)</f>
        <v>191.59920000000017</v>
      </c>
      <c r="CA50" s="13">
        <f t="shared" si="39"/>
        <v>47.893340610341859</v>
      </c>
      <c r="CB50" s="20">
        <f t="shared" si="10"/>
        <v>417.11617489634568</v>
      </c>
      <c r="CC50" s="59">
        <f t="shared" si="11"/>
        <v>710.44950822967894</v>
      </c>
      <c r="CD50" s="59">
        <f ca="1">AVERAGE(OFFSET($CC$3,0,0,'Données projet'!$E$12+1,1))-AVERAGE(OFFSET($H$3,0,0,'Données projet'!$E$12+1,1))</f>
        <v>747.18304127457918</v>
      </c>
      <c r="CE50" s="59">
        <f t="shared" si="40"/>
        <v>327.03701004966723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15.798559097025914</v>
      </c>
      <c r="CM50" s="21">
        <f>EXP(-LN(2)/2)*CM49+(1-EXP(-LN(2)/2))/(LN(2)/2)*CG50*CJ50*VLOOKUP('Données projet'!$B$12,Paramètres!$A$1:$I$89,3,0)*0.475*44/12</f>
        <v>1.598234800975489</v>
      </c>
      <c r="CN50" s="22">
        <f t="shared" si="12"/>
        <v>17.396793898001402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10.110000000000001</v>
      </c>
      <c r="CT50" s="12">
        <f>IF('Données projet'!$A$140&gt;35,CT49+CS50-DB49,IF(A50&lt;'Données projet'!$A$140,$CQ$205^A50,IF(A50='Données projet'!$A$140,'Données projet'!$B$140,CT49+CS50-DB49)))</f>
        <v>178.00000000000017</v>
      </c>
      <c r="CU50" s="17">
        <f>CT50*VLOOKUP('Données projet'!$B$13,Paramètres!$A$1:$I$89,3,0)*VLOOKUP('Données projet'!$B$13,Paramètres!$A$1:$I$89,5,0)</f>
        <v>172.16160000000016</v>
      </c>
      <c r="CV50" s="13">
        <f t="shared" si="41"/>
        <v>43.573793494036195</v>
      </c>
      <c r="CW50" s="20">
        <f t="shared" si="13"/>
        <v>375.73914366878006</v>
      </c>
      <c r="CX50" s="59">
        <f t="shared" si="14"/>
        <v>669.07247700211337</v>
      </c>
      <c r="CY50" s="59">
        <f ca="1">AVERAGE(OFFSET($CX$3,0,0,'Données projet'!$E$13+1,1))-AVERAGE(OFFSET($H$3,0,0,'Données projet'!$E$13+1,1))</f>
        <v>676.29219382388692</v>
      </c>
      <c r="CZ50" s="59">
        <f t="shared" si="42"/>
        <v>298.25577221580448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14.19580672486387</v>
      </c>
      <c r="DH50" s="21">
        <f>EXP(-LN(2)/2)*DH49+(1-EXP(-LN(2)/2))/(LN(2)/2)*DB50*DE50*VLOOKUP('Données projet'!$B$13,Paramètres!$A$1:$I$89,3,0)*0.475*44/12</f>
        <v>1.4360950385576854</v>
      </c>
      <c r="DI50" s="22">
        <f t="shared" si="15"/>
        <v>15.631901763421554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6.6506410256410255</v>
      </c>
      <c r="EJ50" s="12">
        <f>IF('Données projet'!$A$192&gt;35,EJ49+EI50-ER49,IF(A50&lt;'Données projet'!$A$192,$EG$205^A50,IF(A50='Données projet'!$A$192,'Données projet'!$B$192,EJ49+EI50-ER49)))</f>
        <v>139.82371794871796</v>
      </c>
      <c r="EK50" s="17">
        <f>EJ50*VLOOKUP('Données projet'!$B$15,Paramètres!$A$1:$I$89,3,0)*VLOOKUP('Données projet'!$B$15,Paramètres!$A$1:$I$89,5,0)</f>
        <v>109.06250000000001</v>
      </c>
      <c r="EL50" s="13">
        <f t="shared" si="45"/>
        <v>29.10999234861896</v>
      </c>
      <c r="EM50" s="20">
        <f t="shared" si="19"/>
        <v>240.6504241738447</v>
      </c>
      <c r="EN50" s="59">
        <f t="shared" si="20"/>
        <v>533.98375750717798</v>
      </c>
      <c r="EO50" s="59">
        <f ca="1">AVERAGE(OFFSET($EN$3,0,0,'Données projet'!$E$15+1,1))-AVERAGE(OFFSET($H$3,0,0,'Données projet'!$E$15+1,1))</f>
        <v>197.51452239559433</v>
      </c>
      <c r="EP50" s="59">
        <f t="shared" si="46"/>
        <v>196.65166921588821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5.7205750368635</v>
      </c>
      <c r="EW50" s="21">
        <f>EXP(-LN(2)/25)*EW49+(1-EXP(-LN(2)/25))/(LN(2)/25)*Calculateur!ER50*Calculateur!ET50*VLOOKUP('Données projet'!$B$15,Paramètres!$A$1:$I$89,3,0)*0.475*44/12</f>
        <v>6.9651757900040288</v>
      </c>
      <c r="EX50" s="21">
        <f>EXP(-LN(2)/2)*EX49+(1-EXP(-LN(2)/2))/(LN(2)/2)*ER50*EU50*VLOOKUP('Données projet'!$B$15,Paramètres!$A$1:$I$89,3,0)*0.475*44/12</f>
        <v>1.9441145728375313</v>
      </c>
      <c r="EY50" s="22">
        <f t="shared" si="21"/>
        <v>14.629865399705061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664.89557737942994</v>
      </c>
      <c r="S51" s="59">
        <f ca="1">AVERAGE(OFFSET($R$3,0,0,'Données projet'!$E$9+1,1))-AVERAGE(OFFSET($H$3,0,0,'Données projet'!$E$9+1,1))</f>
        <v>635.71275911100679</v>
      </c>
      <c r="T51" s="59">
        <f t="shared" si="34"/>
        <v>281.7776857269169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10.110000000000001</v>
      </c>
      <c r="AI51" s="13">
        <f>IF('Données projet'!$A$62&gt;35,AI50+AH51-AQ50,IF(A51&lt;'Données projet'!$A$62,$AF$205^A51,IF(A51='Données projet'!$A$62,'Données projet'!$B$62,AI50+AH51-AQ50)))</f>
        <v>188.11000000000018</v>
      </c>
      <c r="AJ51" s="13">
        <f>AI51*VLOOKUP('Données projet'!$B$10,Paramètres!$A$1:$I$89,3,0)*VLOOKUP('Données projet'!$B$10,Paramètres!$A$1:$I$89,5,0)</f>
        <v>190.74354000000019</v>
      </c>
      <c r="AK51" s="13">
        <f t="shared" si="35"/>
        <v>47.704301602434754</v>
      </c>
      <c r="AL51" s="20">
        <f t="shared" si="4"/>
        <v>415.29665745757416</v>
      </c>
      <c r="AM51" s="59">
        <f t="shared" si="5"/>
        <v>708.62999079090741</v>
      </c>
      <c r="AN51" s="59">
        <f ca="1">AVERAGE(OFFSET($AM$3,0,0,'Données projet'!$E$10+1,1))-AVERAGE(OFFSET($H$3,0,0,'Données projet'!$E$10+1,1))</f>
        <v>706.69239849991595</v>
      </c>
      <c r="AO51" s="59">
        <f t="shared" si="36"/>
        <v>310.59887275116529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14.475732368130375</v>
      </c>
      <c r="AW51" s="21">
        <f>EXP(-LN(2)/2)*AW50+(1-EXP(-LN(2)/2))/(LN(2)/2)*AQ51*AT51*VLOOKUP('Données projet'!$B$10,Paramètres!$A$1:$I$89,3,0)*0.475*44/12</f>
        <v>1.064608308266326</v>
      </c>
      <c r="AX51" s="21">
        <f t="shared" si="6"/>
        <v>15.540340676396701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179.00547600000019</v>
      </c>
      <c r="BF51" s="13">
        <f t="shared" si="37"/>
        <v>45.100851602834986</v>
      </c>
      <c r="BG51" s="20">
        <f t="shared" si="7"/>
        <v>390.31852057493785</v>
      </c>
      <c r="BH51" s="59">
        <f t="shared" si="8"/>
        <v>683.65185390827116</v>
      </c>
      <c r="BI51" s="59">
        <f ca="1">AVERAGE(OFFSET($BH$3,0,0,'Données projet'!$E$11+1,1))-AVERAGE(OFFSET($H$3,0,0,'Données projet'!$E$11+1,1))</f>
        <v>666.1523645983184</v>
      </c>
      <c r="BJ51" s="59">
        <f t="shared" si="38"/>
        <v>294.13851344047526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13.584918068553122</v>
      </c>
      <c r="BR51" s="21">
        <f>EXP(-LN(2)/2)*BR50+(1-EXP(-LN(2)/2))/(LN(2)/2)*BL51*BO51*VLOOKUP('Données projet'!$B$11,Paramètres!$A$1:$I$89,3,0)*0.475*44/12</f>
        <v>0.99909395083455232</v>
      </c>
      <c r="BS51" s="22">
        <f t="shared" si="9"/>
        <v>14.584012019387675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10.110000000000001</v>
      </c>
      <c r="BY51" s="12">
        <f>IF('Données projet'!$A$114&gt;35,BY50+BX51-CG50,IF(A51&lt;'Données projet'!$A$114,$BV$205^A51,IF(A51='Données projet'!$A$114,'Données projet'!$B$114,BY50+BX51-CG50)))</f>
        <v>188.11000000000018</v>
      </c>
      <c r="BZ51" s="13">
        <f>BY51*VLOOKUP('Données projet'!$B$12,Paramètres!$A$1:$I$89,3,0)*VLOOKUP('Données projet'!$B$12,Paramètres!$A$1:$I$89,5,0)</f>
        <v>202.4816040000002</v>
      </c>
      <c r="CA51" s="13">
        <f t="shared" si="39"/>
        <v>50.289157135162888</v>
      </c>
      <c r="CB51" s="20">
        <f t="shared" si="10"/>
        <v>440.24240897707568</v>
      </c>
      <c r="CC51" s="59">
        <f t="shared" si="11"/>
        <v>733.57574231040894</v>
      </c>
      <c r="CD51" s="59">
        <f ca="1">AVERAGE(OFFSET($CC$3,0,0,'Données projet'!$E$12+1,1))-AVERAGE(OFFSET($H$3,0,0,'Données projet'!$E$12+1,1))</f>
        <v>747.18304127457918</v>
      </c>
      <c r="CE51" s="59">
        <f t="shared" si="40"/>
        <v>327.03701004966723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15.366546667707626</v>
      </c>
      <c r="CM51" s="21">
        <f>EXP(-LN(2)/2)*CM50+(1-EXP(-LN(2)/2))/(LN(2)/2)*CG51*CJ51*VLOOKUP('Données projet'!$B$12,Paramètres!$A$1:$I$89,3,0)*0.475*44/12</f>
        <v>1.1301226656981005</v>
      </c>
      <c r="CN51" s="22">
        <f t="shared" si="12"/>
        <v>16.496669333405727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10.110000000000001</v>
      </c>
      <c r="CT51" s="12">
        <f>IF('Données projet'!$A$140&gt;35,CT50+CS51-DB50,IF(A51&lt;'Données projet'!$A$140,$CQ$205^A51,IF(A51='Données projet'!$A$140,'Données projet'!$B$140,CT50+CS51-DB50)))</f>
        <v>188.11000000000018</v>
      </c>
      <c r="CU51" s="17">
        <f>CT51*VLOOKUP('Données projet'!$B$13,Paramètres!$A$1:$I$89,3,0)*VLOOKUP('Données projet'!$B$13,Paramètres!$A$1:$I$89,5,0)</f>
        <v>181.93999200000019</v>
      </c>
      <c r="CV51" s="13">
        <f t="shared" si="41"/>
        <v>45.753528989029135</v>
      </c>
      <c r="CW51" s="20">
        <f t="shared" si="13"/>
        <v>396.56621572255932</v>
      </c>
      <c r="CX51" s="59">
        <f t="shared" si="14"/>
        <v>689.89954905589263</v>
      </c>
      <c r="CY51" s="59">
        <f ca="1">AVERAGE(OFFSET($CX$3,0,0,'Données projet'!$E$13+1,1))-AVERAGE(OFFSET($H$3,0,0,'Données projet'!$E$13+1,1))</f>
        <v>676.29219382388692</v>
      </c>
      <c r="CZ51" s="59">
        <f t="shared" si="42"/>
        <v>298.25577221580448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13.807621643447437</v>
      </c>
      <c r="DH51" s="21">
        <f>EXP(-LN(2)/2)*DH50+(1-EXP(-LN(2)/2))/(LN(2)/2)*DB51*DE51*VLOOKUP('Données projet'!$B$13,Paramètres!$A$1:$I$89,3,0)*0.475*44/12</f>
        <v>1.0154725401924958</v>
      </c>
      <c r="DI51" s="22">
        <f t="shared" si="15"/>
        <v>14.823094183639933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6.6506410256410255</v>
      </c>
      <c r="EJ51" s="12">
        <f>IF('Données projet'!$A$192&gt;35,EJ50+EI51-ER50,IF(A51&lt;'Données projet'!$A$192,$EG$205^A51,IF(A51='Données projet'!$A$192,'Données projet'!$B$192,EJ50+EI51-ER50)))</f>
        <v>146.47435897435898</v>
      </c>
      <c r="EK51" s="17">
        <f>EJ51*VLOOKUP('Données projet'!$B$15,Paramètres!$A$1:$I$89,3,0)*VLOOKUP('Données projet'!$B$15,Paramètres!$A$1:$I$89,5,0)</f>
        <v>114.25</v>
      </c>
      <c r="EL51" s="13">
        <f t="shared" si="45"/>
        <v>30.330097814653229</v>
      </c>
      <c r="EM51" s="20">
        <f t="shared" si="19"/>
        <v>251.81033702718767</v>
      </c>
      <c r="EN51" s="59">
        <f t="shared" si="20"/>
        <v>545.14367036052101</v>
      </c>
      <c r="EO51" s="59">
        <f ca="1">AVERAGE(OFFSET($EN$3,0,0,'Données projet'!$E$15+1,1))-AVERAGE(OFFSET($H$3,0,0,'Données projet'!$E$15+1,1))</f>
        <v>197.51452239559433</v>
      </c>
      <c r="EP51" s="59">
        <f t="shared" si="46"/>
        <v>196.65166921588821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5.6083980495968486</v>
      </c>
      <c r="EW51" s="21">
        <f>EXP(-LN(2)/25)*EW50+(1-EXP(-LN(2)/25))/(LN(2)/25)*Calculateur!ER51*Calculateur!ET51*VLOOKUP('Données projet'!$B$15,Paramètres!$A$1:$I$89,3,0)*0.475*44/12</f>
        <v>6.7747126917436926</v>
      </c>
      <c r="EX51" s="21">
        <f>EXP(-LN(2)/2)*EX50+(1-EXP(-LN(2)/2))/(LN(2)/2)*ER51*EU51*VLOOKUP('Données projet'!$B$15,Paramètres!$A$1:$I$89,3,0)*0.475*44/12</f>
        <v>1.3746965978570067</v>
      </c>
      <c r="EY51" s="22">
        <f t="shared" si="21"/>
        <v>13.757807339197548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684.38431186767161</v>
      </c>
      <c r="S52" s="59">
        <f ca="1">AVERAGE(OFFSET($R$3,0,0,'Données projet'!$E$9+1,1))-AVERAGE(OFFSET($H$3,0,0,'Données projet'!$E$9+1,1))</f>
        <v>635.71275911100679</v>
      </c>
      <c r="T52" s="59">
        <f t="shared" si="34"/>
        <v>281.7776857269169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10.110000000000001</v>
      </c>
      <c r="AI52" s="13">
        <f>IF('Données projet'!$A$62&gt;35,AI51+AH52-AQ51,IF(A52&lt;'Données projet'!$A$62,$AF$205^A52,IF(A52='Données projet'!$A$62,'Données projet'!$B$62,AI51+AH52-AQ51)))</f>
        <v>198.2200000000002</v>
      </c>
      <c r="AJ52" s="13">
        <f>AI52*VLOOKUP('Données projet'!$B$10,Paramètres!$A$1:$I$89,3,0)*VLOOKUP('Données projet'!$B$10,Paramètres!$A$1:$I$89,5,0)</f>
        <v>200.9950800000002</v>
      </c>
      <c r="AK52" s="13">
        <f t="shared" si="35"/>
        <v>49.962792983004405</v>
      </c>
      <c r="AL52" s="20">
        <f t="shared" si="4"/>
        <v>437.08496211206631</v>
      </c>
      <c r="AM52" s="59">
        <f t="shared" si="5"/>
        <v>730.41829544539962</v>
      </c>
      <c r="AN52" s="59">
        <f ca="1">AVERAGE(OFFSET($AM$3,0,0,'Données projet'!$E$10+1,1))-AVERAGE(OFFSET($H$3,0,0,'Données projet'!$E$10+1,1))</f>
        <v>706.69239849991595</v>
      </c>
      <c r="AO52" s="59">
        <f t="shared" si="36"/>
        <v>310.59887275116529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14.079892705278169</v>
      </c>
      <c r="AW52" s="21">
        <f>EXP(-LN(2)/2)*AW51+(1-EXP(-LN(2)/2))/(LN(2)/2)*AQ52*AT52*VLOOKUP('Données projet'!$B$10,Paramètres!$A$1:$I$89,3,0)*0.475*44/12</f>
        <v>0.75279175408265753</v>
      </c>
      <c r="AX52" s="21">
        <f t="shared" si="6"/>
        <v>14.832684459360827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188.62615200000019</v>
      </c>
      <c r="BF52" s="13">
        <f t="shared" si="37"/>
        <v>47.236086396758743</v>
      </c>
      <c r="BG52" s="20">
        <f t="shared" si="7"/>
        <v>410.79339854102176</v>
      </c>
      <c r="BH52" s="59">
        <f t="shared" si="8"/>
        <v>704.12673187435507</v>
      </c>
      <c r="BI52" s="59">
        <f ca="1">AVERAGE(OFFSET($BH$3,0,0,'Données projet'!$E$11+1,1))-AVERAGE(OFFSET($H$3,0,0,'Données projet'!$E$11+1,1))</f>
        <v>666.1523645983184</v>
      </c>
      <c r="BJ52" s="59">
        <f t="shared" si="38"/>
        <v>294.13851344047526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13.213437769568745</v>
      </c>
      <c r="BR52" s="21">
        <f>EXP(-LN(2)/2)*BR51+(1-EXP(-LN(2)/2))/(LN(2)/2)*BL52*BO52*VLOOKUP('Données projet'!$B$11,Paramètres!$A$1:$I$89,3,0)*0.475*44/12</f>
        <v>0.70646610767757112</v>
      </c>
      <c r="BS52" s="22">
        <f t="shared" si="9"/>
        <v>13.919903877246316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10.110000000000001</v>
      </c>
      <c r="BY52" s="12">
        <f>IF('Données projet'!$A$114&gt;35,BY51+BX52-CG51,IF(A52&lt;'Données projet'!$A$114,$BV$205^A52,IF(A52='Données projet'!$A$114,'Données projet'!$B$114,BY51+BX52-CG51)))</f>
        <v>198.2200000000002</v>
      </c>
      <c r="BZ52" s="13">
        <f>BY52*VLOOKUP('Données projet'!$B$12,Paramètres!$A$1:$I$89,3,0)*VLOOKUP('Données projet'!$B$12,Paramètres!$A$1:$I$89,5,0)</f>
        <v>213.36400800000021</v>
      </c>
      <c r="CA52" s="13">
        <f t="shared" si="39"/>
        <v>52.670024774153262</v>
      </c>
      <c r="CB52" s="20">
        <f t="shared" si="10"/>
        <v>463.34260708165061</v>
      </c>
      <c r="CC52" s="59">
        <f t="shared" si="11"/>
        <v>756.67594041498387</v>
      </c>
      <c r="CD52" s="59">
        <f ca="1">AVERAGE(OFFSET($CC$3,0,0,'Données projet'!$E$12+1,1))-AVERAGE(OFFSET($H$3,0,0,'Données projet'!$E$12+1,1))</f>
        <v>747.18304127457918</v>
      </c>
      <c r="CE52" s="59">
        <f t="shared" si="40"/>
        <v>327.03701004966723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14.946347640987591</v>
      </c>
      <c r="CM52" s="21">
        <f>EXP(-LN(2)/2)*CM51+(1-EXP(-LN(2)/2))/(LN(2)/2)*CG52*CJ52*VLOOKUP('Données projet'!$B$12,Paramètres!$A$1:$I$89,3,0)*0.475*44/12</f>
        <v>0.7991174004877446</v>
      </c>
      <c r="CN52" s="22">
        <f t="shared" si="12"/>
        <v>15.745465041475336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10.110000000000001</v>
      </c>
      <c r="CT52" s="12">
        <f>IF('Données projet'!$A$140&gt;35,CT51+CS52-DB51,IF(A52&lt;'Données projet'!$A$140,$CQ$205^A52,IF(A52='Données projet'!$A$140,'Données projet'!$B$140,CT51+CS52-DB51)))</f>
        <v>198.2200000000002</v>
      </c>
      <c r="CU52" s="17">
        <f>CT52*VLOOKUP('Données projet'!$B$13,Paramètres!$A$1:$I$89,3,0)*VLOOKUP('Données projet'!$B$13,Paramètres!$A$1:$I$89,5,0)</f>
        <v>191.71838400000021</v>
      </c>
      <c r="CV52" s="13">
        <f t="shared" si="41"/>
        <v>47.919663852789341</v>
      </c>
      <c r="CW52" s="20">
        <f t="shared" si="13"/>
        <v>417.36960001027518</v>
      </c>
      <c r="CX52" s="59">
        <f t="shared" si="14"/>
        <v>710.70293334360849</v>
      </c>
      <c r="CY52" s="59">
        <f ca="1">AVERAGE(OFFSET($CX$3,0,0,'Données projet'!$E$13+1,1))-AVERAGE(OFFSET($H$3,0,0,'Données projet'!$E$13+1,1))</f>
        <v>676.29219382388692</v>
      </c>
      <c r="CZ52" s="59">
        <f t="shared" si="42"/>
        <v>298.25577221580448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13.430051503496102</v>
      </c>
      <c r="DH52" s="21">
        <f>EXP(-LN(2)/2)*DH51+(1-EXP(-LN(2)/2))/(LN(2)/2)*DB52*DE52*VLOOKUP('Données projet'!$B$13,Paramètres!$A$1:$I$89,3,0)*0.475*44/12</f>
        <v>0.71804751927884269</v>
      </c>
      <c r="DI52" s="22">
        <f t="shared" si="15"/>
        <v>14.148099022774945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6.6506410256410255</v>
      </c>
      <c r="EJ52" s="12">
        <f>IF('Données projet'!$A$192&gt;35,EJ51+EI52-ER51,IF(A52&lt;'Données projet'!$A$192,$EG$205^A52,IF(A52='Données projet'!$A$192,'Données projet'!$B$192,EJ51+EI52-ER51)))</f>
        <v>153.125</v>
      </c>
      <c r="EK52" s="17">
        <f>EJ52*VLOOKUP('Données projet'!$B$15,Paramètres!$A$1:$I$89,3,0)*VLOOKUP('Données projet'!$B$15,Paramètres!$A$1:$I$89,5,0)</f>
        <v>119.4375</v>
      </c>
      <c r="EL52" s="13">
        <f t="shared" si="45"/>
        <v>31.5437695525004</v>
      </c>
      <c r="EM52" s="20">
        <f t="shared" si="19"/>
        <v>262.95904447060485</v>
      </c>
      <c r="EN52" s="59">
        <f t="shared" si="20"/>
        <v>556.29237780393817</v>
      </c>
      <c r="EO52" s="59">
        <f ca="1">AVERAGE(OFFSET($EN$3,0,0,'Données projet'!$E$15+1,1))-AVERAGE(OFFSET($H$3,0,0,'Données projet'!$E$15+1,1))</f>
        <v>197.51452239559433</v>
      </c>
      <c r="EP52" s="59">
        <f t="shared" si="46"/>
        <v>196.65166921588821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5.4984207846292898</v>
      </c>
      <c r="EW52" s="21">
        <f>EXP(-LN(2)/25)*EW51+(1-EXP(-LN(2)/25))/(LN(2)/25)*Calculateur!ER52*Calculateur!ET52*VLOOKUP('Données projet'!$B$15,Paramètres!$A$1:$I$89,3,0)*0.475*44/12</f>
        <v>6.5894578169213043</v>
      </c>
      <c r="EX52" s="21">
        <f>EXP(-LN(2)/2)*EX51+(1-EXP(-LN(2)/2))/(LN(2)/2)*ER52*EU52*VLOOKUP('Données projet'!$B$15,Paramètres!$A$1:$I$89,3,0)*0.475*44/12</f>
        <v>0.97205728641876588</v>
      </c>
      <c r="EY52" s="22">
        <f t="shared" si="21"/>
        <v>13.05993588796936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703.8519831159831</v>
      </c>
      <c r="S53" s="59">
        <f ca="1">AVERAGE(OFFSET($R$3,0,0,'Données projet'!$E$9+1,1))-AVERAGE(OFFSET($H$3,0,0,'Données projet'!$E$9+1,1))</f>
        <v>635.71275911100679</v>
      </c>
      <c r="T53" s="59">
        <f t="shared" si="34"/>
        <v>281.7776857269169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10.110000000000001</v>
      </c>
      <c r="AH53" s="12">
        <f t="array" ref="AH53">INDEX(AG:AG,MIN(IF(ISNUMBER(AG53:AG249),ROW(AG53:AG249),"")))</f>
        <v>10.110000000000001</v>
      </c>
      <c r="AI53" s="13">
        <f>IF('Données projet'!$A$62&gt;35,AI52+AH53-AQ52,IF(A53&lt;'Données projet'!$A$62,$AF$205^A53,IF(A53='Données projet'!$A$62,'Données projet'!$B$62,AI52+AH53-AQ52)))</f>
        <v>208.33000000000021</v>
      </c>
      <c r="AJ53" s="13">
        <f>AI53*VLOOKUP('Données projet'!$B$10,Paramètres!$A$1:$I$89,3,0)*VLOOKUP('Données projet'!$B$10,Paramètres!$A$1:$I$89,5,0)</f>
        <v>211.24662000000023</v>
      </c>
      <c r="AK53" s="13">
        <f t="shared" si="35"/>
        <v>52.207909621932217</v>
      </c>
      <c r="AL53" s="20">
        <f t="shared" si="4"/>
        <v>458.84997242486565</v>
      </c>
      <c r="AM53" s="59">
        <f t="shared" si="5"/>
        <v>752.18330575819891</v>
      </c>
      <c r="AN53" s="59">
        <f ca="1">AVERAGE(OFFSET($AM$3,0,0,'Données projet'!$E$10+1,1))-AVERAGE(OFFSET($H$3,0,0,'Données projet'!$E$10+1,1))</f>
        <v>706.69239849991595</v>
      </c>
      <c r="AO53" s="59">
        <f t="shared" si="36"/>
        <v>310.59887275116529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37.54000000000002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28.113521264944488</v>
      </c>
      <c r="AW53" s="21">
        <f>EXP(-LN(2)/2)*AW52+(1-EXP(-LN(2)/2))/(LN(2)/2)*AQ53*AT53*VLOOKUP('Données projet'!$B$10,Paramètres!$A$1:$I$89,3,0)*0.475*44/12</f>
        <v>7.7154802300384224</v>
      </c>
      <c r="AX53" s="21">
        <f t="shared" si="6"/>
        <v>35.829001494982911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198.24682800000019</v>
      </c>
      <c r="BF53" s="13">
        <f t="shared" si="37"/>
        <v>49.358676372128407</v>
      </c>
      <c r="BG53" s="20">
        <f t="shared" si="7"/>
        <v>431.24625344812392</v>
      </c>
      <c r="BH53" s="59">
        <f t="shared" si="8"/>
        <v>724.57958678145724</v>
      </c>
      <c r="BI53" s="59">
        <f ca="1">AVERAGE(OFFSET($BH$3,0,0,'Données projet'!$E$11+1,1))-AVERAGE(OFFSET($H$3,0,0,'Données projet'!$E$11+1,1))</f>
        <v>666.1523645983184</v>
      </c>
      <c r="BJ53" s="59">
        <f t="shared" si="38"/>
        <v>294.13851344047526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26.383458417870983</v>
      </c>
      <c r="BR53" s="21">
        <f>EXP(-LN(2)/2)*BR52+(1-EXP(-LN(2)/2))/(LN(2)/2)*BL53*BO53*VLOOKUP('Données projet'!$B$11,Paramètres!$A$1:$I$89,3,0)*0.475*44/12</f>
        <v>7.2406814466514442</v>
      </c>
      <c r="BS53" s="22">
        <f t="shared" si="9"/>
        <v>33.624139864522427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10.110000000000001</v>
      </c>
      <c r="BX53" s="12">
        <f t="array" ref="BX53">INDEX(BW:BW,MIN(IF(ISNUMBER(BW53:BW249),ROW(BW53:BW249),"")))</f>
        <v>10.110000000000001</v>
      </c>
      <c r="BY53" s="12">
        <f>IF('Données projet'!$A$114&gt;35,BY52+BX53-CG52,IF(A53&lt;'Données projet'!$A$114,$BV$205^A53,IF(A53='Données projet'!$A$114,'Données projet'!$B$114,BY52+BX53-CG52)))</f>
        <v>208.33000000000021</v>
      </c>
      <c r="BZ53" s="13">
        <f>BY53*VLOOKUP('Données projet'!$B$12,Paramètres!$A$1:$I$89,3,0)*VLOOKUP('Données projet'!$B$12,Paramètres!$A$1:$I$89,5,0)</f>
        <v>224.24641200000019</v>
      </c>
      <c r="CA53" s="13">
        <f t="shared" si="39"/>
        <v>55.036792961700719</v>
      </c>
      <c r="CB53" s="20">
        <f t="shared" si="10"/>
        <v>486.41824864162896</v>
      </c>
      <c r="CC53" s="59">
        <f t="shared" si="11"/>
        <v>779.75158197496228</v>
      </c>
      <c r="CD53" s="59">
        <f ca="1">AVERAGE(OFFSET($CC$3,0,0,'Données projet'!$E$12+1,1))-AVERAGE(OFFSET($H$3,0,0,'Données projet'!$E$12+1,1))</f>
        <v>747.18304127457918</v>
      </c>
      <c r="CE53" s="59">
        <f t="shared" si="40"/>
        <v>327.03701004966723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37.54000000000002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0.34400000000000003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29.843584112017989</v>
      </c>
      <c r="CM53" s="21">
        <f>EXP(-LN(2)/2)*CM52+(1-EXP(-LN(2)/2))/(LN(2)/2)*CG53*CJ53*VLOOKUP('Données projet'!$B$12,Paramètres!$A$1:$I$89,3,0)*0.475*44/12</f>
        <v>8.1902790134254033</v>
      </c>
      <c r="CN53" s="22">
        <f t="shared" si="12"/>
        <v>38.033863125443389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10.110000000000001</v>
      </c>
      <c r="CS53" s="12">
        <f t="array" ref="CS53">INDEX(CR:CR,MIN(IF(ISNUMBER(CR53:CR249),ROW(CR53:CR249),"")))</f>
        <v>10.110000000000001</v>
      </c>
      <c r="CT53" s="12">
        <f>IF('Données projet'!$A$140&gt;35,CT52+CS53-DB52,IF(A53&lt;'Données projet'!$A$140,$CQ$205^A53,IF(A53='Données projet'!$A$140,'Données projet'!$B$140,CT52+CS53-DB52)))</f>
        <v>208.33000000000021</v>
      </c>
      <c r="CU53" s="17">
        <f>CT53*VLOOKUP('Données projet'!$B$13,Paramètres!$A$1:$I$89,3,0)*VLOOKUP('Données projet'!$B$13,Paramètres!$A$1:$I$89,5,0)</f>
        <v>201.49677600000018</v>
      </c>
      <c r="CV53" s="13">
        <f t="shared" si="41"/>
        <v>50.072970908388093</v>
      </c>
      <c r="CW53" s="20">
        <f t="shared" si="13"/>
        <v>438.15064253210954</v>
      </c>
      <c r="CX53" s="59">
        <f t="shared" si="14"/>
        <v>731.48397586544286</v>
      </c>
      <c r="CY53" s="59">
        <f ca="1">AVERAGE(OFFSET($CX$3,0,0,'Données projet'!$E$13+1,1))-AVERAGE(OFFSET($H$3,0,0,'Données projet'!$E$13+1,1))</f>
        <v>676.29219382388692</v>
      </c>
      <c r="CZ53" s="59">
        <f t="shared" si="42"/>
        <v>298.25577221580448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37.54000000000002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0.34400000000000003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26.815974129639361</v>
      </c>
      <c r="DH53" s="21">
        <f>EXP(-LN(2)/2)*DH52+(1-EXP(-LN(2)/2))/(LN(2)/2)*DB53*DE53*VLOOKUP('Données projet'!$B$13,Paramètres!$A$1:$I$89,3,0)*0.475*44/12</f>
        <v>7.3593811424981883</v>
      </c>
      <c r="DI53" s="22">
        <f t="shared" si="15"/>
        <v>34.175355272137551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6.6506410256410255</v>
      </c>
      <c r="EJ53" s="12">
        <f>IF('Données projet'!$A$192&gt;35,EJ52+EI53-ER52,IF(A53&lt;'Données projet'!$A$192,$EG$205^A53,IF(A53='Données projet'!$A$192,'Données projet'!$B$192,EJ52+EI53-ER52)))</f>
        <v>159.77564102564102</v>
      </c>
      <c r="EK53" s="17">
        <f>EJ53*VLOOKUP('Données projet'!$B$15,Paramètres!$A$1:$I$89,3,0)*VLOOKUP('Données projet'!$B$15,Paramètres!$A$1:$I$89,5,0)</f>
        <v>124.625</v>
      </c>
      <c r="EL53" s="13">
        <f t="shared" si="45"/>
        <v>32.751318935498368</v>
      </c>
      <c r="EM53" s="20">
        <f t="shared" si="19"/>
        <v>274.09708881265965</v>
      </c>
      <c r="EN53" s="59">
        <f t="shared" si="20"/>
        <v>567.43042214599291</v>
      </c>
      <c r="EO53" s="59">
        <f ca="1">AVERAGE(OFFSET($EN$3,0,0,'Données projet'!$E$15+1,1))-AVERAGE(OFFSET($H$3,0,0,'Données projet'!$E$15+1,1))</f>
        <v>197.51452239559433</v>
      </c>
      <c r="EP53" s="59">
        <f t="shared" si="46"/>
        <v>196.65166921588821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5.390600106748237</v>
      </c>
      <c r="EW53" s="21">
        <f>EXP(-LN(2)/25)*EW52+(1-EXP(-LN(2)/25))/(LN(2)/25)*Calculateur!ER53*Calculateur!ET53*VLOOKUP('Données projet'!$B$15,Paramètres!$A$1:$I$89,3,0)*0.475*44/12</f>
        <v>6.4092687463930647</v>
      </c>
      <c r="EX53" s="21">
        <f>EXP(-LN(2)/2)*EX52+(1-EXP(-LN(2)/2))/(LN(2)/2)*ER53*EU53*VLOOKUP('Données projet'!$B$15,Paramètres!$A$1:$I$89,3,0)*0.475*44/12</f>
        <v>0.68734829892850346</v>
      </c>
      <c r="EY53" s="22">
        <f t="shared" si="21"/>
        <v>12.487217152069805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651.47334266022176</v>
      </c>
      <c r="S54" s="59">
        <f ca="1">AVERAGE(OFFSET($R$3,0,0,'Données projet'!$E$9+1,1))-AVERAGE(OFFSET($H$3,0,0,'Données projet'!$E$9+1,1))</f>
        <v>635.71275911100679</v>
      </c>
      <c r="T54" s="59">
        <f t="shared" si="34"/>
        <v>281.7776857269169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10.36375</v>
      </c>
      <c r="AI54" s="13">
        <f>IF('Données projet'!$A$62&gt;35,AI53+AH54-AQ53,IF(A54&lt;'Données projet'!$A$62,$AF$205^A54,IF(A54='Données projet'!$A$62,'Données projet'!$B$62,AI53+AH54-AQ53)))</f>
        <v>181.1537500000002</v>
      </c>
      <c r="AJ54" s="13">
        <f>AI54*VLOOKUP('Données projet'!$B$10,Paramètres!$A$1:$I$89,3,0)*VLOOKUP('Données projet'!$B$10,Paramètres!$A$1:$I$89,5,0)</f>
        <v>183.68990250000022</v>
      </c>
      <c r="AK54" s="13">
        <f t="shared" si="35"/>
        <v>46.142149449949819</v>
      </c>
      <c r="AL54" s="20">
        <f t="shared" si="4"/>
        <v>400.29082381282961</v>
      </c>
      <c r="AM54" s="59">
        <f t="shared" si="5"/>
        <v>693.62415714616293</v>
      </c>
      <c r="AN54" s="59">
        <f ca="1">AVERAGE(OFFSET($AM$3,0,0,'Données projet'!$E$10+1,1))-AVERAGE(OFFSET($H$3,0,0,'Données projet'!$E$10+1,1))</f>
        <v>706.69239849991595</v>
      </c>
      <c r="AO54" s="59">
        <f t="shared" si="36"/>
        <v>310.59887275116529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27.344755547528752</v>
      </c>
      <c r="AW54" s="21">
        <f>EXP(-LN(2)/2)*AW53+(1-EXP(-LN(2)/2))/(LN(2)/2)*AQ54*AT54*VLOOKUP('Données projet'!$B$10,Paramètres!$A$1:$I$89,3,0)*0.475*44/12</f>
        <v>5.4556683907709127</v>
      </c>
      <c r="AX54" s="21">
        <f t="shared" si="6"/>
        <v>32.800423938299666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172.3859085000002</v>
      </c>
      <c r="BF54" s="13">
        <f t="shared" si="37"/>
        <v>43.623953502587391</v>
      </c>
      <c r="BG54" s="20">
        <f t="shared" si="7"/>
        <v>376.21717632117338</v>
      </c>
      <c r="BH54" s="59">
        <f t="shared" si="8"/>
        <v>669.55050965450664</v>
      </c>
      <c r="BI54" s="59">
        <f ca="1">AVERAGE(OFFSET($BH$3,0,0,'Données projet'!$E$11+1,1))-AVERAGE(OFFSET($H$3,0,0,'Données projet'!$E$11+1,1))</f>
        <v>666.1523645983184</v>
      </c>
      <c r="BJ54" s="59">
        <f t="shared" si="38"/>
        <v>294.13851344047526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25.662001359988523</v>
      </c>
      <c r="BR54" s="21">
        <f>EXP(-LN(2)/2)*BR53+(1-EXP(-LN(2)/2))/(LN(2)/2)*BL54*BO54*VLOOKUP('Données projet'!$B$11,Paramètres!$A$1:$I$89,3,0)*0.475*44/12</f>
        <v>5.1199349513388572</v>
      </c>
      <c r="BS54" s="22">
        <f t="shared" si="9"/>
        <v>30.781936311327378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10.36375</v>
      </c>
      <c r="BY54" s="12">
        <f>IF('Données projet'!$A$114&gt;35,BY53+BX54-CG53,IF(A54&lt;'Données projet'!$A$114,$BV$205^A54,IF(A54='Données projet'!$A$114,'Données projet'!$B$114,BY53+BX54-CG53)))</f>
        <v>181.1537500000002</v>
      </c>
      <c r="BZ54" s="13">
        <f>BY54*VLOOKUP('Données projet'!$B$12,Paramètres!$A$1:$I$89,3,0)*VLOOKUP('Données projet'!$B$12,Paramètres!$A$1:$I$89,5,0)</f>
        <v>194.9938965000002</v>
      </c>
      <c r="CA54" s="13">
        <f t="shared" si="39"/>
        <v>48.642359835412826</v>
      </c>
      <c r="CB54" s="20">
        <f t="shared" si="10"/>
        <v>424.33314645084437</v>
      </c>
      <c r="CC54" s="59">
        <f t="shared" si="11"/>
        <v>717.66647978417768</v>
      </c>
      <c r="CD54" s="59">
        <f ca="1">AVERAGE(OFFSET($CC$3,0,0,'Données projet'!$E$12+1,1))-AVERAGE(OFFSET($H$3,0,0,'Données projet'!$E$12+1,1))</f>
        <v>747.18304127457918</v>
      </c>
      <c r="CE54" s="59">
        <f t="shared" si="40"/>
        <v>327.03701004966723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29.027509735068978</v>
      </c>
      <c r="CM54" s="21">
        <f>EXP(-LN(2)/2)*CM53+(1-EXP(-LN(2)/2))/(LN(2)/2)*CG54*CJ54*VLOOKUP('Données projet'!$B$12,Paramètres!$A$1:$I$89,3,0)*0.475*44/12</f>
        <v>5.7914018302029691</v>
      </c>
      <c r="CN54" s="22">
        <f t="shared" si="12"/>
        <v>34.818911565271947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10.36375</v>
      </c>
      <c r="CT54" s="12">
        <f>IF('Données projet'!$A$140&gt;35,CT53+CS54-DB53,IF(A54&lt;'Données projet'!$A$140,$CQ$205^A54,IF(A54='Données projet'!$A$140,'Données projet'!$B$140,CT53+CS54-DB53)))</f>
        <v>181.1537500000002</v>
      </c>
      <c r="CU54" s="17">
        <f>CT54*VLOOKUP('Données projet'!$B$13,Paramètres!$A$1:$I$89,3,0)*VLOOKUP('Données projet'!$B$13,Paramètres!$A$1:$I$89,5,0)</f>
        <v>175.2119070000002</v>
      </c>
      <c r="CV54" s="13">
        <f t="shared" si="41"/>
        <v>44.255257944424898</v>
      </c>
      <c r="CW54" s="20">
        <f t="shared" si="13"/>
        <v>382.23864561154033</v>
      </c>
      <c r="CX54" s="59">
        <f t="shared" si="14"/>
        <v>675.57197894487365</v>
      </c>
      <c r="CY54" s="59">
        <f ca="1">AVERAGE(OFFSET($CX$3,0,0,'Données projet'!$E$13+1,1))-AVERAGE(OFFSET($H$3,0,0,'Données projet'!$E$13+1,1))</f>
        <v>676.29219382388692</v>
      </c>
      <c r="CZ54" s="59">
        <f t="shared" si="42"/>
        <v>298.25577221580448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26.082689906873583</v>
      </c>
      <c r="DH54" s="21">
        <f>EXP(-LN(2)/2)*DH53+(1-EXP(-LN(2)/2))/(LN(2)/2)*DB54*DE54*VLOOKUP('Données projet'!$B$13,Paramètres!$A$1:$I$89,3,0)*0.475*44/12</f>
        <v>5.2038683111968709</v>
      </c>
      <c r="DI54" s="22">
        <f t="shared" si="15"/>
        <v>31.286558218070454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6.6506410256410255</v>
      </c>
      <c r="EJ54" s="12">
        <f>IF('Données projet'!$A$192&gt;35,EJ53+EI54-ER53,IF(A54&lt;'Données projet'!$A$192,$EG$205^A54,IF(A54='Données projet'!$A$192,'Données projet'!$B$192,EJ53+EI54-ER53)))</f>
        <v>166.42628205128204</v>
      </c>
      <c r="EK54" s="17">
        <f>EJ54*VLOOKUP('Données projet'!$B$15,Paramètres!$A$1:$I$89,3,0)*VLOOKUP('Données projet'!$B$15,Paramètres!$A$1:$I$89,5,0)</f>
        <v>129.8125</v>
      </c>
      <c r="EL54" s="13">
        <f t="shared" si="45"/>
        <v>33.953029948668728</v>
      </c>
      <c r="EM54" s="20">
        <f t="shared" si="19"/>
        <v>285.224964660598</v>
      </c>
      <c r="EN54" s="59">
        <f t="shared" si="20"/>
        <v>578.55829799393132</v>
      </c>
      <c r="EO54" s="59">
        <f ca="1">AVERAGE(OFFSET($EN$3,0,0,'Données projet'!$E$15+1,1))-AVERAGE(OFFSET($H$3,0,0,'Données projet'!$E$15+1,1))</f>
        <v>197.51452239559433</v>
      </c>
      <c r="EP54" s="59">
        <f t="shared" si="46"/>
        <v>196.65166921588821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5.2848937265963123</v>
      </c>
      <c r="EW54" s="21">
        <f>EXP(-LN(2)/25)*EW53+(1-EXP(-LN(2)/25))/(LN(2)/25)*Calculateur!ER54*Calculateur!ET54*VLOOKUP('Données projet'!$B$15,Paramètres!$A$1:$I$89,3,0)*0.475*44/12</f>
        <v>6.2340069554741513</v>
      </c>
      <c r="EX54" s="21">
        <f>EXP(-LN(2)/2)*EX53+(1-EXP(-LN(2)/2))/(LN(2)/2)*ER54*EU54*VLOOKUP('Données projet'!$B$15,Paramètres!$A$1:$I$89,3,0)*0.475*44/12</f>
        <v>0.48602864320938299</v>
      </c>
      <c r="EY54" s="22">
        <f t="shared" si="21"/>
        <v>12.004929325279846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671.46653869618626</v>
      </c>
      <c r="S55" s="59">
        <f ca="1">AVERAGE(OFFSET($R$3,0,0,'Données projet'!$E$9+1,1))-AVERAGE(OFFSET($H$3,0,0,'Données projet'!$E$9+1,1))</f>
        <v>635.71275911100679</v>
      </c>
      <c r="T55" s="59">
        <f t="shared" si="34"/>
        <v>281.7776857269169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10.36375</v>
      </c>
      <c r="AI55" s="13">
        <f>IF('Données projet'!$A$62&gt;35,AI54+AH55-AQ54,IF(A55&lt;'Données projet'!$A$62,$AF$205^A55,IF(A55='Données projet'!$A$62,'Données projet'!$B$62,AI54+AH55-AQ54)))</f>
        <v>191.51750000000021</v>
      </c>
      <c r="AJ55" s="13">
        <f>AI55*VLOOKUP('Données projet'!$B$10,Paramètres!$A$1:$I$89,3,0)*VLOOKUP('Données projet'!$B$10,Paramètres!$A$1:$I$89,5,0)</f>
        <v>194.19874500000023</v>
      </c>
      <c r="AK55" s="13">
        <f t="shared" si="35"/>
        <v>48.467051557519213</v>
      </c>
      <c r="AL55" s="20">
        <f t="shared" si="4"/>
        <v>422.64292900434634</v>
      </c>
      <c r="AM55" s="59">
        <f t="shared" si="5"/>
        <v>715.9762623376796</v>
      </c>
      <c r="AN55" s="59">
        <f ca="1">AVERAGE(OFFSET($AM$3,0,0,'Données projet'!$E$10+1,1))-AVERAGE(OFFSET($H$3,0,0,'Données projet'!$E$10+1,1))</f>
        <v>706.69239849991595</v>
      </c>
      <c r="AO55" s="59">
        <f t="shared" si="36"/>
        <v>310.59887275116529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26.59701176908338</v>
      </c>
      <c r="AW55" s="21">
        <f>EXP(-LN(2)/2)*AW54+(1-EXP(-LN(2)/2))/(LN(2)/2)*AQ55*AT55*VLOOKUP('Données projet'!$B$10,Paramètres!$A$1:$I$89,3,0)*0.475*44/12</f>
        <v>3.8577401150192121</v>
      </c>
      <c r="AX55" s="21">
        <f t="shared" si="6"/>
        <v>30.454751884102592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182.2480530000002</v>
      </c>
      <c r="BF55" s="13">
        <f t="shared" si="37"/>
        <v>45.821974675153001</v>
      </c>
      <c r="BG55" s="20">
        <f t="shared" si="7"/>
        <v>397.22196486755848</v>
      </c>
      <c r="BH55" s="59">
        <f t="shared" si="8"/>
        <v>690.5552982008918</v>
      </c>
      <c r="BI55" s="59">
        <f ca="1">AVERAGE(OFFSET($BH$3,0,0,'Données projet'!$E$11+1,1))-AVERAGE(OFFSET($H$3,0,0,'Données projet'!$E$11+1,1))</f>
        <v>666.1523645983184</v>
      </c>
      <c r="BJ55" s="59">
        <f t="shared" si="38"/>
        <v>294.13851344047526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24.960272583293637</v>
      </c>
      <c r="BR55" s="21">
        <f>EXP(-LN(2)/2)*BR54+(1-EXP(-LN(2)/2))/(LN(2)/2)*BL55*BO55*VLOOKUP('Données projet'!$B$11,Paramètres!$A$1:$I$89,3,0)*0.475*44/12</f>
        <v>3.6203407233257225</v>
      </c>
      <c r="BS55" s="22">
        <f t="shared" si="9"/>
        <v>28.580613306619359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10.36375</v>
      </c>
      <c r="BY55" s="12">
        <f>IF('Données projet'!$A$114&gt;35,BY54+BX55-CG54,IF(A55&lt;'Données projet'!$A$114,$BV$205^A55,IF(A55='Données projet'!$A$114,'Données projet'!$B$114,BY54+BX55-CG54)))</f>
        <v>191.51750000000021</v>
      </c>
      <c r="BZ55" s="13">
        <f>BY55*VLOOKUP('Données projet'!$B$12,Paramètres!$A$1:$I$89,3,0)*VLOOKUP('Données projet'!$B$12,Paramètres!$A$1:$I$89,5,0)</f>
        <v>206.14943700000023</v>
      </c>
      <c r="CA55" s="13">
        <f t="shared" si="39"/>
        <v>51.09323666379229</v>
      </c>
      <c r="CB55" s="20">
        <f t="shared" si="10"/>
        <v>448.03098996443867</v>
      </c>
      <c r="CC55" s="59">
        <f t="shared" si="11"/>
        <v>741.36432329777199</v>
      </c>
      <c r="CD55" s="59">
        <f ca="1">AVERAGE(OFFSET($CC$3,0,0,'Données projet'!$E$12+1,1))-AVERAGE(OFFSET($H$3,0,0,'Données projet'!$E$12+1,1))</f>
        <v>747.18304127457918</v>
      </c>
      <c r="CE55" s="59">
        <f t="shared" si="40"/>
        <v>327.03701004966723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28.233750954873123</v>
      </c>
      <c r="CM55" s="21">
        <f>EXP(-LN(2)/2)*CM54+(1-EXP(-LN(2)/2))/(LN(2)/2)*CG55*CJ55*VLOOKUP('Données projet'!$B$12,Paramètres!$A$1:$I$89,3,0)*0.475*44/12</f>
        <v>4.0951395067127017</v>
      </c>
      <c r="CN55" s="22">
        <f t="shared" si="12"/>
        <v>32.328890461585829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10.36375</v>
      </c>
      <c r="CT55" s="12">
        <f>IF('Données projet'!$A$140&gt;35,CT54+CS55-DB54,IF(A55&lt;'Données projet'!$A$140,$CQ$205^A55,IF(A55='Données projet'!$A$140,'Données projet'!$B$140,CT54+CS55-DB54)))</f>
        <v>191.51750000000021</v>
      </c>
      <c r="CU55" s="17">
        <f>CT55*VLOOKUP('Données projet'!$B$13,Paramètres!$A$1:$I$89,3,0)*VLOOKUP('Données projet'!$B$13,Paramètres!$A$1:$I$89,5,0)</f>
        <v>185.23572600000023</v>
      </c>
      <c r="CV55" s="13">
        <f t="shared" si="41"/>
        <v>46.485087800479299</v>
      </c>
      <c r="CW55" s="20">
        <f t="shared" si="13"/>
        <v>403.58041736916852</v>
      </c>
      <c r="CX55" s="59">
        <f t="shared" si="14"/>
        <v>696.91375070250183</v>
      </c>
      <c r="CY55" s="59">
        <f ca="1">AVERAGE(OFFSET($CX$3,0,0,'Données projet'!$E$13+1,1))-AVERAGE(OFFSET($H$3,0,0,'Données projet'!$E$13+1,1))</f>
        <v>676.29219382388692</v>
      </c>
      <c r="CZ55" s="59">
        <f t="shared" si="42"/>
        <v>298.25577221580448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25.369457379741075</v>
      </c>
      <c r="DH55" s="21">
        <f>EXP(-LN(2)/2)*DH54+(1-EXP(-LN(2)/2))/(LN(2)/2)*DB55*DE55*VLOOKUP('Données projet'!$B$13,Paramètres!$A$1:$I$89,3,0)*0.475*44/12</f>
        <v>3.6796905712490946</v>
      </c>
      <c r="DI55" s="22">
        <f t="shared" si="15"/>
        <v>29.049147950990168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173.07692307692307</v>
      </c>
      <c r="EH55" s="12">
        <f>VLOOKUP(A55,'Données projet'!$A$191:$I$211,9,0)</f>
        <v>6.6506410256410255</v>
      </c>
      <c r="EI55" s="12">
        <f t="array" ref="EI55">INDEX(EH:EH,MIN(IF(ISNUMBER(EH55:EH251),ROW(EH55:EH251),"")))</f>
        <v>6.6506410256410255</v>
      </c>
      <c r="EJ55" s="12">
        <f>IF('Données projet'!$A$192&gt;35,EJ54+EI55-ER54,IF(A55&lt;'Données projet'!$A$192,$EG$205^A55,IF(A55='Données projet'!$A$192,'Données projet'!$B$192,EJ54+EI55-ER54)))</f>
        <v>173.07692307692307</v>
      </c>
      <c r="EK55" s="17">
        <f>EJ55*VLOOKUP('Données projet'!$B$15,Paramètres!$A$1:$I$89,3,0)*VLOOKUP('Données projet'!$B$15,Paramètres!$A$1:$I$89,5,0)</f>
        <v>135</v>
      </c>
      <c r="EL55" s="13">
        <f t="shared" si="45"/>
        <v>35.149162595374243</v>
      </c>
      <c r="EM55" s="20">
        <f t="shared" si="19"/>
        <v>296.34312485361016</v>
      </c>
      <c r="EN55" s="59">
        <f t="shared" si="20"/>
        <v>589.67645818694348</v>
      </c>
      <c r="EO55" s="59">
        <f ca="1">AVERAGE(OFFSET($EN$3,0,0,'Données projet'!$E$15+1,1))-AVERAGE(OFFSET($H$3,0,0,'Données projet'!$E$15+1,1))</f>
        <v>197.51452239559433</v>
      </c>
      <c r="EP55" s="59">
        <f t="shared" si="46"/>
        <v>196.65166921588821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30.769230769230766</v>
      </c>
      <c r="ES55" s="16">
        <f>IF(ISNA(VLOOKUP(A55,'Données projet'!$A$191:$I$211,5,0)),0%,VLOOKUP(A55,'Données projet'!$A$191:$I$211,5,0)*VLOOKUP('Données projet'!$B$15,Paramètres!$A$1:$I$89,7,0))</f>
        <v>0.1075</v>
      </c>
      <c r="ET55" s="16">
        <f>IF(ISNA(VLOOKUP(A55,'Données projet'!$A$191:$I$211,6,0)),0%,VLOOKUP(A55,'Données projet'!$A$191:$I$211,6,0)*VLOOKUP('Données projet'!$B$15,Paramètres!$A$1:$I$89,7,0))</f>
        <v>0.1075</v>
      </c>
      <c r="EU55" s="16">
        <f>IF(ISNA(VLOOKUP(A55,'Données projet'!$A$191:$I$211,7,0)),0%,VLOOKUP(A55,'Données projet'!$A$191:$I$211,7,0))</f>
        <v>0.25</v>
      </c>
      <c r="EV55" s="21">
        <f>EXP(-LN(2)/35)*EV54+(1-EXP(-LN(2)/35))/(LN(2)/35)*ER55*ES55*VLOOKUP('Données projet'!$B$15,Paramètres!$A$1:$I$89,3,0)*0.475*44/12</f>
        <v>8.033373763279652</v>
      </c>
      <c r="EW55" s="21">
        <f>EXP(-LN(2)/25)*EW54+(1-EXP(-LN(2)/25))/(LN(2)/25)*Calculateur!ER55*Calculateur!ET55*VLOOKUP('Données projet'!$B$15,Paramètres!$A$1:$I$89,3,0)*0.475*44/12</f>
        <v>8.9044214287377805</v>
      </c>
      <c r="EX55" s="21">
        <f>EXP(-LN(2)/2)*EX54+(1-EXP(-LN(2)/2))/(LN(2)/2)*ER55*EU55*VLOOKUP('Données projet'!$B$15,Paramètres!$A$1:$I$89,3,0)*0.475*44/12</f>
        <v>6.0048356370965799</v>
      </c>
      <c r="EY55" s="22">
        <f t="shared" si="21"/>
        <v>22.942630829114012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691.43673288922753</v>
      </c>
      <c r="S56" s="59">
        <f ca="1">AVERAGE(OFFSET($R$3,0,0,'Données projet'!$E$9+1,1))-AVERAGE(OFFSET($H$3,0,0,'Données projet'!$E$9+1,1))</f>
        <v>635.71275911100679</v>
      </c>
      <c r="T56" s="59">
        <f t="shared" si="34"/>
        <v>281.7776857269169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10.36375</v>
      </c>
      <c r="AI56" s="13">
        <f>IF('Données projet'!$A$62&gt;35,AI55+AH56-AQ55,IF(A56&lt;'Données projet'!$A$62,$AF$205^A56,IF(A56='Données projet'!$A$62,'Données projet'!$B$62,AI55+AH56-AQ55)))</f>
        <v>201.88125000000022</v>
      </c>
      <c r="AJ56" s="13">
        <f>AI56*VLOOKUP('Données projet'!$B$10,Paramètres!$A$1:$I$89,3,0)*VLOOKUP('Données projet'!$B$10,Paramètres!$A$1:$I$89,5,0)</f>
        <v>204.70758750000024</v>
      </c>
      <c r="AK56" s="13">
        <f t="shared" si="35"/>
        <v>50.777347948807439</v>
      </c>
      <c r="AL56" s="20">
        <f t="shared" si="4"/>
        <v>444.96959590667331</v>
      </c>
      <c r="AM56" s="59">
        <f t="shared" si="5"/>
        <v>738.30292924000662</v>
      </c>
      <c r="AN56" s="59">
        <f ca="1">AVERAGE(OFFSET($AM$3,0,0,'Données projet'!$E$10+1,1))-AVERAGE(OFFSET($H$3,0,0,'Données projet'!$E$10+1,1))</f>
        <v>706.69239849991595</v>
      </c>
      <c r="AO56" s="59">
        <f t="shared" si="36"/>
        <v>310.59887275116529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25.869715083581735</v>
      </c>
      <c r="AW56" s="21">
        <f>EXP(-LN(2)/2)*AW55+(1-EXP(-LN(2)/2))/(LN(2)/2)*AQ56*AT56*VLOOKUP('Données projet'!$B$10,Paramètres!$A$1:$I$89,3,0)*0.475*44/12</f>
        <v>2.7278341953854568</v>
      </c>
      <c r="AX56" s="21">
        <f t="shared" si="6"/>
        <v>28.597549278967193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192.11019750000023</v>
      </c>
      <c r="BF56" s="13">
        <f t="shared" si="37"/>
        <v>48.00618723464968</v>
      </c>
      <c r="BG56" s="20">
        <f t="shared" si="7"/>
        <v>418.20270341284862</v>
      </c>
      <c r="BH56" s="59">
        <f t="shared" si="8"/>
        <v>711.53603674618194</v>
      </c>
      <c r="BI56" s="59">
        <f ca="1">AVERAGE(OFFSET($BH$3,0,0,'Données projet'!$E$11+1,1))-AVERAGE(OFFSET($H$3,0,0,'Données projet'!$E$11+1,1))</f>
        <v>666.1523645983184</v>
      </c>
      <c r="BJ56" s="59">
        <f t="shared" si="38"/>
        <v>294.13851344047526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24.277732616899787</v>
      </c>
      <c r="BR56" s="21">
        <f>EXP(-LN(2)/2)*BR55+(1-EXP(-LN(2)/2))/(LN(2)/2)*BL56*BO56*VLOOKUP('Données projet'!$B$11,Paramètres!$A$1:$I$89,3,0)*0.475*44/12</f>
        <v>2.5599674756694291</v>
      </c>
      <c r="BS56" s="22">
        <f t="shared" si="9"/>
        <v>26.837700092569214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10.36375</v>
      </c>
      <c r="BY56" s="12">
        <f>IF('Données projet'!$A$114&gt;35,BY55+BX56-CG55,IF(A56&lt;'Données projet'!$A$114,$BV$205^A56,IF(A56='Données projet'!$A$114,'Données projet'!$B$114,BY55+BX56-CG55)))</f>
        <v>201.88125000000022</v>
      </c>
      <c r="BZ56" s="13">
        <f>BY56*VLOOKUP('Données projet'!$B$12,Paramètres!$A$1:$I$89,3,0)*VLOOKUP('Données projet'!$B$12,Paramètres!$A$1:$I$89,5,0)</f>
        <v>217.30497750000021</v>
      </c>
      <c r="CA56" s="13">
        <f t="shared" si="39"/>
        <v>53.528716365781243</v>
      </c>
      <c r="CB56" s="20">
        <f t="shared" si="10"/>
        <v>471.70201681623604</v>
      </c>
      <c r="CC56" s="59">
        <f t="shared" si="11"/>
        <v>765.03535014956935</v>
      </c>
      <c r="CD56" s="59">
        <f ca="1">AVERAGE(OFFSET($CC$3,0,0,'Données projet'!$E$12+1,1))-AVERAGE(OFFSET($H$3,0,0,'Données projet'!$E$12+1,1))</f>
        <v>747.18304127457918</v>
      </c>
      <c r="CE56" s="59">
        <f t="shared" si="40"/>
        <v>327.03701004966723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27.461697550263683</v>
      </c>
      <c r="CM56" s="21">
        <f>EXP(-LN(2)/2)*CM55+(1-EXP(-LN(2)/2))/(LN(2)/2)*CG56*CJ56*VLOOKUP('Données projet'!$B$12,Paramètres!$A$1:$I$89,3,0)*0.475*44/12</f>
        <v>2.8957009151014845</v>
      </c>
      <c r="CN56" s="22">
        <f t="shared" si="12"/>
        <v>30.357398465365169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10.36375</v>
      </c>
      <c r="CT56" s="12">
        <f>IF('Données projet'!$A$140&gt;35,CT55+CS56-DB55,IF(A56&lt;'Données projet'!$A$140,$CQ$205^A56,IF(A56='Données projet'!$A$140,'Données projet'!$B$140,CT55+CS56-DB55)))</f>
        <v>201.88125000000022</v>
      </c>
      <c r="CU56" s="17">
        <f>CT56*VLOOKUP('Données projet'!$B$13,Paramètres!$A$1:$I$89,3,0)*VLOOKUP('Données projet'!$B$13,Paramètres!$A$1:$I$89,5,0)</f>
        <v>195.2595450000002</v>
      </c>
      <c r="CV56" s="13">
        <f t="shared" si="41"/>
        <v>48.700909211994528</v>
      </c>
      <c r="CW56" s="20">
        <f t="shared" si="13"/>
        <v>424.89779108589073</v>
      </c>
      <c r="CX56" s="59">
        <f t="shared" si="14"/>
        <v>718.23112441922399</v>
      </c>
      <c r="CY56" s="59">
        <f ca="1">AVERAGE(OFFSET($CX$3,0,0,'Données projet'!$E$13+1,1))-AVERAGE(OFFSET($H$3,0,0,'Données projet'!$E$13+1,1))</f>
        <v>676.29219382388692</v>
      </c>
      <c r="CZ56" s="59">
        <f t="shared" si="42"/>
        <v>298.25577221580448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24.675728233570275</v>
      </c>
      <c r="DH56" s="21">
        <f>EXP(-LN(2)/2)*DH55+(1-EXP(-LN(2)/2))/(LN(2)/2)*DB56*DE56*VLOOKUP('Données projet'!$B$13,Paramètres!$A$1:$I$89,3,0)*0.475*44/12</f>
        <v>2.6019341555984359</v>
      </c>
      <c r="DI56" s="22">
        <f t="shared" si="15"/>
        <v>27.277662389168711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6.0096153846153868</v>
      </c>
      <c r="EJ56" s="12">
        <f>IF('Données projet'!$A$192&gt;35,EJ55+EI56-ER55,IF(A56&lt;'Données projet'!$A$192,$EG$205^A56,IF(A56='Données projet'!$A$192,'Données projet'!$B$192,EJ55+EI56-ER55)))</f>
        <v>148.31730769230768</v>
      </c>
      <c r="EK56" s="17">
        <f>EJ56*VLOOKUP('Données projet'!$B$15,Paramètres!$A$1:$I$89,3,0)*VLOOKUP('Données projet'!$B$15,Paramètres!$A$1:$I$89,5,0)</f>
        <v>115.6875</v>
      </c>
      <c r="EL56" s="13">
        <f t="shared" si="45"/>
        <v>30.667047071789558</v>
      </c>
      <c r="EM56" s="20">
        <f t="shared" si="19"/>
        <v>254.90083615003348</v>
      </c>
      <c r="EN56" s="59">
        <f t="shared" si="20"/>
        <v>548.23416948336683</v>
      </c>
      <c r="EO56" s="59">
        <f ca="1">AVERAGE(OFFSET($EN$3,0,0,'Données projet'!$E$15+1,1))-AVERAGE(OFFSET($H$3,0,0,'Données projet'!$E$15+1,1))</f>
        <v>197.51452239559433</v>
      </c>
      <c r="EP56" s="59">
        <f t="shared" si="46"/>
        <v>196.65166921588821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7.8758442036559115</v>
      </c>
      <c r="EW56" s="21">
        <f>EXP(-LN(2)/25)*EW55+(1-EXP(-LN(2)/25))/(LN(2)/25)*Calculateur!ER56*Calculateur!ET56*VLOOKUP('Données projet'!$B$15,Paramètres!$A$1:$I$89,3,0)*0.475*44/12</f>
        <v>8.6609295565057742</v>
      </c>
      <c r="EX56" s="21">
        <f>EXP(-LN(2)/2)*EX55+(1-EXP(-LN(2)/2))/(LN(2)/2)*ER56*EU56*VLOOKUP('Données projet'!$B$15,Paramètres!$A$1:$I$89,3,0)*0.475*44/12</f>
        <v>4.2460599989016341</v>
      </c>
      <c r="EY56" s="22">
        <f t="shared" si="21"/>
        <v>20.782833759063323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711.38524075988948</v>
      </c>
      <c r="S57" s="59">
        <f ca="1">AVERAGE(OFFSET($R$3,0,0,'Données projet'!$E$9+1,1))-AVERAGE(OFFSET($H$3,0,0,'Données projet'!$E$9+1,1))</f>
        <v>635.71275911100679</v>
      </c>
      <c r="T57" s="59">
        <f t="shared" si="34"/>
        <v>281.7776857269169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10.36375</v>
      </c>
      <c r="AI57" s="13">
        <f>IF('Données projet'!$A$62&gt;35,AI56+AH57-AQ56,IF(A57&lt;'Données projet'!$A$62,$AF$205^A57,IF(A57='Données projet'!$A$62,'Données projet'!$B$62,AI56+AH57-AQ56)))</f>
        <v>212.24500000000023</v>
      </c>
      <c r="AJ57" s="13">
        <f>AI57*VLOOKUP('Données projet'!$B$10,Paramètres!$A$1:$I$89,3,0)*VLOOKUP('Données projet'!$B$10,Paramètres!$A$1:$I$89,5,0)</f>
        <v>215.21643000000026</v>
      </c>
      <c r="AK57" s="13">
        <f t="shared" si="35"/>
        <v>53.073873953396202</v>
      </c>
      <c r="AL57" s="20">
        <f t="shared" si="4"/>
        <v>467.27227938549885</v>
      </c>
      <c r="AM57" s="59">
        <f t="shared" si="5"/>
        <v>760.60561271883216</v>
      </c>
      <c r="AN57" s="59">
        <f ca="1">AVERAGE(OFFSET($AM$3,0,0,'Données projet'!$E$10+1,1))-AVERAGE(OFFSET($H$3,0,0,'Données projet'!$E$10+1,1))</f>
        <v>706.69239849991595</v>
      </c>
      <c r="AO57" s="59">
        <f t="shared" si="36"/>
        <v>310.59887275116529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25.162306364192002</v>
      </c>
      <c r="AW57" s="21">
        <f>EXP(-LN(2)/2)*AW56+(1-EXP(-LN(2)/2))/(LN(2)/2)*AQ57*AT57*VLOOKUP('Données projet'!$B$10,Paramètres!$A$1:$I$89,3,0)*0.475*44/12</f>
        <v>1.9288700575096063</v>
      </c>
      <c r="AX57" s="21">
        <f t="shared" si="6"/>
        <v>27.091176421701608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201.97234200000022</v>
      </c>
      <c r="BF57" s="13">
        <f t="shared" si="37"/>
        <v>50.177380922761891</v>
      </c>
      <c r="BG57" s="20">
        <f t="shared" si="7"/>
        <v>439.16076742381068</v>
      </c>
      <c r="BH57" s="59">
        <f t="shared" si="8"/>
        <v>732.494100757144</v>
      </c>
      <c r="BI57" s="59">
        <f ca="1">AVERAGE(OFFSET($BH$3,0,0,'Données projet'!$E$11+1,1))-AVERAGE(OFFSET($H$3,0,0,'Données projet'!$E$11+1,1))</f>
        <v>666.1523645983184</v>
      </c>
      <c r="BJ57" s="59">
        <f t="shared" si="38"/>
        <v>294.13851344047526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23.613856741780189</v>
      </c>
      <c r="BR57" s="21">
        <f>EXP(-LN(2)/2)*BR56+(1-EXP(-LN(2)/2))/(LN(2)/2)*BL57*BO57*VLOOKUP('Données projet'!$B$11,Paramètres!$A$1:$I$89,3,0)*0.475*44/12</f>
        <v>1.8101703616628615</v>
      </c>
      <c r="BS57" s="22">
        <f t="shared" si="9"/>
        <v>25.424027103443052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10.36375</v>
      </c>
      <c r="BY57" s="12">
        <f>IF('Données projet'!$A$114&gt;35,BY56+BX57-CG56,IF(A57&lt;'Données projet'!$A$114,$BV$205^A57,IF(A57='Données projet'!$A$114,'Données projet'!$B$114,BY56+BX57-CG56)))</f>
        <v>212.24500000000023</v>
      </c>
      <c r="BZ57" s="13">
        <f>BY57*VLOOKUP('Données projet'!$B$12,Paramètres!$A$1:$I$89,3,0)*VLOOKUP('Données projet'!$B$12,Paramètres!$A$1:$I$89,5,0)</f>
        <v>228.46051800000023</v>
      </c>
      <c r="CA57" s="13">
        <f t="shared" si="39"/>
        <v>55.949679533259207</v>
      </c>
      <c r="CB57" s="20">
        <f t="shared" si="10"/>
        <v>495.34776070376029</v>
      </c>
      <c r="CC57" s="59">
        <f t="shared" si="11"/>
        <v>788.68109403709354</v>
      </c>
      <c r="CD57" s="59">
        <f ca="1">AVERAGE(OFFSET($CC$3,0,0,'Données projet'!$E$12+1,1))-AVERAGE(OFFSET($H$3,0,0,'Données projet'!$E$12+1,1))</f>
        <v>747.18304127457918</v>
      </c>
      <c r="CE57" s="59">
        <f t="shared" si="40"/>
        <v>327.03701004966723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26.710755986603811</v>
      </c>
      <c r="CM57" s="21">
        <f>EXP(-LN(2)/2)*CM56+(1-EXP(-LN(2)/2))/(LN(2)/2)*CG57*CJ57*VLOOKUP('Données projet'!$B$12,Paramètres!$A$1:$I$89,3,0)*0.475*44/12</f>
        <v>2.0475697533563508</v>
      </c>
      <c r="CN57" s="22">
        <f t="shared" si="12"/>
        <v>28.758325739960164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10.36375</v>
      </c>
      <c r="CT57" s="12">
        <f>IF('Données projet'!$A$140&gt;35,CT56+CS57-DB56,IF(A57&lt;'Données projet'!$A$140,$CQ$205^A57,IF(A57='Données projet'!$A$140,'Données projet'!$B$140,CT56+CS57-DB56)))</f>
        <v>212.24500000000023</v>
      </c>
      <c r="CU57" s="17">
        <f>CT57*VLOOKUP('Données projet'!$B$13,Paramètres!$A$1:$I$89,3,0)*VLOOKUP('Données projet'!$B$13,Paramètres!$A$1:$I$89,5,0)</f>
        <v>205.28336400000023</v>
      </c>
      <c r="CV57" s="13">
        <f t="shared" si="41"/>
        <v>50.903523349409056</v>
      </c>
      <c r="CW57" s="20">
        <f t="shared" si="13"/>
        <v>446.19216213355452</v>
      </c>
      <c r="CX57" s="59">
        <f t="shared" si="14"/>
        <v>739.52549546688783</v>
      </c>
      <c r="CY57" s="59">
        <f ca="1">AVERAGE(OFFSET($CX$3,0,0,'Données projet'!$E$13+1,1))-AVERAGE(OFFSET($H$3,0,0,'Données projet'!$E$13+1,1))</f>
        <v>676.29219382388692</v>
      </c>
      <c r="CZ57" s="59">
        <f t="shared" si="42"/>
        <v>298.25577221580448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24.000969147383145</v>
      </c>
      <c r="DH57" s="21">
        <f>EXP(-LN(2)/2)*DH56+(1-EXP(-LN(2)/2))/(LN(2)/2)*DB57*DE57*VLOOKUP('Données projet'!$B$13,Paramètres!$A$1:$I$89,3,0)*0.475*44/12</f>
        <v>1.8398452856245475</v>
      </c>
      <c r="DI57" s="22">
        <f t="shared" si="15"/>
        <v>25.840814433007694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6.0096153846153868</v>
      </c>
      <c r="EJ57" s="12">
        <f>IF('Données projet'!$A$192&gt;35,EJ56+EI57-ER56,IF(A57&lt;'Données projet'!$A$192,$EG$205^A57,IF(A57='Données projet'!$A$192,'Données projet'!$B$192,EJ56+EI57-ER56)))</f>
        <v>154.32692307692307</v>
      </c>
      <c r="EK57" s="17">
        <f>EJ57*VLOOKUP('Données projet'!$B$15,Paramètres!$A$1:$I$89,3,0)*VLOOKUP('Données projet'!$B$15,Paramètres!$A$1:$I$89,5,0)</f>
        <v>120.375</v>
      </c>
      <c r="EL57" s="13">
        <f t="shared" si="45"/>
        <v>31.762445997133341</v>
      </c>
      <c r="EM57" s="20">
        <f t="shared" si="19"/>
        <v>264.97271844500727</v>
      </c>
      <c r="EN57" s="59">
        <f t="shared" si="20"/>
        <v>558.30605177834059</v>
      </c>
      <c r="EO57" s="59">
        <f ca="1">AVERAGE(OFFSET($EN$3,0,0,'Données projet'!$E$15+1,1))-AVERAGE(OFFSET($H$3,0,0,'Données projet'!$E$15+1,1))</f>
        <v>197.51452239559433</v>
      </c>
      <c r="EP57" s="59">
        <f t="shared" si="46"/>
        <v>196.65166921588821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7.7214037026128484</v>
      </c>
      <c r="EW57" s="21">
        <f>EXP(-LN(2)/25)*EW56+(1-EXP(-LN(2)/25))/(LN(2)/25)*Calculateur!ER57*Calculateur!ET57*VLOOKUP('Données projet'!$B$15,Paramètres!$A$1:$I$89,3,0)*0.475*44/12</f>
        <v>8.4240959823246335</v>
      </c>
      <c r="EX57" s="21">
        <f>EXP(-LN(2)/2)*EX56+(1-EXP(-LN(2)/2))/(LN(2)/2)*ER57*EU57*VLOOKUP('Données projet'!$B$15,Paramètres!$A$1:$I$89,3,0)*0.475*44/12</f>
        <v>3.0024178185482904</v>
      </c>
      <c r="EY57" s="22">
        <f t="shared" si="21"/>
        <v>19.147917503485775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731.31324209892534</v>
      </c>
      <c r="S58" s="59">
        <f ca="1">AVERAGE(OFFSET($R$3,0,0,'Données projet'!$E$9+1,1))-AVERAGE(OFFSET($H$3,0,0,'Données projet'!$E$9+1,1))</f>
        <v>635.71275911100679</v>
      </c>
      <c r="T58" s="59">
        <f t="shared" si="34"/>
        <v>281.7776857269169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10.36375</v>
      </c>
      <c r="AI58" s="13">
        <f>IF('Données projet'!$A$62&gt;35,AI57+AH58-AQ57,IF(A58&lt;'Données projet'!$A$62,$AF$205^A58,IF(A58='Données projet'!$A$62,'Données projet'!$B$62,AI57+AH58-AQ57)))</f>
        <v>222.60875000000024</v>
      </c>
      <c r="AJ58" s="13">
        <f>AI58*VLOOKUP('Données projet'!$B$10,Paramètres!$A$1:$I$89,3,0)*VLOOKUP('Données projet'!$B$10,Paramètres!$A$1:$I$89,5,0)</f>
        <v>225.72527250000027</v>
      </c>
      <c r="AK58" s="13">
        <f t="shared" si="35"/>
        <v>55.357378715128789</v>
      </c>
      <c r="AL58" s="20">
        <f t="shared" si="4"/>
        <v>489.55228419968324</v>
      </c>
      <c r="AM58" s="59">
        <f t="shared" si="5"/>
        <v>782.88561753301656</v>
      </c>
      <c r="AN58" s="59">
        <f ca="1">AVERAGE(OFFSET($AM$3,0,0,'Données projet'!$E$10+1,1))-AVERAGE(OFFSET($H$3,0,0,'Données projet'!$E$10+1,1))</f>
        <v>706.69239849991595</v>
      </c>
      <c r="AO58" s="59">
        <f t="shared" si="36"/>
        <v>310.59887275116529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24.47424177343499</v>
      </c>
      <c r="AW58" s="21">
        <f>EXP(-LN(2)/2)*AW57+(1-EXP(-LN(2)/2))/(LN(2)/2)*AQ58*AT58*VLOOKUP('Données projet'!$B$10,Paramètres!$A$1:$I$89,3,0)*0.475*44/12</f>
        <v>1.3639170976927286</v>
      </c>
      <c r="AX58" s="21">
        <f t="shared" si="6"/>
        <v>25.838158871127717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211.83448650000022</v>
      </c>
      <c r="BF58" s="13">
        <f t="shared" si="37"/>
        <v>52.336263999000323</v>
      </c>
      <c r="BG58" s="20">
        <f t="shared" si="7"/>
        <v>460.09739045242594</v>
      </c>
      <c r="BH58" s="59">
        <f t="shared" si="8"/>
        <v>753.43072378575926</v>
      </c>
      <c r="BI58" s="59">
        <f ca="1">AVERAGE(OFFSET($BH$3,0,0,'Données projet'!$E$11+1,1))-AVERAGE(OFFSET($H$3,0,0,'Données projet'!$E$11+1,1))</f>
        <v>666.1523645983184</v>
      </c>
      <c r="BJ58" s="59">
        <f t="shared" si="38"/>
        <v>294.13851344047526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22.968134587377456</v>
      </c>
      <c r="BR58" s="21">
        <f>EXP(-LN(2)/2)*BR57+(1-EXP(-LN(2)/2))/(LN(2)/2)*BL58*BO58*VLOOKUP('Données projet'!$B$11,Paramètres!$A$1:$I$89,3,0)*0.475*44/12</f>
        <v>1.2799837378347148</v>
      </c>
      <c r="BS58" s="22">
        <f t="shared" si="9"/>
        <v>24.248118325212172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10.36375</v>
      </c>
      <c r="BY58" s="12">
        <f>IF('Données projet'!$A$114&gt;35,BY57+BX58-CG57,IF(A58&lt;'Données projet'!$A$114,$BV$205^A58,IF(A58='Données projet'!$A$114,'Données projet'!$B$114,BY57+BX58-CG57)))</f>
        <v>222.60875000000024</v>
      </c>
      <c r="BZ58" s="13">
        <f>BY58*VLOOKUP('Données projet'!$B$12,Paramètres!$A$1:$I$89,3,0)*VLOOKUP('Données projet'!$B$12,Paramètres!$A$1:$I$89,5,0)</f>
        <v>239.61605850000026</v>
      </c>
      <c r="CA58" s="13">
        <f t="shared" si="39"/>
        <v>58.356915902396231</v>
      </c>
      <c r="CB58" s="20">
        <f t="shared" si="10"/>
        <v>518.96959708417387</v>
      </c>
      <c r="CC58" s="59">
        <f t="shared" si="11"/>
        <v>812.30293041750724</v>
      </c>
      <c r="CD58" s="59">
        <f ca="1">AVERAGE(OFFSET($CC$3,0,0,'Données projet'!$E$12+1,1))-AVERAGE(OFFSET($H$3,0,0,'Données projet'!$E$12+1,1))</f>
        <v>747.18304127457918</v>
      </c>
      <c r="CE58" s="59">
        <f t="shared" si="40"/>
        <v>327.03701004966723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25.98034895949252</v>
      </c>
      <c r="CM58" s="21">
        <f>EXP(-LN(2)/2)*CM57+(1-EXP(-LN(2)/2))/(LN(2)/2)*CG58*CJ58*VLOOKUP('Données projet'!$B$12,Paramètres!$A$1:$I$89,3,0)*0.475*44/12</f>
        <v>1.4478504575507423</v>
      </c>
      <c r="CN58" s="22">
        <f t="shared" si="12"/>
        <v>27.428199417043263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10.36375</v>
      </c>
      <c r="CT58" s="12">
        <f>IF('Données projet'!$A$140&gt;35,CT57+CS58-DB57,IF(A58&lt;'Données projet'!$A$140,$CQ$205^A58,IF(A58='Données projet'!$A$140,'Données projet'!$B$140,CT57+CS58-DB57)))</f>
        <v>222.60875000000024</v>
      </c>
      <c r="CU58" s="17">
        <f>CT58*VLOOKUP('Données projet'!$B$13,Paramètres!$A$1:$I$89,3,0)*VLOOKUP('Données projet'!$B$13,Paramètres!$A$1:$I$89,5,0)</f>
        <v>215.30718300000024</v>
      </c>
      <c r="CV58" s="13">
        <f t="shared" si="41"/>
        <v>53.093648721817566</v>
      </c>
      <c r="CW58" s="20">
        <f t="shared" si="13"/>
        <v>467.46478191549932</v>
      </c>
      <c r="CX58" s="59">
        <f t="shared" si="14"/>
        <v>760.79811524883257</v>
      </c>
      <c r="CY58" s="59">
        <f ca="1">AVERAGE(OFFSET($CX$3,0,0,'Données projet'!$E$13+1,1))-AVERAGE(OFFSET($H$3,0,0,'Données projet'!$E$13+1,1))</f>
        <v>676.29219382388692</v>
      </c>
      <c r="CZ58" s="59">
        <f t="shared" si="42"/>
        <v>298.25577221580448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23.34466138389184</v>
      </c>
      <c r="DH58" s="21">
        <f>EXP(-LN(2)/2)*DH57+(1-EXP(-LN(2)/2))/(LN(2)/2)*DB58*DE58*VLOOKUP('Données projet'!$B$13,Paramètres!$A$1:$I$89,3,0)*0.475*44/12</f>
        <v>1.3009670777992179</v>
      </c>
      <c r="DI58" s="22">
        <f t="shared" si="15"/>
        <v>24.645628461691057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6.0096153846153868</v>
      </c>
      <c r="EJ58" s="12">
        <f>IF('Données projet'!$A$192&gt;35,EJ57+EI58-ER57,IF(A58&lt;'Données projet'!$A$192,$EG$205^A58,IF(A58='Données projet'!$A$192,'Données projet'!$B$192,EJ57+EI58-ER57)))</f>
        <v>160.33653846153845</v>
      </c>
      <c r="EK58" s="17">
        <f>EJ58*VLOOKUP('Données projet'!$B$15,Paramètres!$A$1:$I$89,3,0)*VLOOKUP('Données projet'!$B$15,Paramètres!$A$1:$I$89,5,0)</f>
        <v>125.0625</v>
      </c>
      <c r="EL58" s="13">
        <f t="shared" si="45"/>
        <v>32.852889709555718</v>
      </c>
      <c r="EM58" s="20">
        <f t="shared" si="19"/>
        <v>275.03597041080951</v>
      </c>
      <c r="EN58" s="59">
        <f t="shared" si="20"/>
        <v>568.36930374414283</v>
      </c>
      <c r="EO58" s="59">
        <f ca="1">AVERAGE(OFFSET($EN$3,0,0,'Données projet'!$E$15+1,1))-AVERAGE(OFFSET($H$3,0,0,'Données projet'!$E$15+1,1))</f>
        <v>197.51452239559433</v>
      </c>
      <c r="EP58" s="59">
        <f t="shared" si="46"/>
        <v>196.65166921588821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7.5699916855958351</v>
      </c>
      <c r="EW58" s="21">
        <f>EXP(-LN(2)/25)*EW57+(1-EXP(-LN(2)/25))/(LN(2)/25)*Calculateur!ER58*Calculateur!ET58*VLOOKUP('Données projet'!$B$15,Paramètres!$A$1:$I$89,3,0)*0.475*44/12</f>
        <v>8.1937386346840118</v>
      </c>
      <c r="EX58" s="21">
        <f>EXP(-LN(2)/2)*EX57+(1-EXP(-LN(2)/2))/(LN(2)/2)*ER58*EU58*VLOOKUP('Données projet'!$B$15,Paramètres!$A$1:$I$89,3,0)*0.475*44/12</f>
        <v>2.1230299994508175</v>
      </c>
      <c r="EY58" s="22">
        <f t="shared" si="21"/>
        <v>17.886760319730666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751.22180063633789</v>
      </c>
      <c r="S59" s="59">
        <f ca="1">AVERAGE(OFFSET($R$3,0,0,'Données projet'!$E$9+1,1))-AVERAGE(OFFSET($H$3,0,0,'Données projet'!$E$9+1,1))</f>
        <v>635.71275911100679</v>
      </c>
      <c r="T59" s="59">
        <f t="shared" si="34"/>
        <v>281.7776857269169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10.36375</v>
      </c>
      <c r="AI59" s="13">
        <f>IF('Données projet'!$A$62&gt;35,AI58+AH59-AQ58,IF(A59&lt;'Données projet'!$A$62,$AF$205^A59,IF(A59='Données projet'!$A$62,'Données projet'!$B$62,AI58+AH59-AQ58)))</f>
        <v>232.97250000000025</v>
      </c>
      <c r="AJ59" s="13">
        <f>AI59*VLOOKUP('Données projet'!$B$10,Paramètres!$A$1:$I$89,3,0)*VLOOKUP('Données projet'!$B$10,Paramètres!$A$1:$I$89,5,0)</f>
        <v>236.23411500000026</v>
      </c>
      <c r="AK59" s="13">
        <f t="shared" si="35"/>
        <v>57.628537681562783</v>
      </c>
      <c r="AL59" s="20">
        <f t="shared" si="4"/>
        <v>511.8107867537222</v>
      </c>
      <c r="AM59" s="59">
        <f t="shared" si="5"/>
        <v>805.14412008705551</v>
      </c>
      <c r="AN59" s="59">
        <f ca="1">AVERAGE(OFFSET($AM$3,0,0,'Données projet'!$E$10+1,1))-AVERAGE(OFFSET($H$3,0,0,'Données projet'!$E$10+1,1))</f>
        <v>706.69239849991595</v>
      </c>
      <c r="AO59" s="59">
        <f t="shared" si="36"/>
        <v>310.59887275116529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23.804992345095972</v>
      </c>
      <c r="AW59" s="21">
        <f>EXP(-LN(2)/2)*AW58+(1-EXP(-LN(2)/2))/(LN(2)/2)*AQ59*AT59*VLOOKUP('Données projet'!$B$10,Paramètres!$A$1:$I$89,3,0)*0.475*44/12</f>
        <v>0.96443502875480325</v>
      </c>
      <c r="AX59" s="21">
        <f t="shared" si="6"/>
        <v>24.769427373850775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221.69663100000022</v>
      </c>
      <c r="BF59" s="13">
        <f t="shared" si="37"/>
        <v>54.483475048545635</v>
      </c>
      <c r="BG59" s="20">
        <f t="shared" si="7"/>
        <v>481.0136847012173</v>
      </c>
      <c r="BH59" s="59">
        <f t="shared" si="8"/>
        <v>774.34701803455062</v>
      </c>
      <c r="BI59" s="59">
        <f ca="1">AVERAGE(OFFSET($BH$3,0,0,'Données projet'!$E$11+1,1))-AVERAGE(OFFSET($H$3,0,0,'Données projet'!$E$11+1,1))</f>
        <v>666.1523645983184</v>
      </c>
      <c r="BJ59" s="59">
        <f t="shared" si="38"/>
        <v>294.13851344047526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22.340069739243916</v>
      </c>
      <c r="BR59" s="21">
        <f>EXP(-LN(2)/2)*BR58+(1-EXP(-LN(2)/2))/(LN(2)/2)*BL59*BO59*VLOOKUP('Données projet'!$B$11,Paramètres!$A$1:$I$89,3,0)*0.475*44/12</f>
        <v>0.90508518083143097</v>
      </c>
      <c r="BS59" s="22">
        <f t="shared" si="9"/>
        <v>23.245154920075347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10.36375</v>
      </c>
      <c r="BY59" s="12">
        <f>IF('Données projet'!$A$114&gt;35,BY58+BX59-CG58,IF(A59&lt;'Données projet'!$A$114,$BV$205^A59,IF(A59='Données projet'!$A$114,'Données projet'!$B$114,BY58+BX59-CG58)))</f>
        <v>232.97250000000025</v>
      </c>
      <c r="BZ59" s="13">
        <f>BY59*VLOOKUP('Données projet'!$B$12,Paramètres!$A$1:$I$89,3,0)*VLOOKUP('Données projet'!$B$12,Paramètres!$A$1:$I$89,5,0)</f>
        <v>250.77159900000026</v>
      </c>
      <c r="CA59" s="13">
        <f t="shared" si="39"/>
        <v>60.751137519846843</v>
      </c>
      <c r="CB59" s="20">
        <f t="shared" si="10"/>
        <v>542.56876610540041</v>
      </c>
      <c r="CC59" s="59">
        <f t="shared" si="11"/>
        <v>835.90209943873379</v>
      </c>
      <c r="CD59" s="59">
        <f ca="1">AVERAGE(OFFSET($CC$3,0,0,'Données projet'!$E$12+1,1))-AVERAGE(OFFSET($H$3,0,0,'Données projet'!$E$12+1,1))</f>
        <v>747.18304127457918</v>
      </c>
      <c r="CE59" s="59">
        <f t="shared" si="40"/>
        <v>327.03701004966723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25.269914950948024</v>
      </c>
      <c r="CM59" s="21">
        <f>EXP(-LN(2)/2)*CM58+(1-EXP(-LN(2)/2))/(LN(2)/2)*CG59*CJ59*VLOOKUP('Données projet'!$B$12,Paramètres!$A$1:$I$89,3,0)*0.475*44/12</f>
        <v>1.0237848766781754</v>
      </c>
      <c r="CN59" s="22">
        <f t="shared" si="12"/>
        <v>26.293699827626199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10.36375</v>
      </c>
      <c r="CT59" s="12">
        <f>IF('Données projet'!$A$140&gt;35,CT58+CS59-DB58,IF(A59&lt;'Données projet'!$A$140,$CQ$205^A59,IF(A59='Données projet'!$A$140,'Données projet'!$B$140,CT58+CS59-DB58)))</f>
        <v>232.97250000000025</v>
      </c>
      <c r="CU59" s="17">
        <f>CT59*VLOOKUP('Données projet'!$B$13,Paramètres!$A$1:$I$89,3,0)*VLOOKUP('Données projet'!$B$13,Paramètres!$A$1:$I$89,5,0)</f>
        <v>225.33100200000027</v>
      </c>
      <c r="CV59" s="13">
        <f t="shared" si="41"/>
        <v>55.271933155691976</v>
      </c>
      <c r="CW59" s="20">
        <f t="shared" si="13"/>
        <v>488.71677872949732</v>
      </c>
      <c r="CX59" s="59">
        <f t="shared" si="14"/>
        <v>782.05011206283064</v>
      </c>
      <c r="CY59" s="59">
        <f ca="1">AVERAGE(OFFSET($CX$3,0,0,'Données projet'!$E$13+1,1))-AVERAGE(OFFSET($H$3,0,0,'Données projet'!$E$13+1,1))</f>
        <v>676.29219382388692</v>
      </c>
      <c r="CZ59" s="59">
        <f t="shared" si="42"/>
        <v>298.25577221580448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22.706300390706929</v>
      </c>
      <c r="DH59" s="21">
        <f>EXP(-LN(2)/2)*DH58+(1-EXP(-LN(2)/2))/(LN(2)/2)*DB59*DE59*VLOOKUP('Données projet'!$B$13,Paramètres!$A$1:$I$89,3,0)*0.475*44/12</f>
        <v>0.91992264281227376</v>
      </c>
      <c r="DI59" s="22">
        <f t="shared" si="15"/>
        <v>23.626223033519203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6.0096153846153868</v>
      </c>
      <c r="EJ59" s="12">
        <f>IF('Données projet'!$A$192&gt;35,EJ58+EI59-ER58,IF(A59&lt;'Données projet'!$A$192,$EG$205^A59,IF(A59='Données projet'!$A$192,'Données projet'!$B$192,EJ58+EI59-ER58)))</f>
        <v>166.34615384615384</v>
      </c>
      <c r="EK59" s="17">
        <f>EJ59*VLOOKUP('Données projet'!$B$15,Paramètres!$A$1:$I$89,3,0)*VLOOKUP('Données projet'!$B$15,Paramètres!$A$1:$I$89,5,0)</f>
        <v>129.75</v>
      </c>
      <c r="EL59" s="13">
        <f t="shared" si="45"/>
        <v>33.938585202364465</v>
      </c>
      <c r="EM59" s="20">
        <f t="shared" si="19"/>
        <v>285.09095256078473</v>
      </c>
      <c r="EN59" s="59">
        <f t="shared" si="20"/>
        <v>578.42428589411804</v>
      </c>
      <c r="EO59" s="59">
        <f ca="1">AVERAGE(OFFSET($EN$3,0,0,'Données projet'!$E$15+1,1))-AVERAGE(OFFSET($H$3,0,0,'Données projet'!$E$15+1,1))</f>
        <v>197.51452239559433</v>
      </c>
      <c r="EP59" s="59">
        <f t="shared" si="46"/>
        <v>196.65166921588821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7.4215487658803143</v>
      </c>
      <c r="EW59" s="21">
        <f>EXP(-LN(2)/25)*EW58+(1-EXP(-LN(2)/25))/(LN(2)/25)*Calculateur!ER59*Calculateur!ET59*VLOOKUP('Données projet'!$B$15,Paramètres!$A$1:$I$89,3,0)*0.475*44/12</f>
        <v>7.9696804208285901</v>
      </c>
      <c r="EX59" s="21">
        <f>EXP(-LN(2)/2)*EX58+(1-EXP(-LN(2)/2))/(LN(2)/2)*ER59*EU59*VLOOKUP('Données projet'!$B$15,Paramètres!$A$1:$I$89,3,0)*0.475*44/12</f>
        <v>1.5012089092741454</v>
      </c>
      <c r="EY59" s="22">
        <f t="shared" si="21"/>
        <v>16.892438095983049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771.11188011167906</v>
      </c>
      <c r="S60" s="59">
        <f ca="1">AVERAGE(OFFSET($R$3,0,0,'Données projet'!$E$9+1,1))-AVERAGE(OFFSET($H$3,0,0,'Données projet'!$E$9+1,1))</f>
        <v>635.71275911100679</v>
      </c>
      <c r="T60" s="59">
        <f t="shared" si="34"/>
        <v>281.7776857269169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10.36375</v>
      </c>
      <c r="AI60" s="13">
        <f>IF('Données projet'!$A$62&gt;35,AI59+AH60-AQ59,IF(A60&lt;'Données projet'!$A$62,$AF$205^A60,IF(A60='Données projet'!$A$62,'Données projet'!$B$62,AI59+AH60-AQ59)))</f>
        <v>243.33625000000026</v>
      </c>
      <c r="AJ60" s="13">
        <f>AI60*VLOOKUP('Données projet'!$B$10,Paramètres!$A$1:$I$89,3,0)*VLOOKUP('Données projet'!$B$10,Paramètres!$A$1:$I$89,5,0)</f>
        <v>246.74295750000027</v>
      </c>
      <c r="AK60" s="13">
        <f t="shared" si="35"/>
        <v>59.887962808292784</v>
      </c>
      <c r="AL60" s="20">
        <f t="shared" si="4"/>
        <v>534.04885287027707</v>
      </c>
      <c r="AM60" s="59">
        <f t="shared" si="5"/>
        <v>827.38218620361044</v>
      </c>
      <c r="AN60" s="59">
        <f ca="1">AVERAGE(OFFSET($AM$3,0,0,'Données projet'!$E$10+1,1))-AVERAGE(OFFSET($H$3,0,0,'Données projet'!$E$10+1,1))</f>
        <v>706.69239849991595</v>
      </c>
      <c r="AO60" s="59">
        <f t="shared" si="36"/>
        <v>310.59887275116529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23.154043577569183</v>
      </c>
      <c r="AW60" s="21">
        <f>EXP(-LN(2)/2)*AW59+(1-EXP(-LN(2)/2))/(LN(2)/2)*AQ60*AT60*VLOOKUP('Données projet'!$B$10,Paramètres!$A$1:$I$89,3,0)*0.475*44/12</f>
        <v>0.68195854884636442</v>
      </c>
      <c r="AX60" s="21">
        <f t="shared" si="6"/>
        <v>23.836002126415547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231.55877550000022</v>
      </c>
      <c r="BF60" s="13">
        <f t="shared" si="37"/>
        <v>56.619592629673022</v>
      </c>
      <c r="BG60" s="20">
        <f t="shared" si="7"/>
        <v>501.91065782584752</v>
      </c>
      <c r="BH60" s="59">
        <f t="shared" si="8"/>
        <v>795.24399115918084</v>
      </c>
      <c r="BI60" s="59">
        <f ca="1">AVERAGE(OFFSET($BH$3,0,0,'Données projet'!$E$11+1,1))-AVERAGE(OFFSET($H$3,0,0,'Données projet'!$E$11+1,1))</f>
        <v>666.1523645983184</v>
      </c>
      <c r="BJ60" s="59">
        <f t="shared" si="38"/>
        <v>294.13851344047526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21.729179357411081</v>
      </c>
      <c r="BR60" s="21">
        <f>EXP(-LN(2)/2)*BR59+(1-EXP(-LN(2)/2))/(LN(2)/2)*BL60*BO60*VLOOKUP('Données projet'!$B$11,Paramètres!$A$1:$I$89,3,0)*0.475*44/12</f>
        <v>0.63999186891735749</v>
      </c>
      <c r="BS60" s="22">
        <f t="shared" si="9"/>
        <v>22.369171226328437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10.36375</v>
      </c>
      <c r="BY60" s="12">
        <f>IF('Données projet'!$A$114&gt;35,BY59+BX60-CG59,IF(A60&lt;'Données projet'!$A$114,$BV$205^A60,IF(A60='Données projet'!$A$114,'Données projet'!$B$114,BY59+BX60-CG59)))</f>
        <v>243.33625000000026</v>
      </c>
      <c r="BZ60" s="13">
        <f>BY60*VLOOKUP('Données projet'!$B$12,Paramètres!$A$1:$I$89,3,0)*VLOOKUP('Données projet'!$B$12,Paramètres!$A$1:$I$89,5,0)</f>
        <v>261.92713950000024</v>
      </c>
      <c r="CA60" s="13">
        <f t="shared" si="39"/>
        <v>63.132989499993243</v>
      </c>
      <c r="CB60" s="20">
        <f t="shared" si="10"/>
        <v>566.1463913416552</v>
      </c>
      <c r="CC60" s="59">
        <f t="shared" si="11"/>
        <v>859.47972467498857</v>
      </c>
      <c r="CD60" s="59">
        <f ca="1">AVERAGE(OFFSET($CC$3,0,0,'Données projet'!$E$12+1,1))-AVERAGE(OFFSET($H$3,0,0,'Données projet'!$E$12+1,1))</f>
        <v>747.18304127457918</v>
      </c>
      <c r="CE60" s="59">
        <f t="shared" si="40"/>
        <v>327.03701004966723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24.578907797727279</v>
      </c>
      <c r="CM60" s="21">
        <f>EXP(-LN(2)/2)*CM59+(1-EXP(-LN(2)/2))/(LN(2)/2)*CG60*CJ60*VLOOKUP('Données projet'!$B$12,Paramètres!$A$1:$I$89,3,0)*0.475*44/12</f>
        <v>0.72392522877537113</v>
      </c>
      <c r="CN60" s="22">
        <f t="shared" si="12"/>
        <v>25.30283302650265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10.36375</v>
      </c>
      <c r="CT60" s="12">
        <f>IF('Données projet'!$A$140&gt;35,CT59+CS60-DB59,IF(A60&lt;'Données projet'!$A$140,$CQ$205^A60,IF(A60='Données projet'!$A$140,'Données projet'!$B$140,CT59+CS60-DB59)))</f>
        <v>243.33625000000026</v>
      </c>
      <c r="CU60" s="17">
        <f>CT60*VLOOKUP('Données projet'!$B$13,Paramètres!$A$1:$I$89,3,0)*VLOOKUP('Données projet'!$B$13,Paramètres!$A$1:$I$89,5,0)</f>
        <v>235.35482100000027</v>
      </c>
      <c r="CV60" s="13">
        <f t="shared" si="41"/>
        <v>57.438963581918848</v>
      </c>
      <c r="CW60" s="20">
        <f t="shared" si="13"/>
        <v>509.94917481350916</v>
      </c>
      <c r="CX60" s="59">
        <f t="shared" si="14"/>
        <v>803.28250814684247</v>
      </c>
      <c r="CY60" s="59">
        <f ca="1">AVERAGE(OFFSET($CX$3,0,0,'Données projet'!$E$13+1,1))-AVERAGE(OFFSET($H$3,0,0,'Données projet'!$E$13+1,1))</f>
        <v>676.29219382388692</v>
      </c>
      <c r="CZ60" s="59">
        <f t="shared" si="42"/>
        <v>298.25577221580448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22.085395412450605</v>
      </c>
      <c r="DH60" s="21">
        <f>EXP(-LN(2)/2)*DH59+(1-EXP(-LN(2)/2))/(LN(2)/2)*DB60*DE60*VLOOKUP('Données projet'!$B$13,Paramètres!$A$1:$I$89,3,0)*0.475*44/12</f>
        <v>0.65048353889960897</v>
      </c>
      <c r="DI60" s="22">
        <f t="shared" si="15"/>
        <v>22.735878951350216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6.0096153846153868</v>
      </c>
      <c r="EJ60" s="12">
        <f>IF('Données projet'!$A$192&gt;35,EJ59+EI60-ER59,IF(A60&lt;'Données projet'!$A$192,$EG$205^A60,IF(A60='Données projet'!$A$192,'Données projet'!$B$192,EJ59+EI60-ER59)))</f>
        <v>172.35576923076923</v>
      </c>
      <c r="EK60" s="17">
        <f>EJ60*VLOOKUP('Données projet'!$B$15,Paramètres!$A$1:$I$89,3,0)*VLOOKUP('Données projet'!$B$15,Paramètres!$A$1:$I$89,5,0)</f>
        <v>134.4375</v>
      </c>
      <c r="EL60" s="13">
        <f t="shared" si="45"/>
        <v>35.019723665000747</v>
      </c>
      <c r="EM60" s="20">
        <f t="shared" si="19"/>
        <v>295.13799788320961</v>
      </c>
      <c r="EN60" s="59">
        <f t="shared" si="20"/>
        <v>588.47133121654292</v>
      </c>
      <c r="EO60" s="59">
        <f ca="1">AVERAGE(OFFSET($EN$3,0,0,'Données projet'!$E$15+1,1))-AVERAGE(OFFSET($H$3,0,0,'Données projet'!$E$15+1,1))</f>
        <v>197.51452239559433</v>
      </c>
      <c r="EP60" s="59">
        <f t="shared" si="46"/>
        <v>196.65166921588821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7.2760167212791744</v>
      </c>
      <c r="EW60" s="21">
        <f>EXP(-LN(2)/25)*EW59+(1-EXP(-LN(2)/25))/(LN(2)/25)*Calculateur!ER60*Calculateur!ET60*VLOOKUP('Données projet'!$B$15,Paramètres!$A$1:$I$89,3,0)*0.475*44/12</f>
        <v>7.7517490906137541</v>
      </c>
      <c r="EX60" s="21">
        <f>EXP(-LN(2)/2)*EX59+(1-EXP(-LN(2)/2))/(LN(2)/2)*ER60*EU60*VLOOKUP('Données projet'!$B$15,Paramètres!$A$1:$I$89,3,0)*0.475*44/12</f>
        <v>1.061514999725409</v>
      </c>
      <c r="EY60" s="22">
        <f t="shared" si="21"/>
        <v>16.089280811618337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790.98435752940031</v>
      </c>
      <c r="S61" s="59">
        <f ca="1">AVERAGE(OFFSET($R$3,0,0,'Données projet'!$E$9+1,1))-AVERAGE(OFFSET($H$3,0,0,'Données projet'!$E$9+1,1))</f>
        <v>635.71275911100679</v>
      </c>
      <c r="T61" s="59">
        <f t="shared" si="34"/>
        <v>281.7776857269169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10.36375</v>
      </c>
      <c r="AH61" s="12">
        <f t="array" ref="AH61">INDEX(AG:AG,MIN(IF(ISNUMBER(AG61:AG257),ROW(AG61:AG257),"")))</f>
        <v>10.36375</v>
      </c>
      <c r="AI61" s="13">
        <f>IF('Données projet'!$A$62&gt;35,AI60+AH61-AQ60,IF(A61&lt;'Données projet'!$A$62,$AF$205^A61,IF(A61='Données projet'!$A$62,'Données projet'!$B$62,AI60+AH61-AQ60)))</f>
        <v>253.70000000000027</v>
      </c>
      <c r="AJ61" s="13">
        <f>AI61*VLOOKUP('Données projet'!$B$10,Paramètres!$A$1:$I$89,3,0)*VLOOKUP('Données projet'!$B$10,Paramètres!$A$1:$I$89,5,0)</f>
        <v>257.25180000000029</v>
      </c>
      <c r="AK61" s="13">
        <f t="shared" si="35"/>
        <v>62.136210975836612</v>
      </c>
      <c r="AL61" s="20">
        <f t="shared" si="4"/>
        <v>556.26745244958261</v>
      </c>
      <c r="AM61" s="59">
        <f t="shared" si="5"/>
        <v>849.60078578291586</v>
      </c>
      <c r="AN61" s="59">
        <f ca="1">AVERAGE(OFFSET($AM$3,0,0,'Données projet'!$E$10+1,1))-AVERAGE(OFFSET($H$3,0,0,'Données projet'!$E$10+1,1))</f>
        <v>706.69239849991595</v>
      </c>
      <c r="AO61" s="59">
        <f t="shared" si="36"/>
        <v>310.59887275116529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47.789999999999992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0.34400000000000003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40.876435665412025</v>
      </c>
      <c r="AW61" s="21">
        <f>EXP(-LN(2)/2)*AW60+(1-EXP(-LN(2)/2))/(LN(2)/2)*AQ61*AT61*VLOOKUP('Données projet'!$B$10,Paramètres!$A$1:$I$89,3,0)*0.475*44/12</f>
        <v>9.6267029876728749</v>
      </c>
      <c r="AX61" s="21">
        <f t="shared" si="6"/>
        <v>50.503138653084903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241.42092000000028</v>
      </c>
      <c r="BF61" s="13">
        <f t="shared" si="37"/>
        <v>58.745143231289354</v>
      </c>
      <c r="BG61" s="20">
        <f t="shared" si="7"/>
        <v>522.78922679449613</v>
      </c>
      <c r="BH61" s="59">
        <f t="shared" si="8"/>
        <v>816.1225601278295</v>
      </c>
      <c r="BI61" s="59">
        <f ca="1">AVERAGE(OFFSET($BH$3,0,0,'Données projet'!$E$11+1,1))-AVERAGE(OFFSET($H$3,0,0,'Données projet'!$E$11+1,1))</f>
        <v>666.1523645983184</v>
      </c>
      <c r="BJ61" s="59">
        <f t="shared" si="38"/>
        <v>294.13851344047526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38.360962701386669</v>
      </c>
      <c r="BR61" s="21">
        <f>EXP(-LN(2)/2)*BR60+(1-EXP(-LN(2)/2))/(LN(2)/2)*BL61*BO61*VLOOKUP('Données projet'!$B$11,Paramètres!$A$1:$I$89,3,0)*0.475*44/12</f>
        <v>9.0342904961237753</v>
      </c>
      <c r="BS61" s="22">
        <f t="shared" si="9"/>
        <v>47.395253197510442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10.36375</v>
      </c>
      <c r="BX61" s="12">
        <f t="array" ref="BX61">INDEX(BW:BW,MIN(IF(ISNUMBER(BW61:BW257),ROW(BW61:BW257),"")))</f>
        <v>10.36375</v>
      </c>
      <c r="BY61" s="12">
        <f>IF('Données projet'!$A$114&gt;35,BY60+BX61-CG60,IF(A61&lt;'Données projet'!$A$114,$BV$205^A61,IF(A61='Données projet'!$A$114,'Données projet'!$B$114,BY60+BX61-CG60)))</f>
        <v>253.70000000000027</v>
      </c>
      <c r="BZ61" s="13">
        <f>BY61*VLOOKUP('Données projet'!$B$12,Paramètres!$A$1:$I$89,3,0)*VLOOKUP('Données projet'!$B$12,Paramètres!$A$1:$I$89,5,0)</f>
        <v>273.08268000000027</v>
      </c>
      <c r="CA61" s="13">
        <f t="shared" si="39"/>
        <v>65.503058897900175</v>
      </c>
      <c r="CB61" s="20">
        <f t="shared" si="10"/>
        <v>589.70349524717665</v>
      </c>
      <c r="CC61" s="59">
        <f t="shared" si="11"/>
        <v>883.03682858051002</v>
      </c>
      <c r="CD61" s="59">
        <f ca="1">AVERAGE(OFFSET($CC$3,0,0,'Données projet'!$E$12+1,1))-AVERAGE(OFFSET($H$3,0,0,'Données projet'!$E$12+1,1))</f>
        <v>747.18304127457918</v>
      </c>
      <c r="CE61" s="59">
        <f t="shared" si="40"/>
        <v>327.03701004966723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47.789999999999992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0.34400000000000003</v>
      </c>
      <c r="CJ61" s="16">
        <f>IF(ISNA(VLOOKUP(A61,'Données projet'!$A$113:$I$133,7,0)),0%,VLOOKUP(A61,'Données projet'!$A$113:$I$133,7,0))</f>
        <v>0.2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43.391908629437367</v>
      </c>
      <c r="CM61" s="21">
        <f>EXP(-LN(2)/2)*CM60+(1-EXP(-LN(2)/2))/(LN(2)/2)*CG61*CJ61*VLOOKUP('Données projet'!$B$12,Paramètres!$A$1:$I$89,3,0)*0.475*44/12</f>
        <v>10.219115479221974</v>
      </c>
      <c r="CN61" s="22">
        <f t="shared" si="12"/>
        <v>53.611024108659343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10.36375</v>
      </c>
      <c r="CS61" s="12">
        <f t="array" ref="CS61">INDEX(CR:CR,MIN(IF(ISNUMBER(CR61:CR257),ROW(CR61:CR257),"")))</f>
        <v>10.36375</v>
      </c>
      <c r="CT61" s="12">
        <f>IF('Données projet'!$A$140&gt;35,CT60+CS61-DB60,IF(A61&lt;'Données projet'!$A$140,$CQ$205^A61,IF(A61='Données projet'!$A$140,'Données projet'!$B$140,CT60+CS61-DB60)))</f>
        <v>253.70000000000027</v>
      </c>
      <c r="CU61" s="17">
        <f>CT61*VLOOKUP('Données projet'!$B$13,Paramètres!$A$1:$I$89,3,0)*VLOOKUP('Données projet'!$B$13,Paramètres!$A$1:$I$89,5,0)</f>
        <v>245.3786400000003</v>
      </c>
      <c r="CV61" s="13">
        <f t="shared" si="41"/>
        <v>59.595274108494095</v>
      </c>
      <c r="CW61" s="20">
        <f t="shared" si="13"/>
        <v>531.16290040562774</v>
      </c>
      <c r="CX61" s="59">
        <f t="shared" si="14"/>
        <v>824.49623373896111</v>
      </c>
      <c r="CY61" s="59">
        <f ca="1">AVERAGE(OFFSET($CX$3,0,0,'Données projet'!$E$13+1,1))-AVERAGE(OFFSET($H$3,0,0,'Données projet'!$E$13+1,1))</f>
        <v>676.29219382388692</v>
      </c>
      <c r="CZ61" s="59">
        <f t="shared" si="42"/>
        <v>298.25577221580448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47.789999999999992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0.34400000000000003</v>
      </c>
      <c r="DE61" s="16">
        <f>IF(ISNA(VLOOKUP(A61,'Données projet'!$A$139:$I$159,7,0)),0%,VLOOKUP(A61,'Données projet'!$A$139:$I$159,7,0))</f>
        <v>0.2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38.989830942393006</v>
      </c>
      <c r="DH61" s="21">
        <f>EXP(-LN(2)/2)*DH60+(1-EXP(-LN(2)/2))/(LN(2)/2)*DB61*DE61*VLOOKUP('Données projet'!$B$13,Paramètres!$A$1:$I$89,3,0)*0.475*44/12</f>
        <v>9.1823936190110498</v>
      </c>
      <c r="DI61" s="22">
        <f t="shared" si="15"/>
        <v>48.172224561404057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6.0096153846153868</v>
      </c>
      <c r="EJ61" s="12">
        <f>IF('Données projet'!$A$192&gt;35,EJ60+EI61-ER60,IF(A61&lt;'Données projet'!$A$192,$EG$205^A61,IF(A61='Données projet'!$A$192,'Données projet'!$B$192,EJ60+EI61-ER60)))</f>
        <v>178.36538461538461</v>
      </c>
      <c r="EK61" s="17">
        <f>EJ61*VLOOKUP('Données projet'!$B$15,Paramètres!$A$1:$I$89,3,0)*VLOOKUP('Données projet'!$B$15,Paramètres!$A$1:$I$89,5,0)</f>
        <v>139.125</v>
      </c>
      <c r="EL61" s="13">
        <f t="shared" si="45"/>
        <v>36.096482198248644</v>
      </c>
      <c r="EM61" s="20">
        <f t="shared" si="19"/>
        <v>305.17741482861635</v>
      </c>
      <c r="EN61" s="59">
        <f t="shared" si="20"/>
        <v>598.51074816194966</v>
      </c>
      <c r="EO61" s="59">
        <f ca="1">AVERAGE(OFFSET($EN$3,0,0,'Données projet'!$E$15+1,1))-AVERAGE(OFFSET($H$3,0,0,'Données projet'!$E$15+1,1))</f>
        <v>197.51452239559433</v>
      </c>
      <c r="EP61" s="59">
        <f t="shared" si="46"/>
        <v>196.65166921588821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7.1333384713068808</v>
      </c>
      <c r="EW61" s="21">
        <f>EXP(-LN(2)/25)*EW60+(1-EXP(-LN(2)/25))/(LN(2)/25)*Calculateur!ER61*Calculateur!ET61*VLOOKUP('Données projet'!$B$15,Paramètres!$A$1:$I$89,3,0)*0.475*44/12</f>
        <v>7.5397771040841528</v>
      </c>
      <c r="EX61" s="21">
        <f>EXP(-LN(2)/2)*EX60+(1-EXP(-LN(2)/2))/(LN(2)/2)*ER61*EU61*VLOOKUP('Données projet'!$B$15,Paramètres!$A$1:$I$89,3,0)*0.475*44/12</f>
        <v>0.75060445463707282</v>
      </c>
      <c r="EY61" s="22">
        <f t="shared" si="21"/>
        <v>15.423720030028106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718.64153131216472</v>
      </c>
      <c r="S62" s="59">
        <f ca="1">AVERAGE(OFFSET($R$3,0,0,'Données projet'!$E$9+1,1))-AVERAGE(OFFSET($H$3,0,0,'Données projet'!$E$9+1,1))</f>
        <v>635.71275911100679</v>
      </c>
      <c r="T62" s="59">
        <f t="shared" si="34"/>
        <v>281.7776857269169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10.107499999999998</v>
      </c>
      <c r="AI62" s="13">
        <f>IF('Données projet'!$A$62&gt;35,AI61+AH62-AQ61,IF(A62&lt;'Données projet'!$A$62,$AF$205^A62,IF(A62='Données projet'!$A$62,'Données projet'!$B$62,AI61+AH62-AQ61)))</f>
        <v>216.0175000000003</v>
      </c>
      <c r="AJ62" s="13">
        <f>AI62*VLOOKUP('Données projet'!$B$10,Paramètres!$A$1:$I$89,3,0)*VLOOKUP('Données projet'!$B$10,Paramètres!$A$1:$I$89,5,0)</f>
        <v>219.0417450000003</v>
      </c>
      <c r="AK62" s="13">
        <f t="shared" si="35"/>
        <v>53.906560847753887</v>
      </c>
      <c r="AL62" s="20">
        <f t="shared" si="4"/>
        <v>475.38496601817178</v>
      </c>
      <c r="AM62" s="59">
        <f t="shared" si="5"/>
        <v>768.71829935150504</v>
      </c>
      <c r="AN62" s="59">
        <f ca="1">AVERAGE(OFFSET($AM$3,0,0,'Données projet'!$E$10+1,1))-AVERAGE(OFFSET($H$3,0,0,'Données projet'!$E$10+1,1))</f>
        <v>706.69239849991595</v>
      </c>
      <c r="AO62" s="59">
        <f t="shared" si="36"/>
        <v>310.59887275116529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39.758667382543003</v>
      </c>
      <c r="AW62" s="21">
        <f>EXP(-LN(2)/2)*AW61+(1-EXP(-LN(2)/2))/(LN(2)/2)*AQ62*AT62*VLOOKUP('Données projet'!$B$10,Paramètres!$A$1:$I$89,3,0)*0.475*44/12</f>
        <v>6.8071069630522869</v>
      </c>
      <c r="AX62" s="21">
        <f t="shared" si="6"/>
        <v>46.565774345595287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205.56225300000028</v>
      </c>
      <c r="BF62" s="13">
        <f t="shared" si="37"/>
        <v>50.964624143866644</v>
      </c>
      <c r="BG62" s="20">
        <f t="shared" si="7"/>
        <v>446.78431102556823</v>
      </c>
      <c r="BH62" s="59">
        <f t="shared" si="8"/>
        <v>740.11764435890154</v>
      </c>
      <c r="BI62" s="59">
        <f ca="1">AVERAGE(OFFSET($BH$3,0,0,'Données projet'!$E$11+1,1))-AVERAGE(OFFSET($H$3,0,0,'Données projet'!$E$11+1,1))</f>
        <v>666.1523645983184</v>
      </c>
      <c r="BJ62" s="59">
        <f t="shared" si="38"/>
        <v>294.13851344047526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37.311980159001898</v>
      </c>
      <c r="BR62" s="21">
        <f>EXP(-LN(2)/2)*BR61+(1-EXP(-LN(2)/2))/(LN(2)/2)*BL62*BO62*VLOOKUP('Données projet'!$B$11,Paramètres!$A$1:$I$89,3,0)*0.475*44/12</f>
        <v>6.3882080730183004</v>
      </c>
      <c r="BS62" s="22">
        <f t="shared" si="9"/>
        <v>43.700188232020196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10.107499999999998</v>
      </c>
      <c r="BY62" s="12">
        <f>IF('Données projet'!$A$114&gt;35,BY61+BX62-CG61,IF(A62&lt;'Données projet'!$A$114,$BV$205^A62,IF(A62='Données projet'!$A$114,'Données projet'!$B$114,BY61+BX62-CG61)))</f>
        <v>216.0175000000003</v>
      </c>
      <c r="BZ62" s="13">
        <f>BY62*VLOOKUP('Données projet'!$B$12,Paramètres!$A$1:$I$89,3,0)*VLOOKUP('Données projet'!$B$12,Paramètres!$A$1:$I$89,5,0)</f>
        <v>232.52123700000033</v>
      </c>
      <c r="CA62" s="13">
        <f t="shared" si="39"/>
        <v>56.827485531211536</v>
      </c>
      <c r="CB62" s="20">
        <f t="shared" si="10"/>
        <v>503.94902507519402</v>
      </c>
      <c r="CC62" s="59">
        <f t="shared" si="11"/>
        <v>797.28235840852733</v>
      </c>
      <c r="CD62" s="59">
        <f ca="1">AVERAGE(OFFSET($CC$3,0,0,'Données projet'!$E$12+1,1))-AVERAGE(OFFSET($H$3,0,0,'Données projet'!$E$12+1,1))</f>
        <v>747.18304127457918</v>
      </c>
      <c r="CE62" s="59">
        <f t="shared" si="40"/>
        <v>327.03701004966723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42.2053546060841</v>
      </c>
      <c r="CM62" s="21">
        <f>EXP(-LN(2)/2)*CM61+(1-EXP(-LN(2)/2))/(LN(2)/2)*CG62*CJ62*VLOOKUP('Données projet'!$B$12,Paramètres!$A$1:$I$89,3,0)*0.475*44/12</f>
        <v>7.2260058530862743</v>
      </c>
      <c r="CN62" s="22">
        <f t="shared" si="12"/>
        <v>49.431360459170378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10.107499999999998</v>
      </c>
      <c r="CT62" s="12">
        <f>IF('Données projet'!$A$140&gt;35,CT61+CS62-DB61,IF(A62&lt;'Données projet'!$A$140,$CQ$205^A62,IF(A62='Données projet'!$A$140,'Données projet'!$B$140,CT61+CS62-DB61)))</f>
        <v>216.0175000000003</v>
      </c>
      <c r="CU62" s="17">
        <f>CT62*VLOOKUP('Données projet'!$B$13,Paramètres!$A$1:$I$89,3,0)*VLOOKUP('Données projet'!$B$13,Paramètres!$A$1:$I$89,5,0)</f>
        <v>208.9321260000003</v>
      </c>
      <c r="CV62" s="13">
        <f t="shared" si="41"/>
        <v>51.702159167983467</v>
      </c>
      <c r="CW62" s="20">
        <f t="shared" si="13"/>
        <v>453.93804666757165</v>
      </c>
      <c r="CX62" s="59">
        <f t="shared" si="14"/>
        <v>747.27138000090497</v>
      </c>
      <c r="CY62" s="59">
        <f ca="1">AVERAGE(OFFSET($CX$3,0,0,'Données projet'!$E$13+1,1))-AVERAGE(OFFSET($H$3,0,0,'Données projet'!$E$13+1,1))</f>
        <v>676.29219382388692</v>
      </c>
      <c r="CZ62" s="59">
        <f t="shared" si="42"/>
        <v>298.25577221580448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37.923651964887171</v>
      </c>
      <c r="DH62" s="21">
        <f>EXP(-LN(2)/2)*DH61+(1-EXP(-LN(2)/2))/(LN(2)/2)*DB62*DE62*VLOOKUP('Données projet'!$B$13,Paramètres!$A$1:$I$89,3,0)*0.475*44/12</f>
        <v>6.492932795526797</v>
      </c>
      <c r="DI62" s="22">
        <f t="shared" si="15"/>
        <v>44.416584760413969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6.0096153846153868</v>
      </c>
      <c r="EJ62" s="12">
        <f>IF('Données projet'!$A$192&gt;35,EJ61+EI62-ER61,IF(A62&lt;'Données projet'!$A$192,$EG$205^A62,IF(A62='Données projet'!$A$192,'Données projet'!$B$192,EJ61+EI62-ER61)))</f>
        <v>184.375</v>
      </c>
      <c r="EK62" s="17">
        <f>EJ62*VLOOKUP('Données projet'!$B$15,Paramètres!$A$1:$I$89,3,0)*VLOOKUP('Données projet'!$B$15,Paramètres!$A$1:$I$89,5,0)</f>
        <v>143.8125</v>
      </c>
      <c r="EL62" s="13">
        <f t="shared" si="45"/>
        <v>37.169025291790518</v>
      </c>
      <c r="EM62" s="20">
        <f t="shared" si="19"/>
        <v>315.2094898832018</v>
      </c>
      <c r="EN62" s="59">
        <f t="shared" si="20"/>
        <v>608.54282321653511</v>
      </c>
      <c r="EO62" s="59">
        <f ca="1">AVERAGE(OFFSET($EN$3,0,0,'Données projet'!$E$15+1,1))-AVERAGE(OFFSET($H$3,0,0,'Données projet'!$E$15+1,1))</f>
        <v>197.51452239559433</v>
      </c>
      <c r="EP62" s="59">
        <f t="shared" si="46"/>
        <v>196.65166921588821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6.9934580547914038</v>
      </c>
      <c r="EW62" s="21">
        <f>EXP(-LN(2)/25)*EW61+(1-EXP(-LN(2)/25))/(LN(2)/25)*Calculateur!ER62*Calculateur!ET62*VLOOKUP('Données projet'!$B$15,Paramètres!$A$1:$I$89,3,0)*0.475*44/12</f>
        <v>7.3336015026733259</v>
      </c>
      <c r="EX62" s="21">
        <f>EXP(-LN(2)/2)*EX61+(1-EXP(-LN(2)/2))/(LN(2)/2)*ER62*EU62*VLOOKUP('Données projet'!$B$15,Paramètres!$A$1:$I$89,3,0)*0.475*44/12</f>
        <v>0.53075749986270448</v>
      </c>
      <c r="EY62" s="22">
        <f t="shared" si="21"/>
        <v>14.857817057327434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738.07001781110057</v>
      </c>
      <c r="S63" s="59">
        <f ca="1">AVERAGE(OFFSET($R$3,0,0,'Données projet'!$E$9+1,1))-AVERAGE(OFFSET($H$3,0,0,'Données projet'!$E$9+1,1))</f>
        <v>635.71275911100679</v>
      </c>
      <c r="T63" s="59">
        <f t="shared" si="34"/>
        <v>281.7776857269169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10.107499999999998</v>
      </c>
      <c r="AI63" s="13">
        <f>IF('Données projet'!$A$62&gt;35,AI62+AH63-AQ62,IF(A63&lt;'Données projet'!$A$62,$AF$205^A63,IF(A63='Données projet'!$A$62,'Données projet'!$B$62,AI62+AH63-AQ62)))</f>
        <v>226.12500000000028</v>
      </c>
      <c r="AJ63" s="13">
        <f>AI63*VLOOKUP('Données projet'!$B$10,Paramètres!$A$1:$I$89,3,0)*VLOOKUP('Données projet'!$B$10,Paramètres!$A$1:$I$89,5,0)</f>
        <v>229.29075000000029</v>
      </c>
      <c r="AK63" s="13">
        <f t="shared" si="35"/>
        <v>56.129297544192028</v>
      </c>
      <c r="AL63" s="20">
        <f t="shared" si="4"/>
        <v>497.1065828061349</v>
      </c>
      <c r="AM63" s="59">
        <f t="shared" si="5"/>
        <v>790.43991613946821</v>
      </c>
      <c r="AN63" s="59">
        <f ca="1">AVERAGE(OFFSET($AM$3,0,0,'Données projet'!$E$10+1,1))-AVERAGE(OFFSET($H$3,0,0,'Données projet'!$E$10+1,1))</f>
        <v>706.69239849991595</v>
      </c>
      <c r="AO63" s="59">
        <f t="shared" si="36"/>
        <v>310.59887275116529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38.671464532149919</v>
      </c>
      <c r="AW63" s="21">
        <f>EXP(-LN(2)/2)*AW62+(1-EXP(-LN(2)/2))/(LN(2)/2)*AQ63*AT63*VLOOKUP('Données projet'!$B$10,Paramètres!$A$1:$I$89,3,0)*0.475*44/12</f>
        <v>4.8133514938364375</v>
      </c>
      <c r="AX63" s="21">
        <f t="shared" si="6"/>
        <v>43.484816025986355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215.18055000000027</v>
      </c>
      <c r="BF63" s="13">
        <f t="shared" si="37"/>
        <v>53.066055556356247</v>
      </c>
      <c r="BG63" s="20">
        <f t="shared" si="7"/>
        <v>467.19617134398754</v>
      </c>
      <c r="BH63" s="59">
        <f t="shared" si="8"/>
        <v>760.5295046773208</v>
      </c>
      <c r="BI63" s="59">
        <f ca="1">AVERAGE(OFFSET($BH$3,0,0,'Données projet'!$E$11+1,1))-AVERAGE(OFFSET($H$3,0,0,'Données projet'!$E$11+1,1))</f>
        <v>666.1523645983184</v>
      </c>
      <c r="BJ63" s="59">
        <f t="shared" si="38"/>
        <v>294.13851344047526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36.29168209940223</v>
      </c>
      <c r="BR63" s="21">
        <f>EXP(-LN(2)/2)*BR62+(1-EXP(-LN(2)/2))/(LN(2)/2)*BL63*BO63*VLOOKUP('Données projet'!$B$11,Paramètres!$A$1:$I$89,3,0)*0.475*44/12</f>
        <v>4.5171452480618877</v>
      </c>
      <c r="BS63" s="22">
        <f t="shared" si="9"/>
        <v>40.808827347464117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10.107499999999998</v>
      </c>
      <c r="BY63" s="12">
        <f>IF('Données projet'!$A$114&gt;35,BY62+BX63-CG62,IF(A63&lt;'Données projet'!$A$114,$BV$205^A63,IF(A63='Données projet'!$A$114,'Données projet'!$B$114,BY62+BX63-CG62)))</f>
        <v>226.12500000000028</v>
      </c>
      <c r="BZ63" s="13">
        <f>BY63*VLOOKUP('Données projet'!$B$12,Paramètres!$A$1:$I$89,3,0)*VLOOKUP('Données projet'!$B$12,Paramètres!$A$1:$I$89,5,0)</f>
        <v>243.40095000000028</v>
      </c>
      <c r="CA63" s="13">
        <f t="shared" si="39"/>
        <v>59.170661120047022</v>
      </c>
      <c r="CB63" s="20">
        <f t="shared" si="10"/>
        <v>526.97888936741572</v>
      </c>
      <c r="CC63" s="59">
        <f t="shared" si="11"/>
        <v>820.31222270074909</v>
      </c>
      <c r="CD63" s="59">
        <f ca="1">AVERAGE(OFFSET($CC$3,0,0,'Données projet'!$E$12+1,1))-AVERAGE(OFFSET($H$3,0,0,'Données projet'!$E$12+1,1))</f>
        <v>747.18304127457918</v>
      </c>
      <c r="CE63" s="59">
        <f t="shared" si="40"/>
        <v>327.03701004966723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41.051246964897594</v>
      </c>
      <c r="CM63" s="21">
        <f>EXP(-LN(2)/2)*CM62+(1-EXP(-LN(2)/2))/(LN(2)/2)*CG63*CJ63*VLOOKUP('Données projet'!$B$12,Paramètres!$A$1:$I$89,3,0)*0.475*44/12</f>
        <v>5.1095577396109881</v>
      </c>
      <c r="CN63" s="22">
        <f t="shared" si="12"/>
        <v>46.160804704508578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10.107499999999998</v>
      </c>
      <c r="CT63" s="12">
        <f>IF('Données projet'!$A$140&gt;35,CT62+CS63-DB62,IF(A63&lt;'Données projet'!$A$140,$CQ$205^A63,IF(A63='Données projet'!$A$140,'Données projet'!$B$140,CT62+CS63-DB62)))</f>
        <v>226.12500000000028</v>
      </c>
      <c r="CU63" s="17">
        <f>CT63*VLOOKUP('Données projet'!$B$13,Paramètres!$A$1:$I$89,3,0)*VLOOKUP('Données projet'!$B$13,Paramètres!$A$1:$I$89,5,0)</f>
        <v>218.70810000000026</v>
      </c>
      <c r="CV63" s="13">
        <f t="shared" si="41"/>
        <v>53.834001464366089</v>
      </c>
      <c r="CW63" s="20">
        <f t="shared" si="13"/>
        <v>474.67749338377138</v>
      </c>
      <c r="CX63" s="59">
        <f t="shared" si="14"/>
        <v>768.01082671710469</v>
      </c>
      <c r="CY63" s="59">
        <f ca="1">AVERAGE(OFFSET($CX$3,0,0,'Données projet'!$E$13+1,1))-AVERAGE(OFFSET($H$3,0,0,'Données projet'!$E$13+1,1))</f>
        <v>676.29219382388692</v>
      </c>
      <c r="CZ63" s="59">
        <f t="shared" si="42"/>
        <v>298.25577221580448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36.886627707589149</v>
      </c>
      <c r="DH63" s="21">
        <f>EXP(-LN(2)/2)*DH62+(1-EXP(-LN(2)/2))/(LN(2)/2)*DB63*DE63*VLOOKUP('Données projet'!$B$13,Paramètres!$A$1:$I$89,3,0)*0.475*44/12</f>
        <v>4.5911968095055258</v>
      </c>
      <c r="DI63" s="22">
        <f t="shared" si="15"/>
        <v>41.477824517094675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190.38461538461539</v>
      </c>
      <c r="EH63" s="12">
        <f>VLOOKUP(A63,'Données projet'!$A$191:$I$211,9,0)</f>
        <v>6.0096153846153868</v>
      </c>
      <c r="EI63" s="12">
        <f t="array" ref="EI63">INDEX(EH:EH,MIN(IF(ISNUMBER(EH63:EH259),ROW(EH63:EH259),"")))</f>
        <v>6.0096153846153868</v>
      </c>
      <c r="EJ63" s="12">
        <f>IF('Données projet'!$A$192&gt;35,EJ62+EI63-ER62,IF(A63&lt;'Données projet'!$A$192,$EG$205^A63,IF(A63='Données projet'!$A$192,'Données projet'!$B$192,EJ62+EI63-ER62)))</f>
        <v>190.38461538461539</v>
      </c>
      <c r="EK63" s="17">
        <f>EJ63*VLOOKUP('Données projet'!$B$15,Paramètres!$A$1:$I$89,3,0)*VLOOKUP('Données projet'!$B$15,Paramètres!$A$1:$I$89,5,0)</f>
        <v>148.5</v>
      </c>
      <c r="EL63" s="13">
        <f t="shared" si="45"/>
        <v>38.237506103710217</v>
      </c>
      <c r="EM63" s="20">
        <f t="shared" si="19"/>
        <v>325.23448979729528</v>
      </c>
      <c r="EN63" s="59">
        <f t="shared" si="20"/>
        <v>618.56782313062854</v>
      </c>
      <c r="EO63" s="59">
        <f ca="1">AVERAGE(OFFSET($EN$3,0,0,'Données projet'!$E$15+1,1))-AVERAGE(OFFSET($H$3,0,0,'Données projet'!$E$15+1,1))</f>
        <v>197.51452239559433</v>
      </c>
      <c r="EP63" s="59">
        <f t="shared" si="46"/>
        <v>196.65166921588821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30.128205128205128</v>
      </c>
      <c r="ES63" s="16">
        <f>IF(ISNA(VLOOKUP(A63,'Données projet'!$A$191:$I$211,5,0)),0%,VLOOKUP(A63,'Données projet'!$A$191:$I$211,5,0)*VLOOKUP('Données projet'!$B$15,Paramètres!$A$1:$I$89,7,0))</f>
        <v>0.1075</v>
      </c>
      <c r="ET63" s="16">
        <f>IF(ISNA(VLOOKUP(A63,'Données projet'!$A$191:$I$211,6,0)),0%,VLOOKUP(A63,'Données projet'!$A$191:$I$211,6,0)*VLOOKUP('Données projet'!$B$15,Paramètres!$A$1:$I$89,7,0))</f>
        <v>0.1075</v>
      </c>
      <c r="EU63" s="16">
        <f>IF(ISNA(VLOOKUP(A63,'Données projet'!$A$191:$I$211,7,0)),0%,VLOOKUP(A63,'Données projet'!$A$191:$I$211,7,0))</f>
        <v>0.25</v>
      </c>
      <c r="EV63" s="21">
        <f>EXP(-LN(2)/35)*EV62+(1-EXP(-LN(2)/35))/(LN(2)/35)*ER63*ES63*VLOOKUP('Données projet'!$B$15,Paramètres!$A$1:$I$89,3,0)*0.475*44/12</f>
        <v>9.6490151542202796</v>
      </c>
      <c r="EW63" s="21">
        <f>EXP(-LN(2)/25)*EW62+(1-EXP(-LN(2)/25))/(LN(2)/25)*Calculateur!ER63*Calculateur!ET63*VLOOKUP('Données projet'!$B$15,Paramètres!$A$1:$I$89,3,0)*0.475*44/12</f>
        <v>9.9147624276916879</v>
      </c>
      <c r="EX63" s="21">
        <f>EXP(-LN(2)/2)*EX62+(1-EXP(-LN(2)/2))/(LN(2)/2)*ER63*EU63*VLOOKUP('Données projet'!$B$15,Paramètres!$A$1:$I$89,3,0)*0.475*44/12</f>
        <v>5.918522850625191</v>
      </c>
      <c r="EY63" s="22">
        <f t="shared" si="21"/>
        <v>25.482300432537158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757.48033245059059</v>
      </c>
      <c r="S64" s="59">
        <f ca="1">AVERAGE(OFFSET($R$3,0,0,'Données projet'!$E$9+1,1))-AVERAGE(OFFSET($H$3,0,0,'Données projet'!$E$9+1,1))</f>
        <v>635.71275911100679</v>
      </c>
      <c r="T64" s="59">
        <f t="shared" si="34"/>
        <v>281.7776857269169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10.107499999999998</v>
      </c>
      <c r="AI64" s="13">
        <f>IF('Données projet'!$A$62&gt;35,AI63+AH64-AQ63,IF(A64&lt;'Données projet'!$A$62,$AF$205^A64,IF(A64='Données projet'!$A$62,'Données projet'!$B$62,AI63+AH64-AQ63)))</f>
        <v>236.23250000000027</v>
      </c>
      <c r="AJ64" s="13">
        <f>AI64*VLOOKUP('Données projet'!$B$10,Paramètres!$A$1:$I$89,3,0)*VLOOKUP('Données projet'!$B$10,Paramètres!$A$1:$I$89,5,0)</f>
        <v>239.5397550000003</v>
      </c>
      <c r="AK64" s="13">
        <f t="shared" si="35"/>
        <v>58.340495468530364</v>
      </c>
      <c r="AL64" s="20">
        <f t="shared" si="4"/>
        <v>518.80810289935755</v>
      </c>
      <c r="AM64" s="59">
        <f t="shared" si="5"/>
        <v>812.14143623269092</v>
      </c>
      <c r="AN64" s="59">
        <f ca="1">AVERAGE(OFFSET($AM$3,0,0,'Données projet'!$E$10+1,1))-AVERAGE(OFFSET($H$3,0,0,'Données projet'!$E$10+1,1))</f>
        <v>706.69239849991595</v>
      </c>
      <c r="AO64" s="59">
        <f t="shared" si="36"/>
        <v>310.59887275116529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37.613991300874346</v>
      </c>
      <c r="AW64" s="21">
        <f>EXP(-LN(2)/2)*AW63+(1-EXP(-LN(2)/2))/(LN(2)/2)*AQ64*AT64*VLOOKUP('Données projet'!$B$10,Paramètres!$A$1:$I$89,3,0)*0.475*44/12</f>
        <v>3.4035534815261435</v>
      </c>
      <c r="AX64" s="21">
        <f t="shared" si="6"/>
        <v>41.017544782400492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224.79884700000025</v>
      </c>
      <c r="BF64" s="13">
        <f t="shared" si="37"/>
        <v>55.156577922267701</v>
      </c>
      <c r="BG64" s="20">
        <f t="shared" si="7"/>
        <v>487.5890317396167</v>
      </c>
      <c r="BH64" s="59">
        <f t="shared" si="8"/>
        <v>780.92236507295002</v>
      </c>
      <c r="BI64" s="59">
        <f ca="1">AVERAGE(OFFSET($BH$3,0,0,'Données projet'!$E$11+1,1))-AVERAGE(OFFSET($H$3,0,0,'Données projet'!$E$11+1,1))</f>
        <v>666.1523645983184</v>
      </c>
      <c r="BJ64" s="59">
        <f t="shared" si="38"/>
        <v>294.13851344047526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35.299284143897459</v>
      </c>
      <c r="BR64" s="21">
        <f>EXP(-LN(2)/2)*BR63+(1-EXP(-LN(2)/2))/(LN(2)/2)*BL64*BO64*VLOOKUP('Données projet'!$B$11,Paramètres!$A$1:$I$89,3,0)*0.475*44/12</f>
        <v>3.1941040365091502</v>
      </c>
      <c r="BS64" s="22">
        <f t="shared" si="9"/>
        <v>38.493388180406612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10.107499999999998</v>
      </c>
      <c r="BY64" s="12">
        <f>IF('Données projet'!$A$114&gt;35,BY63+BX64-CG63,IF(A64&lt;'Données projet'!$A$114,$BV$205^A64,IF(A64='Données projet'!$A$114,'Données projet'!$B$114,BY63+BX64-CG63)))</f>
        <v>236.23250000000027</v>
      </c>
      <c r="BZ64" s="13">
        <f>BY64*VLOOKUP('Données projet'!$B$12,Paramètres!$A$1:$I$89,3,0)*VLOOKUP('Données projet'!$B$12,Paramètres!$A$1:$I$89,5,0)</f>
        <v>254.28066300000029</v>
      </c>
      <c r="CA64" s="13">
        <f t="shared" si="39"/>
        <v>61.501672708912224</v>
      </c>
      <c r="CB64" s="20">
        <f t="shared" si="10"/>
        <v>549.98756802635592</v>
      </c>
      <c r="CC64" s="59">
        <f t="shared" si="11"/>
        <v>843.32090135968929</v>
      </c>
      <c r="CD64" s="59">
        <f ca="1">AVERAGE(OFFSET($CC$3,0,0,'Données projet'!$E$12+1,1))-AVERAGE(OFFSET($H$3,0,0,'Données projet'!$E$12+1,1))</f>
        <v>747.18304127457918</v>
      </c>
      <c r="CE64" s="59">
        <f t="shared" si="40"/>
        <v>327.03701004966723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39.928698457851212</v>
      </c>
      <c r="CM64" s="21">
        <f>EXP(-LN(2)/2)*CM63+(1-EXP(-LN(2)/2))/(LN(2)/2)*CG64*CJ64*VLOOKUP('Données projet'!$B$12,Paramètres!$A$1:$I$89,3,0)*0.475*44/12</f>
        <v>3.6130029265431376</v>
      </c>
      <c r="CN64" s="22">
        <f t="shared" si="12"/>
        <v>43.541701384394351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10.107499999999998</v>
      </c>
      <c r="CT64" s="12">
        <f>IF('Données projet'!$A$140&gt;35,CT63+CS64-DB63,IF(A64&lt;'Données projet'!$A$140,$CQ$205^A64,IF(A64='Données projet'!$A$140,'Données projet'!$B$140,CT63+CS64-DB63)))</f>
        <v>236.23250000000027</v>
      </c>
      <c r="CU64" s="17">
        <f>CT64*VLOOKUP('Données projet'!$B$13,Paramètres!$A$1:$I$89,3,0)*VLOOKUP('Données projet'!$B$13,Paramètres!$A$1:$I$89,5,0)</f>
        <v>228.48407400000025</v>
      </c>
      <c r="CV64" s="13">
        <f t="shared" si="41"/>
        <v>55.954776843803295</v>
      </c>
      <c r="CW64" s="20">
        <f t="shared" si="13"/>
        <v>495.39766521962451</v>
      </c>
      <c r="CX64" s="59">
        <f t="shared" si="14"/>
        <v>788.73099855295777</v>
      </c>
      <c r="CY64" s="59">
        <f ca="1">AVERAGE(OFFSET($CX$3,0,0,'Données projet'!$E$13+1,1))-AVERAGE(OFFSET($H$3,0,0,'Données projet'!$E$13+1,1))</f>
        <v>676.29219382388692</v>
      </c>
      <c r="CZ64" s="59">
        <f t="shared" si="42"/>
        <v>298.25577221580448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35.877960933141679</v>
      </c>
      <c r="DH64" s="21">
        <f>EXP(-LN(2)/2)*DH63+(1-EXP(-LN(2)/2))/(LN(2)/2)*DB64*DE64*VLOOKUP('Données projet'!$B$13,Paramètres!$A$1:$I$89,3,0)*0.475*44/12</f>
        <v>3.246466397763399</v>
      </c>
      <c r="DI64" s="22">
        <f t="shared" si="15"/>
        <v>39.124427330905078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5.5555555555555554</v>
      </c>
      <c r="EJ64" s="12">
        <f>IF('Données projet'!$A$192&gt;35,EJ63+EI64-ER63,IF(A64&lt;'Données projet'!$A$192,$EG$205^A64,IF(A64='Données projet'!$A$192,'Données projet'!$B$192,EJ63+EI64-ER63)))</f>
        <v>165.81196581196579</v>
      </c>
      <c r="EK64" s="17">
        <f>EJ64*VLOOKUP('Données projet'!$B$15,Paramètres!$A$1:$I$89,3,0)*VLOOKUP('Données projet'!$B$15,Paramètres!$A$1:$I$89,5,0)</f>
        <v>129.33333333333331</v>
      </c>
      <c r="EL64" s="13">
        <f t="shared" si="45"/>
        <v>33.84226617438533</v>
      </c>
      <c r="EM64" s="20">
        <f t="shared" si="19"/>
        <v>284.19750247594328</v>
      </c>
      <c r="EN64" s="59">
        <f t="shared" si="20"/>
        <v>577.5308358092766</v>
      </c>
      <c r="EO64" s="59">
        <f ca="1">AVERAGE(OFFSET($EN$3,0,0,'Données projet'!$E$15+1,1))-AVERAGE(OFFSET($H$3,0,0,'Données projet'!$E$15+1,1))</f>
        <v>197.51452239559433</v>
      </c>
      <c r="EP64" s="59">
        <f t="shared" si="46"/>
        <v>196.65166921588821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9.4598038523641375</v>
      </c>
      <c r="EW64" s="21">
        <f>EXP(-LN(2)/25)*EW63+(1-EXP(-LN(2)/25))/(LN(2)/25)*Calculateur!ER64*Calculateur!ET64*VLOOKUP('Données projet'!$B$15,Paramètres!$A$1:$I$89,3,0)*0.475*44/12</f>
        <v>9.6436427277117627</v>
      </c>
      <c r="EX64" s="21">
        <f>EXP(-LN(2)/2)*EX63+(1-EXP(-LN(2)/2))/(LN(2)/2)*ER64*EU64*VLOOKUP('Données projet'!$B$15,Paramètres!$A$1:$I$89,3,0)*0.475*44/12</f>
        <v>4.1850276422846084</v>
      </c>
      <c r="EY64" s="22">
        <f t="shared" si="21"/>
        <v>23.288474222360509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776.8733416193345</v>
      </c>
      <c r="S65" s="59">
        <f ca="1">AVERAGE(OFFSET($R$3,0,0,'Données projet'!$E$9+1,1))-AVERAGE(OFFSET($H$3,0,0,'Données projet'!$E$9+1,1))</f>
        <v>635.71275911100679</v>
      </c>
      <c r="T65" s="59">
        <f t="shared" si="34"/>
        <v>281.7776857269169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10.107499999999998</v>
      </c>
      <c r="AI65" s="13">
        <f>IF('Données projet'!$A$62&gt;35,AI64+AH65-AQ64,IF(A65&lt;'Données projet'!$A$62,$AF$205^A65,IF(A65='Données projet'!$A$62,'Données projet'!$B$62,AI64+AH65-AQ64)))</f>
        <v>246.34000000000026</v>
      </c>
      <c r="AJ65" s="13">
        <f>AI65*VLOOKUP('Données projet'!$B$10,Paramètres!$A$1:$I$89,3,0)*VLOOKUP('Données projet'!$B$10,Paramètres!$A$1:$I$89,5,0)</f>
        <v>249.78876000000028</v>
      </c>
      <c r="AK65" s="13">
        <f t="shared" si="35"/>
        <v>60.540704760493632</v>
      </c>
      <c r="AL65" s="20">
        <f t="shared" si="4"/>
        <v>540.49048445786013</v>
      </c>
      <c r="AM65" s="59">
        <f t="shared" si="5"/>
        <v>833.82381779119351</v>
      </c>
      <c r="AN65" s="59">
        <f ca="1">AVERAGE(OFFSET($AM$3,0,0,'Données projet'!$E$10+1,1))-AVERAGE(OFFSET($H$3,0,0,'Données projet'!$E$10+1,1))</f>
        <v>706.69239849991595</v>
      </c>
      <c r="AO65" s="59">
        <f t="shared" si="36"/>
        <v>310.59887275116529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36.585434730718106</v>
      </c>
      <c r="AW65" s="21">
        <f>EXP(-LN(2)/2)*AW64+(1-EXP(-LN(2)/2))/(LN(2)/2)*AQ65*AT65*VLOOKUP('Données projet'!$B$10,Paramètres!$A$1:$I$89,3,0)*0.475*44/12</f>
        <v>2.4066757469182187</v>
      </c>
      <c r="AX65" s="21">
        <f t="shared" si="6"/>
        <v>38.992110477636324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234.41714400000023</v>
      </c>
      <c r="BF65" s="13">
        <f t="shared" si="37"/>
        <v>57.236711357591943</v>
      </c>
      <c r="BG65" s="20">
        <f t="shared" si="7"/>
        <v>507.96379808113971</v>
      </c>
      <c r="BH65" s="59">
        <f t="shared" si="8"/>
        <v>801.29713141447303</v>
      </c>
      <c r="BI65" s="59">
        <f ca="1">AVERAGE(OFFSET($BH$3,0,0,'Données projet'!$E$11+1,1))-AVERAGE(OFFSET($H$3,0,0,'Données projet'!$E$11+1,1))</f>
        <v>666.1523645983184</v>
      </c>
      <c r="BJ65" s="59">
        <f t="shared" si="38"/>
        <v>294.13851344047526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34.334023362673911</v>
      </c>
      <c r="BR65" s="21">
        <f>EXP(-LN(2)/2)*BR64+(1-EXP(-LN(2)/2))/(LN(2)/2)*BL65*BO65*VLOOKUP('Données projet'!$B$11,Paramètres!$A$1:$I$89,3,0)*0.475*44/12</f>
        <v>2.2585726240309438</v>
      </c>
      <c r="BS65" s="22">
        <f t="shared" si="9"/>
        <v>36.592595986704858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10.107499999999998</v>
      </c>
      <c r="BY65" s="12">
        <f>IF('Données projet'!$A$114&gt;35,BY64+BX65-CG64,IF(A65&lt;'Données projet'!$A$114,$BV$205^A65,IF(A65='Données projet'!$A$114,'Données projet'!$B$114,BY64+BX65-CG64)))</f>
        <v>246.34000000000026</v>
      </c>
      <c r="BZ65" s="13">
        <f>BY65*VLOOKUP('Données projet'!$B$12,Paramètres!$A$1:$I$89,3,0)*VLOOKUP('Données projet'!$B$12,Paramètres!$A$1:$I$89,5,0)</f>
        <v>265.16037600000027</v>
      </c>
      <c r="CA65" s="13">
        <f t="shared" si="39"/>
        <v>63.821100246829246</v>
      </c>
      <c r="CB65" s="20">
        <f t="shared" si="10"/>
        <v>572.97607112989465</v>
      </c>
      <c r="CC65" s="59">
        <f t="shared" si="11"/>
        <v>866.30940446322802</v>
      </c>
      <c r="CD65" s="59">
        <f ca="1">AVERAGE(OFFSET($CC$3,0,0,'Données projet'!$E$12+1,1))-AVERAGE(OFFSET($H$3,0,0,'Données projet'!$E$12+1,1))</f>
        <v>747.18304127457918</v>
      </c>
      <c r="CE65" s="59">
        <f t="shared" si="40"/>
        <v>327.03701004966723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38.83684609876228</v>
      </c>
      <c r="CM65" s="21">
        <f>EXP(-LN(2)/2)*CM64+(1-EXP(-LN(2)/2))/(LN(2)/2)*CG65*CJ65*VLOOKUP('Données projet'!$B$12,Paramètres!$A$1:$I$89,3,0)*0.475*44/12</f>
        <v>2.5547788698054945</v>
      </c>
      <c r="CN65" s="22">
        <f t="shared" si="12"/>
        <v>41.391624968567776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10.107499999999998</v>
      </c>
      <c r="CT65" s="12">
        <f>IF('Données projet'!$A$140&gt;35,CT64+CS65-DB64,IF(A65&lt;'Données projet'!$A$140,$CQ$205^A65,IF(A65='Données projet'!$A$140,'Données projet'!$B$140,CT64+CS65-DB64)))</f>
        <v>246.34000000000026</v>
      </c>
      <c r="CU65" s="17">
        <f>CT65*VLOOKUP('Données projet'!$B$13,Paramètres!$A$1:$I$89,3,0)*VLOOKUP('Données projet'!$B$13,Paramètres!$A$1:$I$89,5,0)</f>
        <v>238.26004800000027</v>
      </c>
      <c r="CV65" s="13">
        <f t="shared" si="41"/>
        <v>58.065012949149342</v>
      </c>
      <c r="CW65" s="20">
        <f t="shared" si="13"/>
        <v>516.09948115310215</v>
      </c>
      <c r="CX65" s="59">
        <f t="shared" si="14"/>
        <v>809.43281448643552</v>
      </c>
      <c r="CY65" s="59">
        <f ca="1">AVERAGE(OFFSET($CX$3,0,0,'Données projet'!$E$13+1,1))-AVERAGE(OFFSET($H$3,0,0,'Données projet'!$E$13+1,1))</f>
        <v>676.29219382388692</v>
      </c>
      <c r="CZ65" s="59">
        <f t="shared" si="42"/>
        <v>298.25577221580448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34.896876204684958</v>
      </c>
      <c r="DH65" s="21">
        <f>EXP(-LN(2)/2)*DH64+(1-EXP(-LN(2)/2))/(LN(2)/2)*DB65*DE65*VLOOKUP('Données projet'!$B$13,Paramètres!$A$1:$I$89,3,0)*0.475*44/12</f>
        <v>2.2955984047527629</v>
      </c>
      <c r="DI65" s="22">
        <f t="shared" si="15"/>
        <v>37.192474609437724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5.5555555555555554</v>
      </c>
      <c r="EJ65" s="12">
        <f>IF('Données projet'!$A$192&gt;35,EJ64+EI65-ER64,IF(A65&lt;'Données projet'!$A$192,$EG$205^A65,IF(A65='Données projet'!$A$192,'Données projet'!$B$192,EJ64+EI65-ER64)))</f>
        <v>171.36752136752133</v>
      </c>
      <c r="EK65" s="17">
        <f>EJ65*VLOOKUP('Données projet'!$B$15,Paramètres!$A$1:$I$89,3,0)*VLOOKUP('Données projet'!$B$15,Paramètres!$A$1:$I$89,5,0)</f>
        <v>133.66666666666666</v>
      </c>
      <c r="EL65" s="13">
        <f t="shared" si="45"/>
        <v>34.842241918705284</v>
      </c>
      <c r="EM65" s="20">
        <f t="shared" si="19"/>
        <v>293.4863491195228</v>
      </c>
      <c r="EN65" s="59">
        <f t="shared" si="20"/>
        <v>586.81968245285611</v>
      </c>
      <c r="EO65" s="59">
        <f ca="1">AVERAGE(OFFSET($EN$3,0,0,'Données projet'!$E$15+1,1))-AVERAGE(OFFSET($H$3,0,0,'Données projet'!$E$15+1,1))</f>
        <v>197.51452239559433</v>
      </c>
      <c r="EP65" s="59">
        <f t="shared" si="46"/>
        <v>196.65166921588821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9.2743028687298956</v>
      </c>
      <c r="EW65" s="21">
        <f>EXP(-LN(2)/25)*EW64+(1-EXP(-LN(2)/25))/(LN(2)/25)*Calculateur!ER65*Calculateur!ET65*VLOOKUP('Données projet'!$B$15,Paramètres!$A$1:$I$89,3,0)*0.475*44/12</f>
        <v>9.3799368101853542</v>
      </c>
      <c r="EX65" s="21">
        <f>EXP(-LN(2)/2)*EX64+(1-EXP(-LN(2)/2))/(LN(2)/2)*ER65*EU65*VLOOKUP('Données projet'!$B$15,Paramètres!$A$1:$I$89,3,0)*0.475*44/12</f>
        <v>2.9592614253125955</v>
      </c>
      <c r="EY65" s="22">
        <f t="shared" si="21"/>
        <v>21.613501104227844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796.2498365858869</v>
      </c>
      <c r="S66" s="59">
        <f ca="1">AVERAGE(OFFSET($R$3,0,0,'Données projet'!$E$9+1,1))-AVERAGE(OFFSET($H$3,0,0,'Données projet'!$E$9+1,1))</f>
        <v>635.71275911100679</v>
      </c>
      <c r="T66" s="59">
        <f t="shared" si="34"/>
        <v>281.7776857269169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10.107499999999998</v>
      </c>
      <c r="AI66" s="13">
        <f>IF('Données projet'!$A$62&gt;35,AI65+AH66-AQ65,IF(A66&lt;'Données projet'!$A$62,$AF$205^A66,IF(A66='Données projet'!$A$62,'Données projet'!$B$62,AI65+AH66-AQ65)))</f>
        <v>256.44750000000028</v>
      </c>
      <c r="AJ66" s="13">
        <f>AI66*VLOOKUP('Données projet'!$B$10,Paramètres!$A$1:$I$89,3,0)*VLOOKUP('Données projet'!$B$10,Paramètres!$A$1:$I$89,5,0)</f>
        <v>260.03776500000026</v>
      </c>
      <c r="AK66" s="13">
        <f t="shared" si="35"/>
        <v>62.730427859997341</v>
      </c>
      <c r="AL66" s="20">
        <f t="shared" si="4"/>
        <v>562.1546025644958</v>
      </c>
      <c r="AM66" s="59">
        <f t="shared" si="5"/>
        <v>855.48793589782917</v>
      </c>
      <c r="AN66" s="59">
        <f ca="1">AVERAGE(OFFSET($AM$3,0,0,'Données projet'!$E$10+1,1))-AVERAGE(OFFSET($H$3,0,0,'Données projet'!$E$10+1,1))</f>
        <v>706.69239849991595</v>
      </c>
      <c r="AO66" s="59">
        <f t="shared" si="36"/>
        <v>310.59887275116529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35.585004094062221</v>
      </c>
      <c r="AW66" s="21">
        <f>EXP(-LN(2)/2)*AW65+(1-EXP(-LN(2)/2))/(LN(2)/2)*AQ66*AT66*VLOOKUP('Données projet'!$B$10,Paramètres!$A$1:$I$89,3,0)*0.475*44/12</f>
        <v>1.7017767407630717</v>
      </c>
      <c r="AX66" s="21">
        <f t="shared" si="6"/>
        <v>37.286780834825294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244.03544100000028</v>
      </c>
      <c r="BF66" s="13">
        <f t="shared" si="37"/>
        <v>59.306930881715026</v>
      </c>
      <c r="BG66" s="20">
        <f t="shared" si="7"/>
        <v>528.3212976939875</v>
      </c>
      <c r="BH66" s="59">
        <f t="shared" si="8"/>
        <v>821.65463102732087</v>
      </c>
      <c r="BI66" s="59">
        <f ca="1">AVERAGE(OFFSET($BH$3,0,0,'Données projet'!$E$11+1,1))-AVERAGE(OFFSET($H$3,0,0,'Données projet'!$E$11+1,1))</f>
        <v>666.1523645983184</v>
      </c>
      <c r="BJ66" s="59">
        <f t="shared" si="38"/>
        <v>294.13851344047526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33.395157688273777</v>
      </c>
      <c r="BR66" s="21">
        <f>EXP(-LN(2)/2)*BR65+(1-EXP(-LN(2)/2))/(LN(2)/2)*BL66*BO66*VLOOKUP('Données projet'!$B$11,Paramètres!$A$1:$I$89,3,0)*0.475*44/12</f>
        <v>1.5970520182545751</v>
      </c>
      <c r="BS66" s="22">
        <f t="shared" si="9"/>
        <v>34.992209706528349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10.107499999999998</v>
      </c>
      <c r="BY66" s="12">
        <f>IF('Données projet'!$A$114&gt;35,BY65+BX66-CG65,IF(A66&lt;'Données projet'!$A$114,$BV$205^A66,IF(A66='Données projet'!$A$114,'Données projet'!$B$114,BY65+BX66-CG65)))</f>
        <v>256.44750000000028</v>
      </c>
      <c r="BZ66" s="13">
        <f>BY66*VLOOKUP('Données projet'!$B$12,Paramètres!$A$1:$I$89,3,0)*VLOOKUP('Données projet'!$B$12,Paramètres!$A$1:$I$89,5,0)</f>
        <v>276.04008900000031</v>
      </c>
      <c r="CA66" s="13">
        <f t="shared" si="39"/>
        <v>66.129473398398872</v>
      </c>
      <c r="CB66" s="20">
        <f t="shared" si="10"/>
        <v>595.94532117721189</v>
      </c>
      <c r="CC66" s="59">
        <f t="shared" si="11"/>
        <v>889.27865451054527</v>
      </c>
      <c r="CD66" s="59">
        <f ca="1">AVERAGE(OFFSET($CC$3,0,0,'Données projet'!$E$12+1,1))-AVERAGE(OFFSET($H$3,0,0,'Données projet'!$E$12+1,1))</f>
        <v>747.18304127457918</v>
      </c>
      <c r="CE66" s="59">
        <f t="shared" si="40"/>
        <v>327.03701004966723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37.77485049985065</v>
      </c>
      <c r="CM66" s="21">
        <f>EXP(-LN(2)/2)*CM65+(1-EXP(-LN(2)/2))/(LN(2)/2)*CG66*CJ66*VLOOKUP('Données projet'!$B$12,Paramètres!$A$1:$I$89,3,0)*0.475*44/12</f>
        <v>1.806501463271569</v>
      </c>
      <c r="CN66" s="22">
        <f t="shared" si="12"/>
        <v>39.581351963122216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10.107499999999998</v>
      </c>
      <c r="CT66" s="12">
        <f>IF('Données projet'!$A$140&gt;35,CT65+CS66-DB65,IF(A66&lt;'Données projet'!$A$140,$CQ$205^A66,IF(A66='Données projet'!$A$140,'Données projet'!$B$140,CT65+CS66-DB65)))</f>
        <v>256.44750000000028</v>
      </c>
      <c r="CU66" s="17">
        <f>CT66*VLOOKUP('Données projet'!$B$13,Paramètres!$A$1:$I$89,3,0)*VLOOKUP('Données projet'!$B$13,Paramètres!$A$1:$I$89,5,0)</f>
        <v>248.03602200000026</v>
      </c>
      <c r="CV66" s="13">
        <f t="shared" si="41"/>
        <v>60.165191674037722</v>
      </c>
      <c r="CW66" s="20">
        <f t="shared" si="13"/>
        <v>536.78378048228285</v>
      </c>
      <c r="CX66" s="59">
        <f t="shared" si="14"/>
        <v>830.11711381561622</v>
      </c>
      <c r="CY66" s="59">
        <f ca="1">AVERAGE(OFFSET($CX$3,0,0,'Données projet'!$E$13+1,1))-AVERAGE(OFFSET($H$3,0,0,'Données projet'!$E$13+1,1))</f>
        <v>676.29219382388692</v>
      </c>
      <c r="CZ66" s="59">
        <f t="shared" si="42"/>
        <v>298.25577221580448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33.942619289720888</v>
      </c>
      <c r="DH66" s="21">
        <f>EXP(-LN(2)/2)*DH65+(1-EXP(-LN(2)/2))/(LN(2)/2)*DB66*DE66*VLOOKUP('Données projet'!$B$13,Paramètres!$A$1:$I$89,3,0)*0.475*44/12</f>
        <v>1.6232331988816995</v>
      </c>
      <c r="DI66" s="22">
        <f t="shared" si="15"/>
        <v>35.565852488602587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5.5555555555555554</v>
      </c>
      <c r="EJ66" s="12">
        <f>IF('Données projet'!$A$192&gt;35,EJ65+EI66-ER65,IF(A66&lt;'Données projet'!$A$192,$EG$205^A66,IF(A66='Données projet'!$A$192,'Données projet'!$B$192,EJ65+EI66-ER65)))</f>
        <v>176.92307692307688</v>
      </c>
      <c r="EK66" s="17">
        <f>EJ66*VLOOKUP('Données projet'!$B$15,Paramètres!$A$1:$I$89,3,0)*VLOOKUP('Données projet'!$B$15,Paramètres!$A$1:$I$89,5,0)</f>
        <v>137.99999999999997</v>
      </c>
      <c r="EL66" s="13">
        <f t="shared" si="45"/>
        <v>35.838450602130571</v>
      </c>
      <c r="EM66" s="20">
        <f t="shared" si="19"/>
        <v>302.76863479871071</v>
      </c>
      <c r="EN66" s="59">
        <f t="shared" si="20"/>
        <v>596.10196813204402</v>
      </c>
      <c r="EO66" s="59">
        <f ca="1">AVERAGE(OFFSET($EN$3,0,0,'Données projet'!$E$15+1,1))-AVERAGE(OFFSET($H$3,0,0,'Données projet'!$E$15+1,1))</f>
        <v>197.51452239559433</v>
      </c>
      <c r="EP66" s="59">
        <f t="shared" si="46"/>
        <v>196.65166921588821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9.0924394462402933</v>
      </c>
      <c r="EW66" s="21">
        <f>EXP(-LN(2)/25)*EW65+(1-EXP(-LN(2)/25))/(LN(2)/25)*Calculateur!ER66*Calculateur!ET66*VLOOKUP('Données projet'!$B$15,Paramètres!$A$1:$I$89,3,0)*0.475*44/12</f>
        <v>9.1234419448413977</v>
      </c>
      <c r="EX66" s="21">
        <f>EXP(-LN(2)/2)*EX65+(1-EXP(-LN(2)/2))/(LN(2)/2)*ER66*EU66*VLOOKUP('Données projet'!$B$15,Paramètres!$A$1:$I$89,3,0)*0.475*44/12</f>
        <v>2.0925138211423042</v>
      </c>
      <c r="EY66" s="22">
        <f t="shared" si="21"/>
        <v>20.308395212223996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815.61054271425792</v>
      </c>
      <c r="S67" s="59">
        <f ca="1">AVERAGE(OFFSET($R$3,0,0,'Données projet'!$E$9+1,1))-AVERAGE(OFFSET($H$3,0,0,'Données projet'!$E$9+1,1))</f>
        <v>635.71275911100679</v>
      </c>
      <c r="T67" s="59">
        <f t="shared" si="34"/>
        <v>281.7776857269169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10.107499999999998</v>
      </c>
      <c r="AI67" s="13">
        <f>IF('Données projet'!$A$62&gt;35,AI66+AH67-AQ66,IF(A67&lt;'Données projet'!$A$62,$AF$205^A67,IF(A67='Données projet'!$A$62,'Données projet'!$B$62,AI66+AH67-AQ66)))</f>
        <v>266.55500000000029</v>
      </c>
      <c r="AJ67" s="13">
        <f>AI67*VLOOKUP('Données projet'!$B$10,Paramètres!$A$1:$I$89,3,0)*VLOOKUP('Données projet'!$B$10,Paramètres!$A$1:$I$89,5,0)</f>
        <v>270.28677000000033</v>
      </c>
      <c r="AK67" s="13">
        <f t="shared" si="35"/>
        <v>64.910125358871667</v>
      </c>
      <c r="AL67" s="20">
        <f t="shared" si="4"/>
        <v>583.80125941670201</v>
      </c>
      <c r="AM67" s="59">
        <f t="shared" si="5"/>
        <v>877.13459275003538</v>
      </c>
      <c r="AN67" s="59">
        <f ca="1">AVERAGE(OFFSET($AM$3,0,0,'Données projet'!$E$10+1,1))-AVERAGE(OFFSET($H$3,0,0,'Données projet'!$E$10+1,1))</f>
        <v>706.69239849991595</v>
      </c>
      <c r="AO67" s="59">
        <f t="shared" si="36"/>
        <v>310.59887275116529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34.611930285776054</v>
      </c>
      <c r="AW67" s="21">
        <f>EXP(-LN(2)/2)*AW66+(1-EXP(-LN(2)/2))/(LN(2)/2)*AQ67*AT67*VLOOKUP('Données projet'!$B$10,Paramètres!$A$1:$I$89,3,0)*0.475*44/12</f>
        <v>1.2033378734591094</v>
      </c>
      <c r="AX67" s="21">
        <f t="shared" si="6"/>
        <v>35.815268159235167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253.65373800000029</v>
      </c>
      <c r="BF67" s="13">
        <f t="shared" si="37"/>
        <v>61.36767194978637</v>
      </c>
      <c r="BG67" s="20">
        <f t="shared" si="7"/>
        <v>548.66228899587838</v>
      </c>
      <c r="BH67" s="59">
        <f t="shared" si="8"/>
        <v>841.99562232921176</v>
      </c>
      <c r="BI67" s="59">
        <f ca="1">AVERAGE(OFFSET($BH$3,0,0,'Données projet'!$E$11+1,1))-AVERAGE(OFFSET($H$3,0,0,'Données projet'!$E$11+1,1))</f>
        <v>666.1523645983184</v>
      </c>
      <c r="BJ67" s="59">
        <f t="shared" si="38"/>
        <v>294.13851344047526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32.481965345112911</v>
      </c>
      <c r="BR67" s="21">
        <f>EXP(-LN(2)/2)*BR66+(1-EXP(-LN(2)/2))/(LN(2)/2)*BL67*BO67*VLOOKUP('Données projet'!$B$11,Paramètres!$A$1:$I$89,3,0)*0.475*44/12</f>
        <v>1.1292863120154719</v>
      </c>
      <c r="BS67" s="22">
        <f t="shared" si="9"/>
        <v>33.611251657128385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10.107499999999998</v>
      </c>
      <c r="BY67" s="12">
        <f>IF('Données projet'!$A$114&gt;35,BY66+BX67-CG66,IF(A67&lt;'Données projet'!$A$114,$BV$205^A67,IF(A67='Données projet'!$A$114,'Données projet'!$B$114,BY66+BX67-CG66)))</f>
        <v>266.55500000000029</v>
      </c>
      <c r="BZ67" s="13">
        <f>BY67*VLOOKUP('Données projet'!$B$12,Paramètres!$A$1:$I$89,3,0)*VLOOKUP('Données projet'!$B$12,Paramètres!$A$1:$I$89,5,0)</f>
        <v>286.91980200000029</v>
      </c>
      <c r="CA67" s="13">
        <f t="shared" si="39"/>
        <v>68.427277712599647</v>
      </c>
      <c r="CB67" s="20">
        <f t="shared" si="10"/>
        <v>618.89616383277814</v>
      </c>
      <c r="CC67" s="59">
        <f t="shared" si="11"/>
        <v>912.22949716611151</v>
      </c>
      <c r="CD67" s="59">
        <f ca="1">AVERAGE(OFFSET($CC$3,0,0,'Données projet'!$E$12+1,1))-AVERAGE(OFFSET($H$3,0,0,'Données projet'!$E$12+1,1))</f>
        <v>747.18304127457918</v>
      </c>
      <c r="CE67" s="59">
        <f t="shared" si="40"/>
        <v>327.03701004966723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36.741895226439183</v>
      </c>
      <c r="CM67" s="21">
        <f>EXP(-LN(2)/2)*CM66+(1-EXP(-LN(2)/2))/(LN(2)/2)*CG67*CJ67*VLOOKUP('Données projet'!$B$12,Paramètres!$A$1:$I$89,3,0)*0.475*44/12</f>
        <v>1.2773894349027473</v>
      </c>
      <c r="CN67" s="22">
        <f t="shared" si="12"/>
        <v>38.019284661341928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10.107499999999998</v>
      </c>
      <c r="CT67" s="12">
        <f>IF('Données projet'!$A$140&gt;35,CT66+CS67-DB66,IF(A67&lt;'Données projet'!$A$140,$CQ$205^A67,IF(A67='Données projet'!$A$140,'Données projet'!$B$140,CT66+CS67-DB66)))</f>
        <v>266.55500000000029</v>
      </c>
      <c r="CU67" s="17">
        <f>CT67*VLOOKUP('Données projet'!$B$13,Paramètres!$A$1:$I$89,3,0)*VLOOKUP('Données projet'!$B$13,Paramètres!$A$1:$I$89,5,0)</f>
        <v>257.81199600000031</v>
      </c>
      <c r="CV67" s="13">
        <f t="shared" si="41"/>
        <v>62.255754775310869</v>
      </c>
      <c r="CW67" s="20">
        <f t="shared" si="13"/>
        <v>557.45133260033356</v>
      </c>
      <c r="CX67" s="59">
        <f t="shared" si="14"/>
        <v>850.78466593366693</v>
      </c>
      <c r="CY67" s="59">
        <f ca="1">AVERAGE(OFFSET($CX$3,0,0,'Données projet'!$E$13+1,1))-AVERAGE(OFFSET($H$3,0,0,'Données projet'!$E$13+1,1))</f>
        <v>676.29219382388692</v>
      </c>
      <c r="CZ67" s="59">
        <f t="shared" si="42"/>
        <v>298.25577221580448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33.014456580278697</v>
      </c>
      <c r="DH67" s="21">
        <f>EXP(-LN(2)/2)*DH66+(1-EXP(-LN(2)/2))/(LN(2)/2)*DB67*DE67*VLOOKUP('Données projet'!$B$13,Paramètres!$A$1:$I$89,3,0)*0.475*44/12</f>
        <v>1.1477992023763814</v>
      </c>
      <c r="DI67" s="22">
        <f t="shared" si="15"/>
        <v>34.16225578265508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5.5555555555555554</v>
      </c>
      <c r="EJ67" s="12">
        <f>IF('Données projet'!$A$192&gt;35,EJ66+EI67-ER66,IF(A67&lt;'Données projet'!$A$192,$EG$205^A67,IF(A67='Données projet'!$A$192,'Données projet'!$B$192,EJ66+EI67-ER66)))</f>
        <v>182.47863247863242</v>
      </c>
      <c r="EK67" s="17">
        <f>EJ67*VLOOKUP('Données projet'!$B$15,Paramètres!$A$1:$I$89,3,0)*VLOOKUP('Données projet'!$B$15,Paramètres!$A$1:$I$89,5,0)</f>
        <v>142.33333333333329</v>
      </c>
      <c r="EL67" s="13">
        <f t="shared" si="45"/>
        <v>36.831024085819266</v>
      </c>
      <c r="EM67" s="20">
        <f t="shared" si="19"/>
        <v>312.04458917169069</v>
      </c>
      <c r="EN67" s="59">
        <f t="shared" si="20"/>
        <v>605.377922505024</v>
      </c>
      <c r="EO67" s="59">
        <f ca="1">AVERAGE(OFFSET($EN$3,0,0,'Données projet'!$E$15+1,1))-AVERAGE(OFFSET($H$3,0,0,'Données projet'!$E$15+1,1))</f>
        <v>197.51452239559433</v>
      </c>
      <c r="EP67" s="59">
        <f t="shared" si="46"/>
        <v>196.65166921588821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8.9141422545399767</v>
      </c>
      <c r="EW67" s="21">
        <f>EXP(-LN(2)/25)*EW66+(1-EXP(-LN(2)/25))/(LN(2)/25)*Calculateur!ER67*Calculateur!ET67*VLOOKUP('Données projet'!$B$15,Paramètres!$A$1:$I$89,3,0)*0.475*44/12</f>
        <v>8.8739609450787498</v>
      </c>
      <c r="EX67" s="21">
        <f>EXP(-LN(2)/2)*EX66+(1-EXP(-LN(2)/2))/(LN(2)/2)*ER67*EU67*VLOOKUP('Données projet'!$B$15,Paramètres!$A$1:$I$89,3,0)*0.475*44/12</f>
        <v>1.4796307126562978</v>
      </c>
      <c r="EY67" s="22">
        <f t="shared" si="21"/>
        <v>19.267733912275023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834.95612724241983</v>
      </c>
      <c r="S68" s="59">
        <f ca="1">AVERAGE(OFFSET($R$3,0,0,'Données projet'!$E$9+1,1))-AVERAGE(OFFSET($H$3,0,0,'Données projet'!$E$9+1,1))</f>
        <v>635.71275911100679</v>
      </c>
      <c r="T68" s="59">
        <f t="shared" si="34"/>
        <v>281.7776857269169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10.107499999999998</v>
      </c>
      <c r="AI68" s="13">
        <f>IF('Données projet'!$A$62&gt;35,AI67+AH68-AQ67,IF(A68&lt;'Données projet'!$A$62,$AF$205^A68,IF(A68='Données projet'!$A$62,'Données projet'!$B$62,AI67+AH68-AQ67)))</f>
        <v>276.66250000000031</v>
      </c>
      <c r="AJ68" s="13">
        <f>AI68*VLOOKUP('Données projet'!$B$10,Paramètres!$A$1:$I$89,3,0)*VLOOKUP('Données projet'!$B$10,Paramètres!$A$1:$I$89,5,0)</f>
        <v>280.53577500000034</v>
      </c>
      <c r="AK68" s="13">
        <f t="shared" si="35"/>
        <v>67.080220940060286</v>
      </c>
      <c r="AL68" s="20">
        <f t="shared" ref="AL68:AL131" si="58">(AJ68+AK68)*0.475*44/12</f>
        <v>605.43119292893903</v>
      </c>
      <c r="AM68" s="59">
        <f t="shared" ref="AM68:AM131" si="59">AL68+(AD68+AE68)*44/12</f>
        <v>898.76452626227228</v>
      </c>
      <c r="AN68" s="59">
        <f ca="1">AVERAGE(OFFSET($AM$3,0,0,'Données projet'!$E$10+1,1))-AVERAGE(OFFSET($H$3,0,0,'Données projet'!$E$10+1,1))</f>
        <v>706.69239849991595</v>
      </c>
      <c r="AO68" s="59">
        <f t="shared" si="36"/>
        <v>310.59887275116529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33.665465231949199</v>
      </c>
      <c r="AW68" s="21">
        <f>EXP(-LN(2)/2)*AW67+(1-EXP(-LN(2)/2))/(LN(2)/2)*AQ68*AT68*VLOOKUP('Données projet'!$B$10,Paramètres!$A$1:$I$89,3,0)*0.475*44/12</f>
        <v>0.85088837038153586</v>
      </c>
      <c r="AX68" s="21">
        <f t="shared" ref="AX68:AX131" si="60">SUM(AU68:AW68)</f>
        <v>34.516353602330732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263.2720350000003</v>
      </c>
      <c r="BF68" s="13">
        <f t="shared" si="37"/>
        <v>63.419335122362007</v>
      </c>
      <c r="BG68" s="20">
        <f t="shared" ref="BG68:BG131" si="61">(BE68+BF68)*0.475*44/12</f>
        <v>568.987469629781</v>
      </c>
      <c r="BH68" s="59">
        <f t="shared" ref="BH68:BH131" si="62">BG68+(AY68+AZ68)*44/12</f>
        <v>862.32080296311437</v>
      </c>
      <c r="BI68" s="59">
        <f ca="1">AVERAGE(OFFSET($BH$3,0,0,'Données projet'!$E$11+1,1))-AVERAGE(OFFSET($H$3,0,0,'Données projet'!$E$11+1,1))</f>
        <v>666.1523645983184</v>
      </c>
      <c r="BJ68" s="59">
        <f t="shared" si="38"/>
        <v>294.13851344047526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31.59374429459848</v>
      </c>
      <c r="BR68" s="21">
        <f>EXP(-LN(2)/2)*BR67+(1-EXP(-LN(2)/2))/(LN(2)/2)*BL68*BO68*VLOOKUP('Données projet'!$B$11,Paramètres!$A$1:$I$89,3,0)*0.475*44/12</f>
        <v>0.79852600912728755</v>
      </c>
      <c r="BS68" s="22">
        <f t="shared" ref="BS68:BS131" si="63">SUM(BP68:BR68)</f>
        <v>32.392270303725766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10.107499999999998</v>
      </c>
      <c r="BY68" s="12">
        <f>IF('Données projet'!$A$114&gt;35,BY67+BX68-CG67,IF(A68&lt;'Données projet'!$A$114,$BV$205^A68,IF(A68='Données projet'!$A$114,'Données projet'!$B$114,BY67+BX68-CG67)))</f>
        <v>276.66250000000031</v>
      </c>
      <c r="BZ68" s="13">
        <f>BY68*VLOOKUP('Données projet'!$B$12,Paramètres!$A$1:$I$89,3,0)*VLOOKUP('Données projet'!$B$12,Paramètres!$A$1:$I$89,5,0)</f>
        <v>297.79951500000033</v>
      </c>
      <c r="CA68" s="13">
        <f t="shared" si="39"/>
        <v>70.714959829617527</v>
      </c>
      <c r="CB68" s="20">
        <f t="shared" ref="CB68:CB131" si="64">(BZ68+CA68)*0.475*44/12</f>
        <v>641.82937699491765</v>
      </c>
      <c r="CC68" s="59">
        <f t="shared" ref="CC68:CC131" si="65">CB68+(BT68+BU68)*44/12</f>
        <v>935.16271032825102</v>
      </c>
      <c r="CD68" s="59">
        <f ca="1">AVERAGE(OFFSET($CC$3,0,0,'Données projet'!$E$12+1,1))-AVERAGE(OFFSET($H$3,0,0,'Données projet'!$E$12+1,1))</f>
        <v>747.18304127457918</v>
      </c>
      <c r="CE68" s="59">
        <f t="shared" si="40"/>
        <v>327.03701004966723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35.73718616929991</v>
      </c>
      <c r="CM68" s="21">
        <f>EXP(-LN(2)/2)*CM67+(1-EXP(-LN(2)/2))/(LN(2)/2)*CG68*CJ68*VLOOKUP('Données projet'!$B$12,Paramètres!$A$1:$I$89,3,0)*0.475*44/12</f>
        <v>0.90325073163578451</v>
      </c>
      <c r="CN68" s="22">
        <f t="shared" ref="CN68:CN131" si="66">SUM(CK68:CM68)</f>
        <v>36.640436900935697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10.107499999999998</v>
      </c>
      <c r="CT68" s="12">
        <f>IF('Données projet'!$A$140&gt;35,CT67+CS68-DB67,IF(A68&lt;'Données projet'!$A$140,$CQ$205^A68,IF(A68='Données projet'!$A$140,'Données projet'!$B$140,CT67+CS68-DB67)))</f>
        <v>276.66250000000031</v>
      </c>
      <c r="CU68" s="17">
        <f>CT68*VLOOKUP('Données projet'!$B$13,Paramètres!$A$1:$I$89,3,0)*VLOOKUP('Données projet'!$B$13,Paramètres!$A$1:$I$89,5,0)</f>
        <v>267.58797000000027</v>
      </c>
      <c r="CV68" s="13">
        <f t="shared" si="41"/>
        <v>64.337108610240719</v>
      </c>
      <c r="CW68" s="20">
        <f t="shared" ref="CW68:CW131" si="67">(CU68+CV68)*0.475*44/12</f>
        <v>578.10284524616964</v>
      </c>
      <c r="CX68" s="59">
        <f t="shared" ref="CX68:CX131" si="68">CW68+(CO68+CP68)*44/12</f>
        <v>871.43617857950289</v>
      </c>
      <c r="CY68" s="59">
        <f ca="1">AVERAGE(OFFSET($CX$3,0,0,'Données projet'!$E$13+1,1))-AVERAGE(OFFSET($H$3,0,0,'Données projet'!$E$13+1,1))</f>
        <v>676.29219382388692</v>
      </c>
      <c r="CZ68" s="59">
        <f t="shared" si="42"/>
        <v>298.25577221580448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32.111674528936163</v>
      </c>
      <c r="DH68" s="21">
        <f>EXP(-LN(2)/2)*DH67+(1-EXP(-LN(2)/2))/(LN(2)/2)*DB68*DE68*VLOOKUP('Données projet'!$B$13,Paramètres!$A$1:$I$89,3,0)*0.475*44/12</f>
        <v>0.81161659944084974</v>
      </c>
      <c r="DI68" s="22">
        <f t="shared" ref="DI68:DI131" si="69">SUM(DF68:DH68)</f>
        <v>32.923291128377016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5.5555555555555554</v>
      </c>
      <c r="EJ68" s="12">
        <f>IF('Données projet'!$A$192&gt;35,EJ67+EI68-ER67,IF(A68&lt;'Données projet'!$A$192,$EG$205^A68,IF(A68='Données projet'!$A$192,'Données projet'!$B$192,EJ67+EI68-ER67)))</f>
        <v>188.03418803418796</v>
      </c>
      <c r="EK68" s="17">
        <f>EJ68*VLOOKUP('Données projet'!$B$15,Paramètres!$A$1:$I$89,3,0)*VLOOKUP('Données projet'!$B$15,Paramètres!$A$1:$I$89,5,0)</f>
        <v>146.66666666666663</v>
      </c>
      <c r="EL68" s="13">
        <f t="shared" si="45"/>
        <v>37.82008574568669</v>
      </c>
      <c r="EM68" s="20">
        <f t="shared" ref="EM68:EM131" si="73">(EK68+EL68)*0.475*44/12</f>
        <v>321.31442711818204</v>
      </c>
      <c r="EN68" s="59">
        <f t="shared" ref="EN68:EN131" si="74">EM68+(EE68+EF68)*44/12</f>
        <v>614.6477604515153</v>
      </c>
      <c r="EO68" s="59">
        <f ca="1">AVERAGE(OFFSET($EN$3,0,0,'Données projet'!$E$15+1,1))-AVERAGE(OFFSET($H$3,0,0,'Données projet'!$E$15+1,1))</f>
        <v>197.51452239559433</v>
      </c>
      <c r="EP68" s="59">
        <f t="shared" si="46"/>
        <v>196.65166921588821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8.7393413620183544</v>
      </c>
      <c r="EW68" s="21">
        <f>EXP(-LN(2)/25)*EW67+(1-EXP(-LN(2)/25))/(LN(2)/25)*Calculateur!ER68*Calculateur!ET68*VLOOKUP('Données projet'!$B$15,Paramètres!$A$1:$I$89,3,0)*0.475*44/12</f>
        <v>8.6313020163742475</v>
      </c>
      <c r="EX68" s="21">
        <f>EXP(-LN(2)/2)*EX67+(1-EXP(-LN(2)/2))/(LN(2)/2)*ER68*EU68*VLOOKUP('Données projet'!$B$15,Paramètres!$A$1:$I$89,3,0)*0.475*44/12</f>
        <v>1.0462569105711521</v>
      </c>
      <c r="EY68" s="22">
        <f t="shared" ref="EY68:EY131" si="75">SUM(EV68:EX68)</f>
        <v>18.416900288963753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854.28720589215686</v>
      </c>
      <c r="S69" s="59">
        <f ca="1">AVERAGE(OFFSET($R$3,0,0,'Données projet'!$E$9+1,1))-AVERAGE(OFFSET($H$3,0,0,'Données projet'!$E$9+1,1))</f>
        <v>635.71275911100679</v>
      </c>
      <c r="T69" s="59">
        <f t="shared" ref="T69:T132" si="88">$T$3</f>
        <v>281.7776857269169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10.107499999999998</v>
      </c>
      <c r="AH69" s="12">
        <f t="array" ref="AH69">INDEX(AG:AG,MIN(IF(ISNUMBER(AG69:AG265),ROW(AG69:AG265),"")))</f>
        <v>10.107499999999998</v>
      </c>
      <c r="AI69" s="13">
        <f>IF('Données projet'!$A$62&gt;35,AI68+AH69-AQ68,IF(A69&lt;'Données projet'!$A$62,$AF$205^A69,IF(A69='Données projet'!$A$62,'Données projet'!$B$62,AI68+AH69-AQ68)))</f>
        <v>286.77000000000032</v>
      </c>
      <c r="AJ69" s="13">
        <f>AI69*VLOOKUP('Données projet'!$B$10,Paramètres!$A$1:$I$89,3,0)*VLOOKUP('Données projet'!$B$10,Paramètres!$A$1:$I$89,5,0)</f>
        <v>290.78478000000035</v>
      </c>
      <c r="AK69" s="13">
        <f t="shared" ref="AK69:AK132" si="89">EXP(-1.0587+0.8836*LN(AJ69)+0.284)</f>
        <v>69.241105574743742</v>
      </c>
      <c r="AL69" s="20">
        <f t="shared" si="58"/>
        <v>627.04508404267926</v>
      </c>
      <c r="AM69" s="59">
        <f t="shared" si="59"/>
        <v>920.37841737601252</v>
      </c>
      <c r="AN69" s="59">
        <f ca="1">AVERAGE(OFFSET($AM$3,0,0,'Données projet'!$E$10+1,1))-AVERAGE(OFFSET($H$3,0,0,'Données projet'!$E$10+1,1))</f>
        <v>706.69239849991595</v>
      </c>
      <c r="AO69" s="59">
        <f t="shared" ref="AO69:AO132" si="90">$AO$3</f>
        <v>310.59887275116529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53.679999999999978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9.0559511774797787</v>
      </c>
      <c r="AV69" s="21">
        <f>EXP(-LN(2)/25)*AV68+(1-EXP(-LN(2)/25))/(LN(2)/25)*Calculateur!AQ69*Calculateur!AS69*VLOOKUP('Données projet'!$B$10,Paramètres!$A$1:$I$89,3,0)*0.475*44/12</f>
        <v>37.899335284566604</v>
      </c>
      <c r="AW69" s="21">
        <f>EXP(-LN(2)/2)*AW68+(1-EXP(-LN(2)/2))/(LN(2)/2)*AQ69*AT69*VLOOKUP('Données projet'!$B$10,Paramètres!$A$1:$I$89,3,0)*0.475*44/12</f>
        <v>5.7374293490177015</v>
      </c>
      <c r="AX69" s="21">
        <f t="shared" si="60"/>
        <v>52.692715811064083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272.89033200000034</v>
      </c>
      <c r="BF69" s="13">
        <f t="shared" ref="BF69:BF132" si="91">EXP(-1.0587+0.8836*LN(BE69)+0.284)</f>
        <v>65.462290033470751</v>
      </c>
      <c r="BG69" s="20">
        <f t="shared" si="61"/>
        <v>589.2974833749621</v>
      </c>
      <c r="BH69" s="59">
        <f t="shared" si="62"/>
        <v>882.63081670829547</v>
      </c>
      <c r="BI69" s="59">
        <f ca="1">AVERAGE(OFFSET($BH$3,0,0,'Données projet'!$E$11+1,1))-AVERAGE(OFFSET($H$3,0,0,'Données projet'!$E$11+1,1))</f>
        <v>666.1523645983184</v>
      </c>
      <c r="BJ69" s="59">
        <f t="shared" ref="BJ69:BJ132" si="92">$BJ$3</f>
        <v>294.13851344047526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8.4986618742502529</v>
      </c>
      <c r="BQ69" s="21">
        <f>EXP(-LN(2)/25)*BQ68+(1-EXP(-LN(2)/25))/(LN(2)/25)*Calculateur!BL69*Calculateur!BN69*VLOOKUP('Données projet'!$B$11,Paramètres!$A$1:$I$89,3,0)*0.475*44/12</f>
        <v>35.567068497824039</v>
      </c>
      <c r="BR69" s="21">
        <f>EXP(-LN(2)/2)*BR68+(1-EXP(-LN(2)/2))/(LN(2)/2)*BL69*BO69*VLOOKUP('Données projet'!$B$11,Paramètres!$A$1:$I$89,3,0)*0.475*44/12</f>
        <v>5.3843567736935345</v>
      </c>
      <c r="BS69" s="22">
        <f t="shared" si="63"/>
        <v>49.450087145767824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10.107499999999998</v>
      </c>
      <c r="BX69" s="12">
        <f t="array" ref="BX69">INDEX(BW:BW,MIN(IF(ISNUMBER(BW69:BW265),ROW(BW69:BW265),"")))</f>
        <v>10.107499999999998</v>
      </c>
      <c r="BY69" s="12">
        <f>IF('Données projet'!$A$114&gt;35,BY68+BX69-CG68,IF(A69&lt;'Données projet'!$A$114,$BV$205^A69,IF(A69='Données projet'!$A$114,'Données projet'!$B$114,BY68+BX69-CG68)))</f>
        <v>286.77000000000032</v>
      </c>
      <c r="BZ69" s="13">
        <f>BY69*VLOOKUP('Données projet'!$B$12,Paramètres!$A$1:$I$89,3,0)*VLOOKUP('Données projet'!$B$12,Paramètres!$A$1:$I$89,5,0)</f>
        <v>308.67922800000036</v>
      </c>
      <c r="CA69" s="13">
        <f t="shared" ref="CA69:CA132" si="93">EXP(-1.0587+0.8836*LN(BZ69)+0.284)</f>
        <v>72.992931905389653</v>
      </c>
      <c r="CB69" s="20">
        <f t="shared" si="64"/>
        <v>664.7456785018876</v>
      </c>
      <c r="CC69" s="59">
        <f t="shared" si="65"/>
        <v>958.07901183522085</v>
      </c>
      <c r="CD69" s="59">
        <f ca="1">AVERAGE(OFFSET($CC$3,0,0,'Données projet'!$E$12+1,1))-AVERAGE(OFFSET($H$3,0,0,'Données projet'!$E$12+1,1))</f>
        <v>747.18304127457918</v>
      </c>
      <c r="CE69" s="59">
        <f t="shared" ref="CE69:CE132" si="94">$CE$3</f>
        <v>327.03701004966723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53.679999999999978</v>
      </c>
      <c r="CH69" s="16">
        <f>IF(ISNA(VLOOKUP(A69,'Données projet'!$A$113:$I$133,5,0)),0%,VLOOKUP(A69,'Données projet'!$A$113:$I$133,5,0)*VLOOKUP('Données projet'!$B$12,Paramètres!$A$1:$I$89,7,0))</f>
        <v>0.15049999999999999</v>
      </c>
      <c r="CI69" s="16">
        <f>IF(ISNA(VLOOKUP(A69,'Données projet'!$A$113:$I$133,6,0)),0%,VLOOKUP(A69,'Données projet'!$A$113:$I$133,6,0)*VLOOKUP('Données projet'!$B$12,Paramètres!$A$1:$I$89,7,0))</f>
        <v>8.6000000000000007E-2</v>
      </c>
      <c r="CJ69" s="16">
        <f>IF(ISNA(VLOOKUP(A69,'Données projet'!$A$113:$I$133,7,0)),0%,VLOOKUP(A69,'Données projet'!$A$113:$I$133,7,0))</f>
        <v>0.1</v>
      </c>
      <c r="CK69" s="21">
        <f>EXP(-LN(2)/35)*CK68+(1-EXP(-LN(2)/35))/(LN(2)/35)*CG69*CH69*VLOOKUP('Données projet'!$B$12,Paramètres!$A$1:$I$89,3,0)*0.475*44/12</f>
        <v>9.6132404807093046</v>
      </c>
      <c r="CL69" s="21">
        <f>EXP(-LN(2)/25)*CL68+(1-EXP(-LN(2)/25))/(LN(2)/25)*Calculateur!CG69*Calculateur!CI69*VLOOKUP('Données projet'!$B$12,Paramètres!$A$1:$I$89,3,0)*0.475*44/12</f>
        <v>40.231602071309155</v>
      </c>
      <c r="CM69" s="21">
        <f>EXP(-LN(2)/2)*CM68+(1-EXP(-LN(2)/2))/(LN(2)/2)*CG69*CJ69*VLOOKUP('Données projet'!$B$12,Paramètres!$A$1:$I$89,3,0)*0.475*44/12</f>
        <v>6.0905019243418677</v>
      </c>
      <c r="CN69" s="22">
        <f t="shared" si="66"/>
        <v>55.935344476360328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10.107499999999998</v>
      </c>
      <c r="CS69" s="12">
        <f t="array" ref="CS69">INDEX(CR:CR,MIN(IF(ISNUMBER(CR69:CR265),ROW(CR69:CR265),"")))</f>
        <v>10.107499999999998</v>
      </c>
      <c r="CT69" s="12">
        <f>IF('Données projet'!$A$140&gt;35,CT68+CS69-DB68,IF(A69&lt;'Données projet'!$A$140,$CQ$205^A69,IF(A69='Données projet'!$A$140,'Données projet'!$B$140,CT68+CS69-DB68)))</f>
        <v>286.77000000000032</v>
      </c>
      <c r="CU69" s="17">
        <f>CT69*VLOOKUP('Données projet'!$B$13,Paramètres!$A$1:$I$89,3,0)*VLOOKUP('Données projet'!$B$13,Paramètres!$A$1:$I$89,5,0)</f>
        <v>277.36394400000034</v>
      </c>
      <c r="CV69" s="13">
        <f t="shared" ref="CV69:CV132" si="95">EXP(-1.0587+0.8836*LN(CU69)+0.284)</f>
        <v>66.409628162018265</v>
      </c>
      <c r="CW69" s="20">
        <f t="shared" si="67"/>
        <v>598.73897151551569</v>
      </c>
      <c r="CX69" s="59">
        <f t="shared" si="68"/>
        <v>892.07230484884894</v>
      </c>
      <c r="CY69" s="59">
        <f ca="1">AVERAGE(OFFSET($CX$3,0,0,'Données projet'!$E$13+1,1))-AVERAGE(OFFSET($H$3,0,0,'Données projet'!$E$13+1,1))</f>
        <v>676.29219382388692</v>
      </c>
      <c r="CZ69" s="59">
        <f t="shared" ref="CZ69:CZ132" si="96">$CZ$3</f>
        <v>298.25577221580448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53.679999999999978</v>
      </c>
      <c r="DC69" s="16">
        <f>IF(ISNA(VLOOKUP(A69,'Données projet'!$A$139:$I$159,5,0)),0%,VLOOKUP(A69,'Données projet'!$A$139:$I$159,5,0)*VLOOKUP('Données projet'!$B$13,Paramètres!$A$1:$I$89,7,0))</f>
        <v>0.15049999999999999</v>
      </c>
      <c r="DD69" s="16">
        <f>IF(ISNA(VLOOKUP(A69,'Données projet'!$A$139:$I$159,6,0)),0%,VLOOKUP(A69,'Données projet'!$A$139:$I$159,6,0)*VLOOKUP('Données projet'!$B$13,Paramètres!$A$1:$I$89,7,0))</f>
        <v>8.6000000000000007E-2</v>
      </c>
      <c r="DE69" s="16">
        <f>IF(ISNA(VLOOKUP(A69,'Données projet'!$A$139:$I$159,7,0)),0%,VLOOKUP(A69,'Données projet'!$A$139:$I$159,7,0))</f>
        <v>0.1</v>
      </c>
      <c r="DF69" s="21">
        <f>EXP(-LN(2)/35)*DF68+(1-EXP(-LN(2)/35))/(LN(2)/35)*DB69*DC69*VLOOKUP('Données projet'!$B$13,Paramètres!$A$1:$I$89,3,0)*0.475*44/12</f>
        <v>8.6379842000576357</v>
      </c>
      <c r="DG69" s="21">
        <f>EXP(-LN(2)/25)*DG68+(1-EXP(-LN(2)/25))/(LN(2)/25)*Calculateur!DB69*Calculateur!DD69*VLOOKUP('Données projet'!$B$13,Paramètres!$A$1:$I$89,3,0)*0.475*44/12</f>
        <v>36.150135194509687</v>
      </c>
      <c r="DH69" s="21">
        <f>EXP(-LN(2)/2)*DH68+(1-EXP(-LN(2)/2))/(LN(2)/2)*DB69*DE69*VLOOKUP('Données projet'!$B$13,Paramètres!$A$1:$I$89,3,0)*0.475*44/12</f>
        <v>5.472624917524576</v>
      </c>
      <c r="DI69" s="22">
        <f t="shared" si="69"/>
        <v>50.260744312091902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5.5555555555555554</v>
      </c>
      <c r="EJ69" s="12">
        <f>IF('Données projet'!$A$192&gt;35,EJ68+EI69-ER68,IF(A69&lt;'Données projet'!$A$192,$EG$205^A69,IF(A69='Données projet'!$A$192,'Données projet'!$B$192,EJ68+EI69-ER68)))</f>
        <v>193.58974358974351</v>
      </c>
      <c r="EK69" s="17">
        <f>EJ69*VLOOKUP('Données projet'!$B$15,Paramètres!$A$1:$I$89,3,0)*VLOOKUP('Données projet'!$B$15,Paramètres!$A$1:$I$89,5,0)</f>
        <v>150.99999999999994</v>
      </c>
      <c r="EL69" s="13">
        <f t="shared" ref="EL69:EL132" si="99">EXP(-1.0587+0.8836*LN(EK69)+0.284)</f>
        <v>38.805751252807752</v>
      </c>
      <c r="EM69" s="20">
        <f t="shared" si="73"/>
        <v>330.57835009864004</v>
      </c>
      <c r="EN69" s="59">
        <f t="shared" si="74"/>
        <v>623.91168343197342</v>
      </c>
      <c r="EO69" s="59">
        <f ca="1">AVERAGE(OFFSET($EN$3,0,0,'Données projet'!$E$15+1,1))-AVERAGE(OFFSET($H$3,0,0,'Données projet'!$E$15+1,1))</f>
        <v>197.51452239559433</v>
      </c>
      <c r="EP69" s="59">
        <f t="shared" ref="EP69:EP132" si="100">$EP$3</f>
        <v>196.65166921588821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8.5679682083810658</v>
      </c>
      <c r="EW69" s="21">
        <f>EXP(-LN(2)/25)*EW68+(1-EXP(-LN(2)/25))/(LN(2)/25)*Calculateur!ER69*Calculateur!ET69*VLOOKUP('Données projet'!$B$15,Paramètres!$A$1:$I$89,3,0)*0.475*44/12</f>
        <v>8.3952786088360476</v>
      </c>
      <c r="EX69" s="21">
        <f>EXP(-LN(2)/2)*EX68+(1-EXP(-LN(2)/2))/(LN(2)/2)*ER69*EU69*VLOOKUP('Données projet'!$B$15,Paramètres!$A$1:$I$89,3,0)*0.475*44/12</f>
        <v>0.73981535632814888</v>
      </c>
      <c r="EY69" s="22">
        <f t="shared" si="75"/>
        <v>17.703062173545259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770.12871216142673</v>
      </c>
      <c r="S70" s="59">
        <f ca="1">AVERAGE(OFFSET($R$3,0,0,'Données projet'!$E$9+1,1))-AVERAGE(OFFSET($H$3,0,0,'Données projet'!$E$9+1,1))</f>
        <v>635.71275911100679</v>
      </c>
      <c r="T70" s="59">
        <f t="shared" si="88"/>
        <v>281.7776857269169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9.733749999999997</v>
      </c>
      <c r="AI70" s="13">
        <f>IF('Données projet'!$A$62&gt;35,AI69+AH70-AQ69,IF(A70&lt;'Données projet'!$A$62,$AF$205^A70,IF(A70='Données projet'!$A$62,'Données projet'!$B$62,AI69+AH70-AQ69)))</f>
        <v>242.82375000000033</v>
      </c>
      <c r="AJ70" s="13">
        <f>AI70*VLOOKUP('Données projet'!$B$10,Paramètres!$A$1:$I$89,3,0)*VLOOKUP('Données projet'!$B$10,Paramètres!$A$1:$I$89,5,0)</f>
        <v>246.22328250000032</v>
      </c>
      <c r="AK70" s="13">
        <f t="shared" si="89"/>
        <v>59.776498563165894</v>
      </c>
      <c r="AL70" s="20">
        <f t="shared" si="58"/>
        <v>532.94961868501457</v>
      </c>
      <c r="AM70" s="59">
        <f t="shared" si="59"/>
        <v>826.28295201834794</v>
      </c>
      <c r="AN70" s="59">
        <f ca="1">AVERAGE(OFFSET($AM$3,0,0,'Données projet'!$E$10+1,1))-AVERAGE(OFFSET($H$3,0,0,'Données projet'!$E$10+1,1))</f>
        <v>706.69239849991595</v>
      </c>
      <c r="AO70" s="59">
        <f t="shared" si="90"/>
        <v>310.59887275116529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8.8783694984742105</v>
      </c>
      <c r="AV70" s="21">
        <f>EXP(-LN(2)/25)*AV69+(1-EXP(-LN(2)/25))/(LN(2)/25)*Calculateur!AQ70*Calculateur!AS70*VLOOKUP('Données projet'!$B$10,Paramètres!$A$1:$I$89,3,0)*0.475*44/12</f>
        <v>36.862975968170709</v>
      </c>
      <c r="AW70" s="21">
        <f>EXP(-LN(2)/2)*AW69+(1-EXP(-LN(2)/2))/(LN(2)/2)*AQ70*AT70*VLOOKUP('Données projet'!$B$10,Paramètres!$A$1:$I$89,3,0)*0.475*44/12</f>
        <v>4.0569751992691359</v>
      </c>
      <c r="AX70" s="21">
        <f t="shared" si="60"/>
        <v>49.798320665914048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231.07108050000033</v>
      </c>
      <c r="BF70" s="13">
        <f t="shared" si="91"/>
        <v>56.514211517076802</v>
      </c>
      <c r="BG70" s="20">
        <f t="shared" si="61"/>
        <v>500.87771692974269</v>
      </c>
      <c r="BH70" s="59">
        <f t="shared" si="62"/>
        <v>794.211050263076</v>
      </c>
      <c r="BI70" s="59">
        <f ca="1">AVERAGE(OFFSET($BH$3,0,0,'Données projet'!$E$11+1,1))-AVERAGE(OFFSET($H$3,0,0,'Données projet'!$E$11+1,1))</f>
        <v>666.1523645983184</v>
      </c>
      <c r="BJ70" s="59">
        <f t="shared" si="92"/>
        <v>294.13851344047526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8.3320082985681037</v>
      </c>
      <c r="BQ70" s="21">
        <f>EXP(-LN(2)/25)*BQ69+(1-EXP(-LN(2)/25))/(LN(2)/25)*Calculateur!BL70*Calculateur!BN70*VLOOKUP('Données projet'!$B$11,Paramètres!$A$1:$I$89,3,0)*0.475*44/12</f>
        <v>34.594485139360195</v>
      </c>
      <c r="BR70" s="21">
        <f>EXP(-LN(2)/2)*BR69+(1-EXP(-LN(2)/2))/(LN(2)/2)*BL70*BO70*VLOOKUP('Données projet'!$B$11,Paramètres!$A$1:$I$89,3,0)*0.475*44/12</f>
        <v>3.8073151870064192</v>
      </c>
      <c r="BS70" s="22">
        <f t="shared" si="63"/>
        <v>46.733808624934717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9.733749999999997</v>
      </c>
      <c r="BY70" s="12">
        <f>IF('Données projet'!$A$114&gt;35,BY69+BX70-CG69,IF(A70&lt;'Données projet'!$A$114,$BV$205^A70,IF(A70='Données projet'!$A$114,'Données projet'!$B$114,BY69+BX70-CG69)))</f>
        <v>242.82375000000033</v>
      </c>
      <c r="BZ70" s="13">
        <f>BY70*VLOOKUP('Données projet'!$B$12,Paramètres!$A$1:$I$89,3,0)*VLOOKUP('Données projet'!$B$12,Paramètres!$A$1:$I$89,5,0)</f>
        <v>261.37548450000037</v>
      </c>
      <c r="CA70" s="13">
        <f t="shared" si="93"/>
        <v>63.015485569533226</v>
      </c>
      <c r="CB70" s="20">
        <f t="shared" si="64"/>
        <v>564.98093953777095</v>
      </c>
      <c r="CC70" s="59">
        <f t="shared" si="65"/>
        <v>858.31427287110432</v>
      </c>
      <c r="CD70" s="59">
        <f ca="1">AVERAGE(OFFSET($CC$3,0,0,'Données projet'!$E$12+1,1))-AVERAGE(OFFSET($H$3,0,0,'Données projet'!$E$12+1,1))</f>
        <v>747.18304127457918</v>
      </c>
      <c r="CE70" s="59">
        <f t="shared" si="94"/>
        <v>327.03701004966723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9.4247306983803156</v>
      </c>
      <c r="CL70" s="21">
        <f>EXP(-LN(2)/25)*CL69+(1-EXP(-LN(2)/25))/(LN(2)/25)*Calculateur!CG70*Calculateur!CI70*VLOOKUP('Données projet'!$B$12,Paramètres!$A$1:$I$89,3,0)*0.475*44/12</f>
        <v>39.131466796981201</v>
      </c>
      <c r="CM70" s="21">
        <f>EXP(-LN(2)/2)*CM69+(1-EXP(-LN(2)/2))/(LN(2)/2)*CG70*CJ70*VLOOKUP('Données projet'!$B$12,Paramètres!$A$1:$I$89,3,0)*0.475*44/12</f>
        <v>4.3066352115318516</v>
      </c>
      <c r="CN70" s="22">
        <f t="shared" si="66"/>
        <v>52.862832706893371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9.733749999999997</v>
      </c>
      <c r="CT70" s="12">
        <f>IF('Données projet'!$A$140&gt;35,CT69+CS70-DB69,IF(A70&lt;'Données projet'!$A$140,$CQ$205^A70,IF(A70='Données projet'!$A$140,'Données projet'!$B$140,CT69+CS70-DB69)))</f>
        <v>242.82375000000033</v>
      </c>
      <c r="CU70" s="17">
        <f>CT70*VLOOKUP('Données projet'!$B$13,Paramètres!$A$1:$I$89,3,0)*VLOOKUP('Données projet'!$B$13,Paramètres!$A$1:$I$89,5,0)</f>
        <v>234.85913100000033</v>
      </c>
      <c r="CV70" s="13">
        <f t="shared" si="95"/>
        <v>57.332057445588504</v>
      </c>
      <c r="CW70" s="20">
        <f t="shared" si="67"/>
        <v>508.89965320940058</v>
      </c>
      <c r="CX70" s="59">
        <f t="shared" si="68"/>
        <v>802.2329865427339</v>
      </c>
      <c r="CY70" s="59">
        <f ca="1">AVERAGE(OFFSET($CX$3,0,0,'Données projet'!$E$13+1,1))-AVERAGE(OFFSET($H$3,0,0,'Données projet'!$E$13+1,1))</f>
        <v>676.29219382388692</v>
      </c>
      <c r="CZ70" s="59">
        <f t="shared" si="96"/>
        <v>298.25577221580448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8.4685985985446308</v>
      </c>
      <c r="DG70" s="21">
        <f>EXP(-LN(2)/25)*DG69+(1-EXP(-LN(2)/25))/(LN(2)/25)*Calculateur!DB70*Calculateur!DD70*VLOOKUP('Données projet'!$B$13,Paramètres!$A$1:$I$89,3,0)*0.475*44/12</f>
        <v>35.161607846562831</v>
      </c>
      <c r="DH70" s="21">
        <f>EXP(-LN(2)/2)*DH69+(1-EXP(-LN(2)/2))/(LN(2)/2)*DB70*DE70*VLOOKUP('Données projet'!$B$13,Paramètres!$A$1:$I$89,3,0)*0.475*44/12</f>
        <v>3.8697301900720982</v>
      </c>
      <c r="DI70" s="22">
        <f t="shared" si="69"/>
        <v>47.499936635179559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5.5555555555555554</v>
      </c>
      <c r="EJ70" s="12">
        <f>IF('Données projet'!$A$192&gt;35,EJ69+EI70-ER69,IF(A70&lt;'Données projet'!$A$192,$EG$205^A70,IF(A70='Données projet'!$A$192,'Données projet'!$B$192,EJ69+EI70-ER69)))</f>
        <v>199.14529914529905</v>
      </c>
      <c r="EK70" s="17">
        <f>EJ70*VLOOKUP('Données projet'!$B$15,Paramètres!$A$1:$I$89,3,0)*VLOOKUP('Données projet'!$B$15,Paramètres!$A$1:$I$89,5,0)</f>
        <v>155.33333333333326</v>
      </c>
      <c r="EL70" s="13">
        <f t="shared" si="99"/>
        <v>39.788129261718112</v>
      </c>
      <c r="EM70" s="20">
        <f t="shared" si="73"/>
        <v>339.83654735304776</v>
      </c>
      <c r="EN70" s="59">
        <f t="shared" si="74"/>
        <v>633.16988068638102</v>
      </c>
      <c r="EO70" s="59">
        <f ca="1">AVERAGE(OFFSET($EN$3,0,0,'Données projet'!$E$15+1,1))-AVERAGE(OFFSET($H$3,0,0,'Données projet'!$E$15+1,1))</f>
        <v>197.51452239559433</v>
      </c>
      <c r="EP70" s="59">
        <f t="shared" si="100"/>
        <v>196.65166921588821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8.3999555777593002</v>
      </c>
      <c r="EW70" s="21">
        <f>EXP(-LN(2)/25)*EW69+(1-EXP(-LN(2)/25))/(LN(2)/25)*Calculateur!ER70*Calculateur!ET70*VLOOKUP('Données projet'!$B$15,Paramètres!$A$1:$I$89,3,0)*0.475*44/12</f>
        <v>8.1657092737889112</v>
      </c>
      <c r="EX70" s="21">
        <f>EXP(-LN(2)/2)*EX69+(1-EXP(-LN(2)/2))/(LN(2)/2)*ER70*EU70*VLOOKUP('Données projet'!$B$15,Paramètres!$A$1:$I$89,3,0)*0.475*44/12</f>
        <v>0.52312845528557606</v>
      </c>
      <c r="EY70" s="22">
        <f t="shared" si="75"/>
        <v>17.088793306833789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788.79445314775262</v>
      </c>
      <c r="S71" s="59">
        <f ca="1">AVERAGE(OFFSET($R$3,0,0,'Données projet'!$E$9+1,1))-AVERAGE(OFFSET($H$3,0,0,'Données projet'!$E$9+1,1))</f>
        <v>635.71275911100679</v>
      </c>
      <c r="T71" s="59">
        <f t="shared" si="88"/>
        <v>281.7776857269169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9.733749999999997</v>
      </c>
      <c r="AI71" s="13">
        <f>IF('Données projet'!$A$62&gt;35,AI70+AH71-AQ70,IF(A71&lt;'Données projet'!$A$62,$AF$205^A71,IF(A71='Données projet'!$A$62,'Données projet'!$B$62,AI70+AH71-AQ70)))</f>
        <v>252.55750000000032</v>
      </c>
      <c r="AJ71" s="13">
        <f>AI71*VLOOKUP('Données projet'!$B$10,Paramètres!$A$1:$I$89,3,0)*VLOOKUP('Données projet'!$B$10,Paramètres!$A$1:$I$89,5,0)</f>
        <v>256.09330500000038</v>
      </c>
      <c r="AK71" s="13">
        <f t="shared" si="89"/>
        <v>61.888896112284726</v>
      </c>
      <c r="AL71" s="20">
        <f t="shared" si="58"/>
        <v>553.81900027056327</v>
      </c>
      <c r="AM71" s="59">
        <f t="shared" si="59"/>
        <v>847.15233360389652</v>
      </c>
      <c r="AN71" s="59">
        <f ca="1">AVERAGE(OFFSET($AM$3,0,0,'Données projet'!$E$10+1,1))-AVERAGE(OFFSET($H$3,0,0,'Données projet'!$E$10+1,1))</f>
        <v>706.69239849991595</v>
      </c>
      <c r="AO71" s="59">
        <f t="shared" si="90"/>
        <v>310.59887275116529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8.7042700878798112</v>
      </c>
      <c r="AV71" s="21">
        <f>EXP(-LN(2)/25)*AV70+(1-EXP(-LN(2)/25))/(LN(2)/25)*Calculateur!AQ71*Calculateur!AS71*VLOOKUP('Données projet'!$B$10,Paramètres!$A$1:$I$89,3,0)*0.475*44/12</f>
        <v>35.854955951781427</v>
      </c>
      <c r="AW71" s="21">
        <f>EXP(-LN(2)/2)*AW70+(1-EXP(-LN(2)/2))/(LN(2)/2)*AQ71*AT71*VLOOKUP('Données projet'!$B$10,Paramètres!$A$1:$I$89,3,0)*0.475*44/12</f>
        <v>2.8687146745088512</v>
      </c>
      <c r="AX71" s="21">
        <f t="shared" si="60"/>
        <v>47.427940714170091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240.33371700000029</v>
      </c>
      <c r="BF71" s="13">
        <f t="shared" si="91"/>
        <v>58.511325512853986</v>
      </c>
      <c r="BG71" s="20">
        <f t="shared" si="61"/>
        <v>520.48844904322118</v>
      </c>
      <c r="BH71" s="59">
        <f t="shared" si="62"/>
        <v>813.82178237655444</v>
      </c>
      <c r="BI71" s="59">
        <f ca="1">AVERAGE(OFFSET($BH$3,0,0,'Données projet'!$E$11+1,1))-AVERAGE(OFFSET($H$3,0,0,'Données projet'!$E$11+1,1))</f>
        <v>666.1523645983184</v>
      </c>
      <c r="BJ71" s="59">
        <f t="shared" si="92"/>
        <v>294.13851344047526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8.1686226978564367</v>
      </c>
      <c r="BQ71" s="21">
        <f>EXP(-LN(2)/25)*BQ70+(1-EXP(-LN(2)/25))/(LN(2)/25)*Calculateur!BL71*Calculateur!BN71*VLOOKUP('Données projet'!$B$11,Paramètres!$A$1:$I$89,3,0)*0.475*44/12</f>
        <v>33.648497123979482</v>
      </c>
      <c r="BR71" s="21">
        <f>EXP(-LN(2)/2)*BR70+(1-EXP(-LN(2)/2))/(LN(2)/2)*BL71*BO71*VLOOKUP('Données projet'!$B$11,Paramètres!$A$1:$I$89,3,0)*0.475*44/12</f>
        <v>2.6921783868467677</v>
      </c>
      <c r="BS71" s="22">
        <f t="shared" si="63"/>
        <v>44.509298208682686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9.733749999999997</v>
      </c>
      <c r="BY71" s="12">
        <f>IF('Données projet'!$A$114&gt;35,BY70+BX71-CG70,IF(A71&lt;'Données projet'!$A$114,$BV$205^A71,IF(A71='Données projet'!$A$114,'Données projet'!$B$114,BY70+BX71-CG70)))</f>
        <v>252.55750000000032</v>
      </c>
      <c r="BZ71" s="13">
        <f>BY71*VLOOKUP('Données projet'!$B$12,Paramètres!$A$1:$I$89,3,0)*VLOOKUP('Données projet'!$B$12,Paramètres!$A$1:$I$89,5,0)</f>
        <v>271.85289300000034</v>
      </c>
      <c r="CA71" s="13">
        <f t="shared" si="93"/>
        <v>65.242343289092531</v>
      </c>
      <c r="CB71" s="20">
        <f t="shared" si="64"/>
        <v>587.10753653683673</v>
      </c>
      <c r="CC71" s="59">
        <f t="shared" si="65"/>
        <v>880.44086987016999</v>
      </c>
      <c r="CD71" s="59">
        <f ca="1">AVERAGE(OFFSET($CC$3,0,0,'Données projet'!$E$12+1,1))-AVERAGE(OFFSET($H$3,0,0,'Données projet'!$E$12+1,1))</f>
        <v>747.18304127457918</v>
      </c>
      <c r="CE71" s="59">
        <f t="shared" si="94"/>
        <v>327.03701004966723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9.2399174779031839</v>
      </c>
      <c r="CL71" s="21">
        <f>EXP(-LN(2)/25)*CL70+(1-EXP(-LN(2)/25))/(LN(2)/25)*Calculateur!CG71*Calculateur!CI71*VLOOKUP('Données projet'!$B$12,Paramètres!$A$1:$I$89,3,0)*0.475*44/12</f>
        <v>38.061414779583345</v>
      </c>
      <c r="CM71" s="21">
        <f>EXP(-LN(2)/2)*CM70+(1-EXP(-LN(2)/2))/(LN(2)/2)*CG71*CJ71*VLOOKUP('Données projet'!$B$12,Paramètres!$A$1:$I$89,3,0)*0.475*44/12</f>
        <v>3.0452509621709338</v>
      </c>
      <c r="CN71" s="22">
        <f t="shared" si="66"/>
        <v>50.346583219657461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9.733749999999997</v>
      </c>
      <c r="CT71" s="12">
        <f>IF('Données projet'!$A$140&gt;35,CT70+CS71-DB70,IF(A71&lt;'Données projet'!$A$140,$CQ$205^A71,IF(A71='Données projet'!$A$140,'Données projet'!$B$140,CT70+CS71-DB70)))</f>
        <v>252.55750000000032</v>
      </c>
      <c r="CU71" s="17">
        <f>CT71*VLOOKUP('Données projet'!$B$13,Paramètres!$A$1:$I$89,3,0)*VLOOKUP('Données projet'!$B$13,Paramètres!$A$1:$I$89,5,0)</f>
        <v>244.27361400000029</v>
      </c>
      <c r="CV71" s="13">
        <f t="shared" si="95"/>
        <v>59.358072694809287</v>
      </c>
      <c r="CW71" s="20">
        <f t="shared" si="67"/>
        <v>528.82518766012663</v>
      </c>
      <c r="CX71" s="59">
        <f t="shared" si="68"/>
        <v>822.15852099345989</v>
      </c>
      <c r="CY71" s="59">
        <f ca="1">AVERAGE(OFFSET($CX$3,0,0,'Données projet'!$E$13+1,1))-AVERAGE(OFFSET($H$3,0,0,'Données projet'!$E$13+1,1))</f>
        <v>676.29219382388692</v>
      </c>
      <c r="CZ71" s="59">
        <f t="shared" si="96"/>
        <v>298.25577221580448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8.3025345453622812</v>
      </c>
      <c r="DG71" s="21">
        <f>EXP(-LN(2)/25)*DG70+(1-EXP(-LN(2)/25))/(LN(2)/25)*Calculateur!DB71*Calculateur!DD71*VLOOKUP('Données projet'!$B$13,Paramètres!$A$1:$I$89,3,0)*0.475*44/12</f>
        <v>34.200111830929977</v>
      </c>
      <c r="DH71" s="21">
        <f>EXP(-LN(2)/2)*DH70+(1-EXP(-LN(2)/2))/(LN(2)/2)*DB71*DE71*VLOOKUP('Données projet'!$B$13,Paramètres!$A$1:$I$89,3,0)*0.475*44/12</f>
        <v>2.7363124587622885</v>
      </c>
      <c r="DI71" s="22">
        <f t="shared" si="69"/>
        <v>45.238958835054547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5.5555555555555554</v>
      </c>
      <c r="EJ71" s="12">
        <f>IF('Données projet'!$A$192&gt;35,EJ70+EI71-ER70,IF(A71&lt;'Données projet'!$A$192,$EG$205^A71,IF(A71='Données projet'!$A$192,'Données projet'!$B$192,EJ70+EI71-ER70)))</f>
        <v>204.70085470085459</v>
      </c>
      <c r="EK71" s="17">
        <f>EJ71*VLOOKUP('Données projet'!$B$15,Paramètres!$A$1:$I$89,3,0)*VLOOKUP('Données projet'!$B$15,Paramètres!$A$1:$I$89,5,0)</f>
        <v>159.6666666666666</v>
      </c>
      <c r="EL71" s="13">
        <f t="shared" si="99"/>
        <v>40.767322019750679</v>
      </c>
      <c r="EM71" s="20">
        <f t="shared" si="73"/>
        <v>349.08919696217669</v>
      </c>
      <c r="EN71" s="59">
        <f t="shared" si="74"/>
        <v>642.42253029551</v>
      </c>
      <c r="EO71" s="59">
        <f ca="1">AVERAGE(OFFSET($EN$3,0,0,'Données projet'!$E$15+1,1))-AVERAGE(OFFSET($H$3,0,0,'Données projet'!$E$15+1,1))</f>
        <v>197.51452239559433</v>
      </c>
      <c r="EP71" s="59">
        <f t="shared" si="100"/>
        <v>196.65166921588821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8.2352375723464419</v>
      </c>
      <c r="EW71" s="21">
        <f>EXP(-LN(2)/25)*EW70+(1-EXP(-LN(2)/25))/(LN(2)/25)*Calculateur!ER71*Calculateur!ET71*VLOOKUP('Données projet'!$B$15,Paramètres!$A$1:$I$89,3,0)*0.475*44/12</f>
        <v>7.9424175242811659</v>
      </c>
      <c r="EX71" s="21">
        <f>EXP(-LN(2)/2)*EX70+(1-EXP(-LN(2)/2))/(LN(2)/2)*ER71*EU71*VLOOKUP('Données projet'!$B$15,Paramètres!$A$1:$I$89,3,0)*0.475*44/12</f>
        <v>0.36990767816407444</v>
      </c>
      <c r="EY71" s="22">
        <f t="shared" si="75"/>
        <v>16.547562774791682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807.44529955922121</v>
      </c>
      <c r="S72" s="59">
        <f ca="1">AVERAGE(OFFSET($R$3,0,0,'Données projet'!$E$9+1,1))-AVERAGE(OFFSET($H$3,0,0,'Données projet'!$E$9+1,1))</f>
        <v>635.71275911100679</v>
      </c>
      <c r="T72" s="59">
        <f t="shared" si="88"/>
        <v>281.7776857269169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9.733749999999997</v>
      </c>
      <c r="AI72" s="13">
        <f>IF('Données projet'!$A$62&gt;35,AI71+AH72-AQ71,IF(A72&lt;'Données projet'!$A$62,$AF$205^A72,IF(A72='Données projet'!$A$62,'Données projet'!$B$62,AI71+AH72-AQ71)))</f>
        <v>262.29125000000033</v>
      </c>
      <c r="AJ72" s="13">
        <f>AI72*VLOOKUP('Données projet'!$B$10,Paramètres!$A$1:$I$89,3,0)*VLOOKUP('Données projet'!$B$10,Paramètres!$A$1:$I$89,5,0)</f>
        <v>265.96332750000033</v>
      </c>
      <c r="AK72" s="13">
        <f t="shared" si="89"/>
        <v>63.991835900335317</v>
      </c>
      <c r="AL72" s="20">
        <f t="shared" si="58"/>
        <v>574.67190958891786</v>
      </c>
      <c r="AM72" s="59">
        <f t="shared" si="59"/>
        <v>868.00524292225123</v>
      </c>
      <c r="AN72" s="59">
        <f ca="1">AVERAGE(OFFSET($AM$3,0,0,'Données projet'!$E$10+1,1))-AVERAGE(OFFSET($H$3,0,0,'Données projet'!$E$10+1,1))</f>
        <v>706.69239849991595</v>
      </c>
      <c r="AO72" s="59">
        <f t="shared" si="90"/>
        <v>310.59887275116529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8.5335846605370129</v>
      </c>
      <c r="AV72" s="21">
        <f>EXP(-LN(2)/25)*AV71+(1-EXP(-LN(2)/25))/(LN(2)/25)*Calculateur!AQ72*Calculateur!AS72*VLOOKUP('Données projet'!$B$10,Paramètres!$A$1:$I$89,3,0)*0.475*44/12</f>
        <v>34.874500295749776</v>
      </c>
      <c r="AW72" s="21">
        <f>EXP(-LN(2)/2)*AW71+(1-EXP(-LN(2)/2))/(LN(2)/2)*AQ72*AT72*VLOOKUP('Données projet'!$B$10,Paramètres!$A$1:$I$89,3,0)*0.475*44/12</f>
        <v>2.0284875996345684</v>
      </c>
      <c r="AX72" s="21">
        <f t="shared" si="60"/>
        <v>45.436572555921352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249.5963535000003</v>
      </c>
      <c r="BF72" s="13">
        <f t="shared" si="91"/>
        <v>60.49949790244262</v>
      </c>
      <c r="BG72" s="20">
        <f t="shared" si="61"/>
        <v>540.0836078592547</v>
      </c>
      <c r="BH72" s="59">
        <f t="shared" si="62"/>
        <v>833.41694119258796</v>
      </c>
      <c r="BI72" s="59">
        <f ca="1">AVERAGE(OFFSET($BH$3,0,0,'Données projet'!$E$11+1,1))-AVERAGE(OFFSET($H$3,0,0,'Données projet'!$E$11+1,1))</f>
        <v>666.1523645983184</v>
      </c>
      <c r="BJ72" s="59">
        <f t="shared" si="92"/>
        <v>294.13851344047526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8.0084409891193502</v>
      </c>
      <c r="BQ72" s="21">
        <f>EXP(-LN(2)/25)*BQ71+(1-EXP(-LN(2)/25))/(LN(2)/25)*Calculateur!BL72*Calculateur!BN72*VLOOKUP('Données projet'!$B$11,Paramètres!$A$1:$I$89,3,0)*0.475*44/12</f>
        <v>32.728377200626703</v>
      </c>
      <c r="BR72" s="21">
        <f>EXP(-LN(2)/2)*BR71+(1-EXP(-LN(2)/2))/(LN(2)/2)*BL72*BO72*VLOOKUP('Données projet'!$B$11,Paramètres!$A$1:$I$89,3,0)*0.475*44/12</f>
        <v>1.9036575935032101</v>
      </c>
      <c r="BS72" s="22">
        <f t="shared" si="63"/>
        <v>42.640475783249265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9.733749999999997</v>
      </c>
      <c r="BY72" s="12">
        <f>IF('Données projet'!$A$114&gt;35,BY71+BX72-CG71,IF(A72&lt;'Données projet'!$A$114,$BV$205^A72,IF(A72='Données projet'!$A$114,'Données projet'!$B$114,BY71+BX72-CG71)))</f>
        <v>262.29125000000033</v>
      </c>
      <c r="BZ72" s="13">
        <f>BY72*VLOOKUP('Données projet'!$B$12,Paramètres!$A$1:$I$89,3,0)*VLOOKUP('Données projet'!$B$12,Paramètres!$A$1:$I$89,5,0)</f>
        <v>282.3303015000003</v>
      </c>
      <c r="CA72" s="13">
        <f t="shared" si="93"/>
        <v>67.459230779206578</v>
      </c>
      <c r="CB72" s="20">
        <f t="shared" si="64"/>
        <v>609.2167687196187</v>
      </c>
      <c r="CC72" s="59">
        <f t="shared" si="65"/>
        <v>902.55010205295207</v>
      </c>
      <c r="CD72" s="59">
        <f ca="1">AVERAGE(OFFSET($CC$3,0,0,'Données projet'!$E$12+1,1))-AVERAGE(OFFSET($H$3,0,0,'Données projet'!$E$12+1,1))</f>
        <v>747.18304127457918</v>
      </c>
      <c r="CE72" s="59">
        <f t="shared" si="94"/>
        <v>327.03701004966723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9.0587283319546756</v>
      </c>
      <c r="CL72" s="21">
        <f>EXP(-LN(2)/25)*CL71+(1-EXP(-LN(2)/25))/(LN(2)/25)*Calculateur!CG72*Calculateur!CI72*VLOOKUP('Données projet'!$B$12,Paramètres!$A$1:$I$89,3,0)*0.475*44/12</f>
        <v>37.020623390872828</v>
      </c>
      <c r="CM72" s="21">
        <f>EXP(-LN(2)/2)*CM71+(1-EXP(-LN(2)/2))/(LN(2)/2)*CG72*CJ72*VLOOKUP('Données projet'!$B$12,Paramètres!$A$1:$I$89,3,0)*0.475*44/12</f>
        <v>2.1533176057659258</v>
      </c>
      <c r="CN72" s="22">
        <f t="shared" si="66"/>
        <v>48.232669328593431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9.733749999999997</v>
      </c>
      <c r="CT72" s="12">
        <f>IF('Données projet'!$A$140&gt;35,CT71+CS72-DB71,IF(A72&lt;'Données projet'!$A$140,$CQ$205^A72,IF(A72='Données projet'!$A$140,'Données projet'!$B$140,CT71+CS72-DB71)))</f>
        <v>262.29125000000033</v>
      </c>
      <c r="CU72" s="17">
        <f>CT72*VLOOKUP('Données projet'!$B$13,Paramètres!$A$1:$I$89,3,0)*VLOOKUP('Données projet'!$B$13,Paramètres!$A$1:$I$89,5,0)</f>
        <v>253.68809700000031</v>
      </c>
      <c r="CV72" s="13">
        <f t="shared" si="95"/>
        <v>61.37501693930583</v>
      </c>
      <c r="CW72" s="20">
        <f t="shared" si="67"/>
        <v>548.73492344429144</v>
      </c>
      <c r="CX72" s="59">
        <f t="shared" si="68"/>
        <v>842.06825677762481</v>
      </c>
      <c r="CY72" s="59">
        <f ca="1">AVERAGE(OFFSET($CX$3,0,0,'Données projet'!$E$13+1,1))-AVERAGE(OFFSET($H$3,0,0,'Données projet'!$E$13+1,1))</f>
        <v>676.29219382388692</v>
      </c>
      <c r="CZ72" s="59">
        <f t="shared" si="96"/>
        <v>298.25577221580448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8.1397269069737668</v>
      </c>
      <c r="DG72" s="21">
        <f>EXP(-LN(2)/25)*DG71+(1-EXP(-LN(2)/25))/(LN(2)/25)*Calculateur!DB72*Calculateur!DD72*VLOOKUP('Données projet'!$B$13,Paramètres!$A$1:$I$89,3,0)*0.475*44/12</f>
        <v>33.264907974407478</v>
      </c>
      <c r="DH72" s="21">
        <f>EXP(-LN(2)/2)*DH71+(1-EXP(-LN(2)/2))/(LN(2)/2)*DB72*DE72*VLOOKUP('Données projet'!$B$13,Paramètres!$A$1:$I$89,3,0)*0.475*44/12</f>
        <v>1.9348650950360495</v>
      </c>
      <c r="DI72" s="22">
        <f t="shared" si="69"/>
        <v>43.339499976417294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210.25641025641025</v>
      </c>
      <c r="EH72" s="12">
        <f>VLOOKUP(A72,'Données projet'!$A$191:$I$211,9,0)</f>
        <v>5.5555555555555554</v>
      </c>
      <c r="EI72" s="12">
        <f t="array" ref="EI72">INDEX(EH:EH,MIN(IF(ISNUMBER(EH72:EH268),ROW(EH72:EH268),"")))</f>
        <v>5.5555555555555554</v>
      </c>
      <c r="EJ72" s="12">
        <f>IF('Données projet'!$A$192&gt;35,EJ71+EI72-ER71,IF(A72&lt;'Données projet'!$A$192,$EG$205^A72,IF(A72='Données projet'!$A$192,'Données projet'!$B$192,EJ71+EI72-ER71)))</f>
        <v>210.25641025641013</v>
      </c>
      <c r="EK72" s="17">
        <f>EJ72*VLOOKUP('Données projet'!$B$15,Paramètres!$A$1:$I$89,3,0)*VLOOKUP('Données projet'!$B$15,Paramètres!$A$1:$I$89,5,0)</f>
        <v>163.99999999999991</v>
      </c>
      <c r="EL72" s="13">
        <f t="shared" si="99"/>
        <v>41.743425908362248</v>
      </c>
      <c r="EM72" s="20">
        <f t="shared" si="73"/>
        <v>358.33646679039742</v>
      </c>
      <c r="EN72" s="59">
        <f t="shared" si="74"/>
        <v>651.66980012373074</v>
      </c>
      <c r="EO72" s="59">
        <f ca="1">AVERAGE(OFFSET($EN$3,0,0,'Données projet'!$E$15+1,1))-AVERAGE(OFFSET($H$3,0,0,'Données projet'!$E$15+1,1))</f>
        <v>197.51452239559433</v>
      </c>
      <c r="EP72" s="59">
        <f t="shared" si="100"/>
        <v>196.65166921588821</v>
      </c>
      <c r="EQ72" s="15">
        <f>IF(ISNA(VLOOKUP(A72,'Données projet'!$A$191:$I$211,3,0)),0,VLOOKUP(A72,'Données projet'!$A$191:$I$211,3,0))</f>
        <v>9</v>
      </c>
      <c r="ER72" s="15">
        <f>IF(ISNA(VLOOKUP(A72,'Données projet'!$A$191:$I$211,4,0)),0,VLOOKUP(A72,'Données projet'!$A$191:$I$211,4,0))</f>
        <v>210.25641025641025</v>
      </c>
      <c r="ES72" s="16">
        <f>IF(ISNA(VLOOKUP(A72,'Données projet'!$A$191:$I$211,5,0)),0%,VLOOKUP(A72,'Données projet'!$A$191:$I$211,5,0)*VLOOKUP('Données projet'!$B$15,Paramètres!$A$1:$I$89,7,0))</f>
        <v>0.1075</v>
      </c>
      <c r="ET72" s="16">
        <f>IF(ISNA(VLOOKUP(A72,'Données projet'!$A$191:$I$211,6,0)),0%,VLOOKUP(A72,'Données projet'!$A$191:$I$211,6,0)*VLOOKUP('Données projet'!$B$15,Paramètres!$A$1:$I$89,7,0))</f>
        <v>0.1075</v>
      </c>
      <c r="EU72" s="16">
        <f>IF(ISNA(VLOOKUP(A72,'Données projet'!$A$191:$I$211,7,0)),0%,VLOOKUP(A72,'Données projet'!$A$191:$I$211,7,0))</f>
        <v>0.25</v>
      </c>
      <c r="EV72" s="21">
        <f>EXP(-LN(2)/35)*EV71+(1-EXP(-LN(2)/35))/(LN(2)/35)*ER72*ES72*VLOOKUP('Données projet'!$B$15,Paramètres!$A$1:$I$89,3,0)*0.475*44/12</f>
        <v>27.563192377717577</v>
      </c>
      <c r="EW72" s="21">
        <f>EXP(-LN(2)/25)*EW71+(1-EXP(-LN(2)/25))/(LN(2)/25)*Calculateur!ER72*Calculateur!ET72*VLOOKUP('Données projet'!$B$15,Paramètres!$A$1:$I$89,3,0)*0.475*44/12</f>
        <v>27.137937128243308</v>
      </c>
      <c r="EX72" s="21">
        <f>EXP(-LN(2)/2)*EX71+(1-EXP(-LN(2)/2))/(LN(2)/2)*ER72*EU72*VLOOKUP('Données projet'!$B$15,Paramètres!$A$1:$I$89,3,0)*0.475*44/12</f>
        <v>38.946167726463699</v>
      </c>
      <c r="EY72" s="22">
        <f t="shared" si="75"/>
        <v>93.647297232424592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826.08186743674764</v>
      </c>
      <c r="S73" s="59">
        <f ca="1">AVERAGE(OFFSET($R$3,0,0,'Données projet'!$E$9+1,1))-AVERAGE(OFFSET($H$3,0,0,'Données projet'!$E$9+1,1))</f>
        <v>635.71275911100679</v>
      </c>
      <c r="T73" s="59">
        <f t="shared" si="88"/>
        <v>281.7776857269169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9.733749999999997</v>
      </c>
      <c r="AI73" s="13">
        <f>IF('Données projet'!$A$62&gt;35,AI72+AH73-AQ72,IF(A73&lt;'Données projet'!$A$62,$AF$205^A73,IF(A73='Données projet'!$A$62,'Données projet'!$B$62,AI72+AH73-AQ72)))</f>
        <v>272.02500000000032</v>
      </c>
      <c r="AJ73" s="13">
        <f>AI73*VLOOKUP('Données projet'!$B$10,Paramètres!$A$1:$I$89,3,0)*VLOOKUP('Données projet'!$B$10,Paramètres!$A$1:$I$89,5,0)</f>
        <v>275.83335000000034</v>
      </c>
      <c r="AK73" s="13">
        <f t="shared" si="89"/>
        <v>66.085709101140665</v>
      </c>
      <c r="AL73" s="20">
        <f t="shared" si="58"/>
        <v>595.50902793448722</v>
      </c>
      <c r="AM73" s="59">
        <f t="shared" si="59"/>
        <v>888.84236126782048</v>
      </c>
      <c r="AN73" s="59">
        <f ca="1">AVERAGE(OFFSET($AM$3,0,0,'Données projet'!$E$10+1,1))-AVERAGE(OFFSET($H$3,0,0,'Données projet'!$E$10+1,1))</f>
        <v>706.69239849991595</v>
      </c>
      <c r="AO73" s="59">
        <f t="shared" si="90"/>
        <v>310.59887275116529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8.3662462703165765</v>
      </c>
      <c r="AV73" s="21">
        <f>EXP(-LN(2)/25)*AV72+(1-EXP(-LN(2)/25))/(LN(2)/25)*Calculateur!AQ73*Calculateur!AS73*VLOOKUP('Données projet'!$B$10,Paramètres!$A$1:$I$89,3,0)*0.475*44/12</f>
        <v>33.920855251192236</v>
      </c>
      <c r="AW73" s="21">
        <f>EXP(-LN(2)/2)*AW72+(1-EXP(-LN(2)/2))/(LN(2)/2)*AQ73*AT73*VLOOKUP('Données projet'!$B$10,Paramètres!$A$1:$I$89,3,0)*0.475*44/12</f>
        <v>1.4343573372544258</v>
      </c>
      <c r="AX73" s="21">
        <f t="shared" si="60"/>
        <v>43.721458858763242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258.85899000000029</v>
      </c>
      <c r="BF73" s="13">
        <f t="shared" si="91"/>
        <v>62.47909851145463</v>
      </c>
      <c r="BG73" s="20">
        <f t="shared" si="61"/>
        <v>559.66383749078398</v>
      </c>
      <c r="BH73" s="59">
        <f t="shared" si="62"/>
        <v>852.99717082411735</v>
      </c>
      <c r="BI73" s="59">
        <f ca="1">AVERAGE(OFFSET($BH$3,0,0,'Données projet'!$E$11+1,1))-AVERAGE(OFFSET($H$3,0,0,'Données projet'!$E$11+1,1))</f>
        <v>666.1523645983184</v>
      </c>
      <c r="BJ73" s="59">
        <f t="shared" si="92"/>
        <v>294.13851344047526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7.8514003459894024</v>
      </c>
      <c r="BQ73" s="21">
        <f>EXP(-LN(2)/25)*BQ72+(1-EXP(-LN(2)/25))/(LN(2)/25)*Calculateur!BL73*Calculateur!BN73*VLOOKUP('Données projet'!$B$11,Paramètres!$A$1:$I$89,3,0)*0.475*44/12</f>
        <v>31.833418004965012</v>
      </c>
      <c r="BR73" s="21">
        <f>EXP(-LN(2)/2)*BR72+(1-EXP(-LN(2)/2))/(LN(2)/2)*BL73*BO73*VLOOKUP('Données projet'!$B$11,Paramètres!$A$1:$I$89,3,0)*0.475*44/12</f>
        <v>1.3460891934233841</v>
      </c>
      <c r="BS73" s="22">
        <f t="shared" si="63"/>
        <v>41.030907544377797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9.733749999999997</v>
      </c>
      <c r="BY73" s="12">
        <f>IF('Données projet'!$A$114&gt;35,BY72+BX73-CG72,IF(A73&lt;'Données projet'!$A$114,$BV$205^A73,IF(A73='Données projet'!$A$114,'Données projet'!$B$114,BY72+BX73-CG72)))</f>
        <v>272.02500000000032</v>
      </c>
      <c r="BZ73" s="13">
        <f>BY73*VLOOKUP('Données projet'!$B$12,Paramètres!$A$1:$I$89,3,0)*VLOOKUP('Données projet'!$B$12,Paramètres!$A$1:$I$89,5,0)</f>
        <v>292.80771000000033</v>
      </c>
      <c r="CA73" s="13">
        <f t="shared" si="93"/>
        <v>69.666560409434922</v>
      </c>
      <c r="CB73" s="20">
        <f t="shared" si="64"/>
        <v>631.30935429643307</v>
      </c>
      <c r="CC73" s="59">
        <f t="shared" si="65"/>
        <v>924.64268762976644</v>
      </c>
      <c r="CD73" s="59">
        <f ca="1">AVERAGE(OFFSET($CC$3,0,0,'Données projet'!$E$12+1,1))-AVERAGE(OFFSET($H$3,0,0,'Données projet'!$E$12+1,1))</f>
        <v>747.18304127457918</v>
      </c>
      <c r="CE73" s="59">
        <f t="shared" si="94"/>
        <v>327.03701004966723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8.8810921946437507</v>
      </c>
      <c r="CL73" s="21">
        <f>EXP(-LN(2)/25)*CL72+(1-EXP(-LN(2)/25))/(LN(2)/25)*Calculateur!CG73*Calculateur!CI73*VLOOKUP('Données projet'!$B$12,Paramètres!$A$1:$I$89,3,0)*0.475*44/12</f>
        <v>36.00829249741944</v>
      </c>
      <c r="CM73" s="21">
        <f>EXP(-LN(2)/2)*CM72+(1-EXP(-LN(2)/2))/(LN(2)/2)*CG73*CJ73*VLOOKUP('Données projet'!$B$12,Paramètres!$A$1:$I$89,3,0)*0.475*44/12</f>
        <v>1.5226254810854669</v>
      </c>
      <c r="CN73" s="22">
        <f t="shared" si="66"/>
        <v>46.412010173148659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9.733749999999997</v>
      </c>
      <c r="CT73" s="12">
        <f>IF('Données projet'!$A$140&gt;35,CT72+CS73-DB72,IF(A73&lt;'Données projet'!$A$140,$CQ$205^A73,IF(A73='Données projet'!$A$140,'Données projet'!$B$140,CT72+CS73-DB72)))</f>
        <v>272.02500000000032</v>
      </c>
      <c r="CU73" s="17">
        <f>CT73*VLOOKUP('Données projet'!$B$13,Paramètres!$A$1:$I$89,3,0)*VLOOKUP('Données projet'!$B$13,Paramètres!$A$1:$I$89,5,0)</f>
        <v>263.10258000000033</v>
      </c>
      <c r="CV73" s="13">
        <f t="shared" si="95"/>
        <v>63.383265356624797</v>
      </c>
      <c r="CW73" s="20">
        <f t="shared" si="67"/>
        <v>568.62951399612211</v>
      </c>
      <c r="CX73" s="59">
        <f t="shared" si="68"/>
        <v>861.96284732945537</v>
      </c>
      <c r="CY73" s="59">
        <f ca="1">AVERAGE(OFFSET($CX$3,0,0,'Données projet'!$E$13+1,1))-AVERAGE(OFFSET($H$3,0,0,'Données projet'!$E$13+1,1))</f>
        <v>676.29219382388692</v>
      </c>
      <c r="CZ73" s="59">
        <f t="shared" si="96"/>
        <v>298.25577221580448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7.9801118270711964</v>
      </c>
      <c r="DG73" s="21">
        <f>EXP(-LN(2)/25)*DG72+(1-EXP(-LN(2)/25))/(LN(2)/25)*Calculateur!DB73*Calculateur!DD73*VLOOKUP('Données projet'!$B$13,Paramètres!$A$1:$I$89,3,0)*0.475*44/12</f>
        <v>32.355277316521821</v>
      </c>
      <c r="DH73" s="21">
        <f>EXP(-LN(2)/2)*DH72+(1-EXP(-LN(2)/2))/(LN(2)/2)*DB73*DE73*VLOOKUP('Données projet'!$B$13,Paramètres!$A$1:$I$89,3,0)*0.475*44/12</f>
        <v>1.3681562293811445</v>
      </c>
      <c r="DI73" s="22">
        <f t="shared" si="69"/>
        <v>41.703545372974162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-1.1368683772161603E-13</v>
      </c>
      <c r="EK73" s="17">
        <f>EJ73*VLOOKUP('Données projet'!$B$15,Paramètres!$A$1:$I$89,3,0)*VLOOKUP('Données projet'!$B$15,Paramètres!$A$1:$I$89,5,0)</f>
        <v>-8.8675733422860506E-14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197.51452239559433</v>
      </c>
      <c r="EP73" s="59">
        <f t="shared" si="100"/>
        <v>196.65166921588821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27.022694987077848</v>
      </c>
      <c r="EW73" s="21">
        <f>EXP(-LN(2)/25)*EW72+(1-EXP(-LN(2)/25))/(LN(2)/25)*Calculateur!ER73*Calculateur!ET73*VLOOKUP('Données projet'!$B$15,Paramètres!$A$1:$I$89,3,0)*0.475*44/12</f>
        <v>26.395848810349406</v>
      </c>
      <c r="EX73" s="21">
        <f>EXP(-LN(2)/2)*EX72+(1-EXP(-LN(2)/2))/(LN(2)/2)*ER73*EU73*VLOOKUP('Données projet'!$B$15,Paramètres!$A$1:$I$89,3,0)*0.475*44/12</f>
        <v>27.539099300611149</v>
      </c>
      <c r="EY73" s="22">
        <f t="shared" si="75"/>
        <v>80.957643098038403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844.70472623505771</v>
      </c>
      <c r="S74" s="59">
        <f ca="1">AVERAGE(OFFSET($R$3,0,0,'Données projet'!$E$9+1,1))-AVERAGE(OFFSET($H$3,0,0,'Données projet'!$E$9+1,1))</f>
        <v>635.71275911100679</v>
      </c>
      <c r="T74" s="59">
        <f t="shared" si="88"/>
        <v>281.7776857269169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9.733749999999997</v>
      </c>
      <c r="AI74" s="13">
        <f>IF('Données projet'!$A$62&gt;35,AI73+AH74-AQ73,IF(A74&lt;'Données projet'!$A$62,$AF$205^A74,IF(A74='Données projet'!$A$62,'Données projet'!$B$62,AI73+AH74-AQ73)))</f>
        <v>281.7587500000003</v>
      </c>
      <c r="AJ74" s="13">
        <f>AI74*VLOOKUP('Données projet'!$B$10,Paramètres!$A$1:$I$89,3,0)*VLOOKUP('Données projet'!$B$10,Paramètres!$A$1:$I$89,5,0)</f>
        <v>285.70337250000034</v>
      </c>
      <c r="AK74" s="13">
        <f t="shared" si="89"/>
        <v>68.170877307212365</v>
      </c>
      <c r="AL74" s="20">
        <f t="shared" si="58"/>
        <v>616.3309850808954</v>
      </c>
      <c r="AM74" s="59">
        <f t="shared" si="59"/>
        <v>909.66431841422877</v>
      </c>
      <c r="AN74" s="59">
        <f ca="1">AVERAGE(OFFSET($AM$3,0,0,'Données projet'!$E$10+1,1))-AVERAGE(OFFSET($H$3,0,0,'Données projet'!$E$10+1,1))</f>
        <v>706.69239849991595</v>
      </c>
      <c r="AO74" s="59">
        <f t="shared" si="90"/>
        <v>310.59887275116529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8.2021892838620225</v>
      </c>
      <c r="AV74" s="21">
        <f>EXP(-LN(2)/25)*AV73+(1-EXP(-LN(2)/25))/(LN(2)/25)*Calculateur!AQ74*Calculateur!AS74*VLOOKUP('Données projet'!$B$10,Paramètres!$A$1:$I$89,3,0)*0.475*44/12</f>
        <v>32.993287680528134</v>
      </c>
      <c r="AW74" s="21">
        <f>EXP(-LN(2)/2)*AW73+(1-EXP(-LN(2)/2))/(LN(2)/2)*AQ74*AT74*VLOOKUP('Données projet'!$B$10,Paramètres!$A$1:$I$89,3,0)*0.475*44/12</f>
        <v>1.0142437998172844</v>
      </c>
      <c r="AX74" s="21">
        <f t="shared" si="60"/>
        <v>42.209720764207439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268.12162650000027</v>
      </c>
      <c r="BF74" s="13">
        <f t="shared" si="91"/>
        <v>64.450469198583448</v>
      </c>
      <c r="BG74" s="20">
        <f t="shared" si="61"/>
        <v>579.2297333416999</v>
      </c>
      <c r="BH74" s="59">
        <f t="shared" si="62"/>
        <v>872.56306667503327</v>
      </c>
      <c r="BI74" s="59">
        <f ca="1">AVERAGE(OFFSET($BH$3,0,0,'Données projet'!$E$11+1,1))-AVERAGE(OFFSET($H$3,0,0,'Données projet'!$E$11+1,1))</f>
        <v>666.1523645983184</v>
      </c>
      <c r="BJ74" s="59">
        <f t="shared" si="92"/>
        <v>294.13851344047526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7.6974391740858987</v>
      </c>
      <c r="BQ74" s="21">
        <f>EXP(-LN(2)/25)*BQ73+(1-EXP(-LN(2)/25))/(LN(2)/25)*Calculateur!BL74*Calculateur!BN74*VLOOKUP('Données projet'!$B$11,Paramètres!$A$1:$I$89,3,0)*0.475*44/12</f>
        <v>30.962931515572546</v>
      </c>
      <c r="BR74" s="21">
        <f>EXP(-LN(2)/2)*BR73+(1-EXP(-LN(2)/2))/(LN(2)/2)*BL74*BO74*VLOOKUP('Données projet'!$B$11,Paramètres!$A$1:$I$89,3,0)*0.475*44/12</f>
        <v>0.95182879675160514</v>
      </c>
      <c r="BS74" s="22">
        <f t="shared" si="63"/>
        <v>39.612199486410049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9.733749999999997</v>
      </c>
      <c r="BY74" s="12">
        <f>IF('Données projet'!$A$114&gt;35,BY73+BX74-CG73,IF(A74&lt;'Données projet'!$A$114,$BV$205^A74,IF(A74='Données projet'!$A$114,'Données projet'!$B$114,BY73+BX74-CG73)))</f>
        <v>281.7587500000003</v>
      </c>
      <c r="BZ74" s="13">
        <f>BY74*VLOOKUP('Données projet'!$B$12,Paramètres!$A$1:$I$89,3,0)*VLOOKUP('Données projet'!$B$12,Paramètres!$A$1:$I$89,5,0)</f>
        <v>303.28511850000029</v>
      </c>
      <c r="CA74" s="13">
        <f t="shared" si="93"/>
        <v>71.864713365163979</v>
      </c>
      <c r="CB74" s="20">
        <f t="shared" si="64"/>
        <v>653.38595716516113</v>
      </c>
      <c r="CC74" s="59">
        <f t="shared" si="65"/>
        <v>946.7192904984945</v>
      </c>
      <c r="CD74" s="59">
        <f ca="1">AVERAGE(OFFSET($CC$3,0,0,'Données projet'!$E$12+1,1))-AVERAGE(OFFSET($H$3,0,0,'Données projet'!$E$12+1,1))</f>
        <v>747.18304127457918</v>
      </c>
      <c r="CE74" s="59">
        <f t="shared" si="94"/>
        <v>327.03701004966723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8.7069393936381481</v>
      </c>
      <c r="CL74" s="21">
        <f>EXP(-LN(2)/25)*CL73+(1-EXP(-LN(2)/25))/(LN(2)/25)*Calculateur!CG74*Calculateur!CI74*VLOOKUP('Données projet'!$B$12,Paramètres!$A$1:$I$89,3,0)*0.475*44/12</f>
        <v>35.023643845483704</v>
      </c>
      <c r="CM74" s="21">
        <f>EXP(-LN(2)/2)*CM73+(1-EXP(-LN(2)/2))/(LN(2)/2)*CG74*CJ74*VLOOKUP('Données projet'!$B$12,Paramètres!$A$1:$I$89,3,0)*0.475*44/12</f>
        <v>1.0766588028829629</v>
      </c>
      <c r="CN74" s="22">
        <f t="shared" si="66"/>
        <v>44.807242042004816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9.733749999999997</v>
      </c>
      <c r="CT74" s="12">
        <f>IF('Données projet'!$A$140&gt;35,CT73+CS74-DB73,IF(A74&lt;'Données projet'!$A$140,$CQ$205^A74,IF(A74='Données projet'!$A$140,'Données projet'!$B$140,CT73+CS74-DB73)))</f>
        <v>281.7587500000003</v>
      </c>
      <c r="CU74" s="17">
        <f>CT74*VLOOKUP('Données projet'!$B$13,Paramètres!$A$1:$I$89,3,0)*VLOOKUP('Données projet'!$B$13,Paramètres!$A$1:$I$89,5,0)</f>
        <v>272.51706300000029</v>
      </c>
      <c r="CV74" s="13">
        <f t="shared" si="95"/>
        <v>65.383164752670808</v>
      </c>
      <c r="CW74" s="20">
        <f t="shared" si="67"/>
        <v>588.50956333590204</v>
      </c>
      <c r="CX74" s="59">
        <f t="shared" si="68"/>
        <v>881.84289666923542</v>
      </c>
      <c r="CY74" s="59">
        <f ca="1">AVERAGE(OFFSET($CX$3,0,0,'Données projet'!$E$13+1,1))-AVERAGE(OFFSET($H$3,0,0,'Données projet'!$E$13+1,1))</f>
        <v>676.29219382388692</v>
      </c>
      <c r="CZ74" s="59">
        <f t="shared" si="96"/>
        <v>298.25577221580448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7.8236267015299301</v>
      </c>
      <c r="DG74" s="21">
        <f>EXP(-LN(2)/25)*DG73+(1-EXP(-LN(2)/25))/(LN(2)/25)*Calculateur!DB74*Calculateur!DD74*VLOOKUP('Données projet'!$B$13,Paramètres!$A$1:$I$89,3,0)*0.475*44/12</f>
        <v>31.470520556811447</v>
      </c>
      <c r="DH74" s="21">
        <f>EXP(-LN(2)/2)*DH73+(1-EXP(-LN(2)/2))/(LN(2)/2)*DB74*DE74*VLOOKUP('Données projet'!$B$13,Paramètres!$A$1:$I$89,3,0)*0.475*44/12</f>
        <v>0.96743254751802488</v>
      </c>
      <c r="DI74" s="22">
        <f t="shared" si="69"/>
        <v>40.261579805859398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-1.1368683772161603E-13</v>
      </c>
      <c r="EK74" s="17">
        <f>EJ74*VLOOKUP('Données projet'!$B$15,Paramètres!$A$1:$I$89,3,0)*VLOOKUP('Données projet'!$B$15,Paramètres!$A$1:$I$89,5,0)</f>
        <v>-8.8675733422860506E-14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197.51452239559433</v>
      </c>
      <c r="EP74" s="59">
        <f t="shared" si="100"/>
        <v>196.65166921588821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26.49279642059771</v>
      </c>
      <c r="EW74" s="21">
        <f>EXP(-LN(2)/25)*EW73+(1-EXP(-LN(2)/25))/(LN(2)/25)*Calculateur!ER74*Calculateur!ET74*VLOOKUP('Données projet'!$B$15,Paramètres!$A$1:$I$89,3,0)*0.475*44/12</f>
        <v>25.674052936533041</v>
      </c>
      <c r="EX74" s="21">
        <f>EXP(-LN(2)/2)*EX73+(1-EXP(-LN(2)/2))/(LN(2)/2)*ER74*EU74*VLOOKUP('Données projet'!$B$15,Paramètres!$A$1:$I$89,3,0)*0.475*44/12</f>
        <v>19.473083863231853</v>
      </c>
      <c r="EY74" s="22">
        <f t="shared" si="75"/>
        <v>71.639933220362607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863.31440383218614</v>
      </c>
      <c r="S75" s="59">
        <f ca="1">AVERAGE(OFFSET($R$3,0,0,'Données projet'!$E$9+1,1))-AVERAGE(OFFSET($H$3,0,0,'Données projet'!$E$9+1,1))</f>
        <v>635.71275911100679</v>
      </c>
      <c r="T75" s="59">
        <f t="shared" si="88"/>
        <v>281.7776857269169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9.733749999999997</v>
      </c>
      <c r="AI75" s="13">
        <f>IF('Données projet'!$A$62&gt;35,AI74+AH75-AQ74,IF(A75&lt;'Données projet'!$A$62,$AF$205^A75,IF(A75='Données projet'!$A$62,'Données projet'!$B$62,AI74+AH75-AQ74)))</f>
        <v>291.49250000000029</v>
      </c>
      <c r="AJ75" s="13">
        <f>AI75*VLOOKUP('Données projet'!$B$10,Paramètres!$A$1:$I$89,3,0)*VLOOKUP('Données projet'!$B$10,Paramètres!$A$1:$I$89,5,0)</f>
        <v>295.57339500000029</v>
      </c>
      <c r="AK75" s="13">
        <f t="shared" si="89"/>
        <v>70.247675710683964</v>
      </c>
      <c r="AL75" s="20">
        <f t="shared" si="58"/>
        <v>637.13836482110844</v>
      </c>
      <c r="AM75" s="59">
        <f t="shared" si="59"/>
        <v>930.47169815444181</v>
      </c>
      <c r="AN75" s="59">
        <f ca="1">AVERAGE(OFFSET($AM$3,0,0,'Données projet'!$E$10+1,1))-AVERAGE(OFFSET($H$3,0,0,'Données projet'!$E$10+1,1))</f>
        <v>706.69239849991595</v>
      </c>
      <c r="AO75" s="59">
        <f t="shared" si="90"/>
        <v>310.59887275116529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8.041349354846961</v>
      </c>
      <c r="AV75" s="21">
        <f>EXP(-LN(2)/25)*AV74+(1-EXP(-LN(2)/25))/(LN(2)/25)*Calculateur!AQ75*Calculateur!AS75*VLOOKUP('Données projet'!$B$10,Paramètres!$A$1:$I$89,3,0)*0.475*44/12</f>
        <v>32.091084493862503</v>
      </c>
      <c r="AW75" s="21">
        <f>EXP(-LN(2)/2)*AW74+(1-EXP(-LN(2)/2))/(LN(2)/2)*AQ75*AT75*VLOOKUP('Données projet'!$B$10,Paramètres!$A$1:$I$89,3,0)*0.475*44/12</f>
        <v>0.71717866862721313</v>
      </c>
      <c r="AX75" s="21">
        <f t="shared" si="60"/>
        <v>40.849612517336681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277.38426300000032</v>
      </c>
      <c r="BF75" s="13">
        <f t="shared" si="91"/>
        <v>66.413926862937842</v>
      </c>
      <c r="BG75" s="20">
        <f t="shared" si="61"/>
        <v>598.78184734461729</v>
      </c>
      <c r="BH75" s="59">
        <f t="shared" si="62"/>
        <v>892.11518067795055</v>
      </c>
      <c r="BI75" s="59">
        <f ca="1">AVERAGE(OFFSET($BH$3,0,0,'Données projet'!$E$11+1,1))-AVERAGE(OFFSET($H$3,0,0,'Données projet'!$E$11+1,1))</f>
        <v>666.1523645983184</v>
      </c>
      <c r="BJ75" s="59">
        <f t="shared" si="92"/>
        <v>294.13851344047526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7.5464970868563803</v>
      </c>
      <c r="BQ75" s="21">
        <f>EXP(-LN(2)/25)*BQ74+(1-EXP(-LN(2)/25))/(LN(2)/25)*Calculateur!BL75*Calculateur!BN75*VLOOKUP('Données projet'!$B$11,Paramètres!$A$1:$I$89,3,0)*0.475*44/12</f>
        <v>30.116248525009414</v>
      </c>
      <c r="BR75" s="21">
        <f>EXP(-LN(2)/2)*BR74+(1-EXP(-LN(2)/2))/(LN(2)/2)*BL75*BO75*VLOOKUP('Données projet'!$B$11,Paramètres!$A$1:$I$89,3,0)*0.475*44/12</f>
        <v>0.67304459671169214</v>
      </c>
      <c r="BS75" s="22">
        <f t="shared" si="63"/>
        <v>38.335790208577485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9.733749999999997</v>
      </c>
      <c r="BY75" s="12">
        <f>IF('Données projet'!$A$114&gt;35,BY74+BX75-CG74,IF(A75&lt;'Données projet'!$A$114,$BV$205^A75,IF(A75='Données projet'!$A$114,'Données projet'!$B$114,BY74+BX75-CG74)))</f>
        <v>291.49250000000029</v>
      </c>
      <c r="BZ75" s="13">
        <f>BY75*VLOOKUP('Données projet'!$B$12,Paramètres!$A$1:$I$89,3,0)*VLOOKUP('Données projet'!$B$12,Paramètres!$A$1:$I$89,5,0)</f>
        <v>313.76252700000032</v>
      </c>
      <c r="CA75" s="13">
        <f t="shared" si="93"/>
        <v>74.054043000898787</v>
      </c>
      <c r="CB75" s="20">
        <f t="shared" si="64"/>
        <v>675.44719275156592</v>
      </c>
      <c r="CC75" s="59">
        <f t="shared" si="65"/>
        <v>968.78052608489929</v>
      </c>
      <c r="CD75" s="59">
        <f ca="1">AVERAGE(OFFSET($CC$3,0,0,'Données projet'!$E$12+1,1))-AVERAGE(OFFSET($H$3,0,0,'Données projet'!$E$12+1,1))</f>
        <v>747.18304127457918</v>
      </c>
      <c r="CE75" s="59">
        <f t="shared" si="94"/>
        <v>327.03701004966723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8.5362016228375452</v>
      </c>
      <c r="CL75" s="21">
        <f>EXP(-LN(2)/25)*CL74+(1-EXP(-LN(2)/25))/(LN(2)/25)*Calculateur!CG75*Calculateur!CI75*VLOOKUP('Données projet'!$B$12,Paramètres!$A$1:$I$89,3,0)*0.475*44/12</f>
        <v>34.065920462715567</v>
      </c>
      <c r="CM75" s="21">
        <f>EXP(-LN(2)/2)*CM74+(1-EXP(-LN(2)/2))/(LN(2)/2)*CG75*CJ75*VLOOKUP('Données projet'!$B$12,Paramètres!$A$1:$I$89,3,0)*0.475*44/12</f>
        <v>0.76131274054273346</v>
      </c>
      <c r="CN75" s="22">
        <f t="shared" si="66"/>
        <v>43.363434826095848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9.733749999999997</v>
      </c>
      <c r="CT75" s="12">
        <f>IF('Données projet'!$A$140&gt;35,CT74+CS75-DB74,IF(A75&lt;'Données projet'!$A$140,$CQ$205^A75,IF(A75='Données projet'!$A$140,'Données projet'!$B$140,CT74+CS75-DB74)))</f>
        <v>291.49250000000029</v>
      </c>
      <c r="CU75" s="17">
        <f>CT75*VLOOKUP('Données projet'!$B$13,Paramètres!$A$1:$I$89,3,0)*VLOOKUP('Données projet'!$B$13,Paramètres!$A$1:$I$89,5,0)</f>
        <v>281.93154600000031</v>
      </c>
      <c r="CV75" s="13">
        <f t="shared" si="95"/>
        <v>67.375036612561004</v>
      </c>
      <c r="CW75" s="20">
        <f t="shared" si="67"/>
        <v>608.37563138354426</v>
      </c>
      <c r="CX75" s="59">
        <f t="shared" si="68"/>
        <v>901.70896471687752</v>
      </c>
      <c r="CY75" s="59">
        <f ca="1">AVERAGE(OFFSET($CX$3,0,0,'Données projet'!$E$13+1,1))-AVERAGE(OFFSET($H$3,0,0,'Données projet'!$E$13+1,1))</f>
        <v>676.29219382388692</v>
      </c>
      <c r="CZ75" s="59">
        <f t="shared" si="96"/>
        <v>298.25577221580448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7.6702101538540264</v>
      </c>
      <c r="DG75" s="21">
        <f>EXP(-LN(2)/25)*DG74+(1-EXP(-LN(2)/25))/(LN(2)/25)*Calculateur!DB75*Calculateur!DD75*VLOOKUP('Données projet'!$B$13,Paramètres!$A$1:$I$89,3,0)*0.475*44/12</f>
        <v>30.609957517222689</v>
      </c>
      <c r="DH75" s="21">
        <f>EXP(-LN(2)/2)*DH74+(1-EXP(-LN(2)/2))/(LN(2)/2)*DB75*DE75*VLOOKUP('Données projet'!$B$13,Paramètres!$A$1:$I$89,3,0)*0.475*44/12</f>
        <v>0.68407811469057234</v>
      </c>
      <c r="DI75" s="22">
        <f t="shared" si="69"/>
        <v>38.964245785767289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-1.1368683772161603E-13</v>
      </c>
      <c r="EK75" s="17">
        <f>EJ75*VLOOKUP('Données projet'!$B$15,Paramètres!$A$1:$I$89,3,0)*VLOOKUP('Données projet'!$B$15,Paramètres!$A$1:$I$89,5,0)</f>
        <v>-8.8675733422860506E-14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197.51452239559433</v>
      </c>
      <c r="EP75" s="59">
        <f t="shared" si="100"/>
        <v>196.65166921588821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25.973288841800034</v>
      </c>
      <c r="EW75" s="21">
        <f>EXP(-LN(2)/25)*EW74+(1-EXP(-LN(2)/25))/(LN(2)/25)*Calculateur!ER75*Calculateur!ET75*VLOOKUP('Données projet'!$B$15,Paramètres!$A$1:$I$89,3,0)*0.475*44/12</f>
        <v>24.971994608843779</v>
      </c>
      <c r="EX75" s="21">
        <f>EXP(-LN(2)/2)*EX74+(1-EXP(-LN(2)/2))/(LN(2)/2)*ER75*EU75*VLOOKUP('Données projet'!$B$15,Paramètres!$A$1:$I$89,3,0)*0.475*44/12</f>
        <v>13.769549650305576</v>
      </c>
      <c r="EY75" s="22">
        <f t="shared" si="75"/>
        <v>64.714833100949392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881.91139085105283</v>
      </c>
      <c r="S76" s="59">
        <f ca="1">AVERAGE(OFFSET($R$3,0,0,'Données projet'!$E$9+1,1))-AVERAGE(OFFSET($H$3,0,0,'Données projet'!$E$9+1,1))</f>
        <v>635.71275911100679</v>
      </c>
      <c r="T76" s="59">
        <f t="shared" si="88"/>
        <v>281.7776857269169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9.733749999999997</v>
      </c>
      <c r="AI76" s="13">
        <f>IF('Données projet'!$A$62&gt;35,AI75+AH76-AQ75,IF(A76&lt;'Données projet'!$A$62,$AF$205^A76,IF(A76='Données projet'!$A$62,'Données projet'!$B$62,AI75+AH76-AQ75)))</f>
        <v>301.22625000000028</v>
      </c>
      <c r="AJ76" s="13">
        <f>AI76*VLOOKUP('Données projet'!$B$10,Paramètres!$A$1:$I$89,3,0)*VLOOKUP('Données projet'!$B$10,Paramètres!$A$1:$I$89,5,0)</f>
        <v>305.44341750000029</v>
      </c>
      <c r="AK76" s="13">
        <f t="shared" si="89"/>
        <v>72.316415847426583</v>
      </c>
      <c r="AL76" s="20">
        <f t="shared" si="58"/>
        <v>657.93170974676843</v>
      </c>
      <c r="AM76" s="59">
        <f t="shared" si="59"/>
        <v>951.2650430801018</v>
      </c>
      <c r="AN76" s="59">
        <f ca="1">AVERAGE(OFFSET($AM$3,0,0,'Données projet'!$E$10+1,1))-AVERAGE(OFFSET($H$3,0,0,'Données projet'!$E$10+1,1))</f>
        <v>706.69239849991595</v>
      </c>
      <c r="AO76" s="59">
        <f t="shared" si="90"/>
        <v>310.59887275116529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7.883663398737216</v>
      </c>
      <c r="AV76" s="21">
        <f>EXP(-LN(2)/25)*AV75+(1-EXP(-LN(2)/25))/(LN(2)/25)*Calculateur!AQ76*Calculateur!AS76*VLOOKUP('Données projet'!$B$10,Paramètres!$A$1:$I$89,3,0)*0.475*44/12</f>
        <v>31.213552100781044</v>
      </c>
      <c r="AW76" s="21">
        <f>EXP(-LN(2)/2)*AW75+(1-EXP(-LN(2)/2))/(LN(2)/2)*AQ76*AT76*VLOOKUP('Données projet'!$B$10,Paramètres!$A$1:$I$89,3,0)*0.475*44/12</f>
        <v>0.50712189990864232</v>
      </c>
      <c r="AX76" s="21">
        <f t="shared" si="60"/>
        <v>39.604337399426896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286.64689950000025</v>
      </c>
      <c r="BF76" s="13">
        <f t="shared" si="91"/>
        <v>68.369766038399021</v>
      </c>
      <c r="BG76" s="20">
        <f t="shared" si="61"/>
        <v>618.32069247937864</v>
      </c>
      <c r="BH76" s="59">
        <f t="shared" si="62"/>
        <v>911.65402581271201</v>
      </c>
      <c r="BI76" s="59">
        <f ca="1">AVERAGE(OFFSET($BH$3,0,0,'Données projet'!$E$11+1,1))-AVERAGE(OFFSET($H$3,0,0,'Données projet'!$E$11+1,1))</f>
        <v>666.1523645983184</v>
      </c>
      <c r="BJ76" s="59">
        <f t="shared" si="92"/>
        <v>294.13851344047526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7.3985148818918498</v>
      </c>
      <c r="BQ76" s="21">
        <f>EXP(-LN(2)/25)*BQ75+(1-EXP(-LN(2)/25))/(LN(2)/25)*Calculateur!BL76*Calculateur!BN76*VLOOKUP('Données projet'!$B$11,Paramètres!$A$1:$I$89,3,0)*0.475*44/12</f>
        <v>29.292718125348355</v>
      </c>
      <c r="BR76" s="21">
        <f>EXP(-LN(2)/2)*BR75+(1-EXP(-LN(2)/2))/(LN(2)/2)*BL76*BO76*VLOOKUP('Données projet'!$B$11,Paramètres!$A$1:$I$89,3,0)*0.475*44/12</f>
        <v>0.47591439837580263</v>
      </c>
      <c r="BS76" s="22">
        <f t="shared" si="63"/>
        <v>37.167147405616006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9.733749999999997</v>
      </c>
      <c r="BY76" s="12">
        <f>IF('Données projet'!$A$114&gt;35,BY75+BX76-CG75,IF(A76&lt;'Données projet'!$A$114,$BV$205^A76,IF(A76='Données projet'!$A$114,'Données projet'!$B$114,BY75+BX76-CG75)))</f>
        <v>301.22625000000028</v>
      </c>
      <c r="BZ76" s="13">
        <f>BY76*VLOOKUP('Données projet'!$B$12,Paramètres!$A$1:$I$89,3,0)*VLOOKUP('Données projet'!$B$12,Paramètres!$A$1:$I$89,5,0)</f>
        <v>324.23993550000029</v>
      </c>
      <c r="CA76" s="13">
        <f t="shared" si="93"/>
        <v>76.234877733067975</v>
      </c>
      <c r="CB76" s="20">
        <f t="shared" si="64"/>
        <v>697.4936330475939</v>
      </c>
      <c r="CC76" s="59">
        <f t="shared" si="65"/>
        <v>990.82696638092716</v>
      </c>
      <c r="CD76" s="59">
        <f ca="1">AVERAGE(OFFSET($CC$3,0,0,'Données projet'!$E$12+1,1))-AVERAGE(OFFSET($H$3,0,0,'Données projet'!$E$12+1,1))</f>
        <v>747.18304127457918</v>
      </c>
      <c r="CE76" s="59">
        <f t="shared" si="94"/>
        <v>327.03701004966723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8.3688119155825849</v>
      </c>
      <c r="CL76" s="21">
        <f>EXP(-LN(2)/25)*CL75+(1-EXP(-LN(2)/25))/(LN(2)/25)*Calculateur!CG76*Calculateur!CI76*VLOOKUP('Données projet'!$B$12,Paramètres!$A$1:$I$89,3,0)*0.475*44/12</f>
        <v>33.134386076213708</v>
      </c>
      <c r="CM76" s="21">
        <f>EXP(-LN(2)/2)*CM75+(1-EXP(-LN(2)/2))/(LN(2)/2)*CG76*CJ76*VLOOKUP('Données projet'!$B$12,Paramètres!$A$1:$I$89,3,0)*0.475*44/12</f>
        <v>0.53832940144148145</v>
      </c>
      <c r="CN76" s="22">
        <f t="shared" si="66"/>
        <v>42.041527393237772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9.733749999999997</v>
      </c>
      <c r="CT76" s="12">
        <f>IF('Données projet'!$A$140&gt;35,CT75+CS76-DB75,IF(A76&lt;'Données projet'!$A$140,$CQ$205^A76,IF(A76='Données projet'!$A$140,'Données projet'!$B$140,CT75+CS76-DB75)))</f>
        <v>301.22625000000028</v>
      </c>
      <c r="CU76" s="17">
        <f>CT76*VLOOKUP('Données projet'!$B$13,Paramètres!$A$1:$I$89,3,0)*VLOOKUP('Données projet'!$B$13,Paramètres!$A$1:$I$89,5,0)</f>
        <v>291.34602900000027</v>
      </c>
      <c r="CV76" s="13">
        <f t="shared" si="95"/>
        <v>69.359179732526314</v>
      </c>
      <c r="CW76" s="20">
        <f t="shared" si="67"/>
        <v>628.22823854248372</v>
      </c>
      <c r="CX76" s="59">
        <f t="shared" si="68"/>
        <v>921.56157187581698</v>
      </c>
      <c r="CY76" s="59">
        <f ca="1">AVERAGE(OFFSET($CX$3,0,0,'Données projet'!$E$13+1,1))-AVERAGE(OFFSET($H$3,0,0,'Données projet'!$E$13+1,1))</f>
        <v>676.29219382388692</v>
      </c>
      <c r="CZ76" s="59">
        <f t="shared" si="96"/>
        <v>298.25577221580448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7.5198020111031925</v>
      </c>
      <c r="DG76" s="21">
        <f>EXP(-LN(2)/25)*DG75+(1-EXP(-LN(2)/25))/(LN(2)/25)*Calculateur!DB76*Calculateur!DD76*VLOOKUP('Données projet'!$B$13,Paramètres!$A$1:$I$89,3,0)*0.475*44/12</f>
        <v>29.77292661920653</v>
      </c>
      <c r="DH76" s="21">
        <f>EXP(-LN(2)/2)*DH75+(1-EXP(-LN(2)/2))/(LN(2)/2)*DB76*DE76*VLOOKUP('Données projet'!$B$13,Paramètres!$A$1:$I$89,3,0)*0.475*44/12</f>
        <v>0.48371627375901255</v>
      </c>
      <c r="DI76" s="22">
        <f t="shared" si="69"/>
        <v>37.77644490406874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-1.1368683772161603E-13</v>
      </c>
      <c r="EK76" s="17">
        <f>EJ76*VLOOKUP('Données projet'!$B$15,Paramètres!$A$1:$I$89,3,0)*VLOOKUP('Données projet'!$B$15,Paramètres!$A$1:$I$89,5,0)</f>
        <v>-8.8675733422860506E-14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197.51452239559433</v>
      </c>
      <c r="EP76" s="59">
        <f t="shared" si="100"/>
        <v>196.65166921588821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25.463968489754247</v>
      </c>
      <c r="EW76" s="21">
        <f>EXP(-LN(2)/25)*EW75+(1-EXP(-LN(2)/25))/(LN(2)/25)*Calculateur!ER76*Calculateur!ET76*VLOOKUP('Données projet'!$B$15,Paramètres!$A$1:$I$89,3,0)*0.475*44/12</f>
        <v>24.289134103044823</v>
      </c>
      <c r="EX76" s="21">
        <f>EXP(-LN(2)/2)*EX75+(1-EXP(-LN(2)/2))/(LN(2)/2)*ER76*EU76*VLOOKUP('Données projet'!$B$15,Paramètres!$A$1:$I$89,3,0)*0.475*44/12</f>
        <v>9.7365419316159283</v>
      </c>
      <c r="EY76" s="22">
        <f t="shared" si="75"/>
        <v>59.489644524414999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900.49614440676419</v>
      </c>
      <c r="S77" s="59">
        <f ca="1">AVERAGE(OFFSET($R$3,0,0,'Données projet'!$E$9+1,1))-AVERAGE(OFFSET($H$3,0,0,'Données projet'!$E$9+1,1))</f>
        <v>635.71275911100679</v>
      </c>
      <c r="T77" s="59">
        <f t="shared" si="88"/>
        <v>281.7776857269169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9.733749999999997</v>
      </c>
      <c r="AH77" s="12">
        <f t="array" ref="AH77">INDEX(AG:AG,MIN(IF(ISNUMBER(AG77:AG273),ROW(AG77:AG273),"")))</f>
        <v>9.733749999999997</v>
      </c>
      <c r="AI77" s="13">
        <f>IF('Données projet'!$A$62&gt;35,AI76+AH77-AQ76,IF(A77&lt;'Données projet'!$A$62,$AF$205^A77,IF(A77='Données projet'!$A$62,'Données projet'!$B$62,AI76+AH77-AQ76)))</f>
        <v>310.96000000000026</v>
      </c>
      <c r="AJ77" s="13">
        <f>AI77*VLOOKUP('Données projet'!$B$10,Paramètres!$A$1:$I$89,3,0)*VLOOKUP('Données projet'!$B$10,Paramètres!$A$1:$I$89,5,0)</f>
        <v>315.31344000000024</v>
      </c>
      <c r="AK77" s="13">
        <f t="shared" si="89"/>
        <v>74.377387976510789</v>
      </c>
      <c r="AL77" s="20">
        <f t="shared" si="58"/>
        <v>678.71152539242337</v>
      </c>
      <c r="AM77" s="59">
        <f t="shared" si="59"/>
        <v>972.04485872575674</v>
      </c>
      <c r="AN77" s="59">
        <f ca="1">AVERAGE(OFFSET($AM$3,0,0,'Données projet'!$E$10+1,1))-AVERAGE(OFFSET($H$3,0,0,'Données projet'!$E$10+1,1))</f>
        <v>706.69239849991595</v>
      </c>
      <c r="AO77" s="59">
        <f t="shared" si="90"/>
        <v>310.59887275116529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51.339999999999975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16.390256852917666</v>
      </c>
      <c r="AV77" s="21">
        <f>EXP(-LN(2)/25)*AV76+(1-EXP(-LN(2)/25))/(LN(2)/25)*Calculateur!AQ77*Calculateur!AS77*VLOOKUP('Données projet'!$B$10,Paramètres!$A$1:$I$89,3,0)*0.475*44/12</f>
        <v>35.289778671626223</v>
      </c>
      <c r="AW77" s="21">
        <f>EXP(-LN(2)/2)*AW76+(1-EXP(-LN(2)/2))/(LN(2)/2)*AQ77*AT77*VLOOKUP('Données projet'!$B$10,Paramètres!$A$1:$I$89,3,0)*0.475*44/12</f>
        <v>5.2704734544118432</v>
      </c>
      <c r="AX77" s="21">
        <f t="shared" si="60"/>
        <v>56.950508978955732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295.90953600000029</v>
      </c>
      <c r="BF77" s="13">
        <f t="shared" si="91"/>
        <v>70.318261143223381</v>
      </c>
      <c r="BG77" s="20">
        <f t="shared" si="61"/>
        <v>637.8467466911145</v>
      </c>
      <c r="BH77" s="59">
        <f t="shared" si="62"/>
        <v>931.18008002444776</v>
      </c>
      <c r="BI77" s="59">
        <f ca="1">AVERAGE(OFFSET($BH$3,0,0,'Données projet'!$E$11+1,1))-AVERAGE(OFFSET($H$3,0,0,'Données projet'!$E$11+1,1))</f>
        <v>666.1523645983184</v>
      </c>
      <c r="BJ77" s="59">
        <f t="shared" si="92"/>
        <v>294.13851344047526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15.381625661968885</v>
      </c>
      <c r="BQ77" s="21">
        <f>EXP(-LN(2)/25)*BQ76+(1-EXP(-LN(2)/25))/(LN(2)/25)*Calculateur!BL77*Calculateur!BN77*VLOOKUP('Données projet'!$B$11,Paramètres!$A$1:$I$89,3,0)*0.475*44/12</f>
        <v>33.118099984141523</v>
      </c>
      <c r="BR77" s="21">
        <f>EXP(-LN(2)/2)*BR76+(1-EXP(-LN(2)/2))/(LN(2)/2)*BL77*BO77*VLOOKUP('Données projet'!$B$11,Paramètres!$A$1:$I$89,3,0)*0.475*44/12</f>
        <v>4.9461366264480375</v>
      </c>
      <c r="BS77" s="22">
        <f t="shared" si="63"/>
        <v>53.445862272558443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9.733749999999997</v>
      </c>
      <c r="BX77" s="12">
        <f t="array" ref="BX77">INDEX(BW:BW,MIN(IF(ISNUMBER(BW77:BW273),ROW(BW77:BW273),"")))</f>
        <v>9.733749999999997</v>
      </c>
      <c r="BY77" s="12">
        <f>IF('Données projet'!$A$114&gt;35,BY76+BX77-CG76,IF(A77&lt;'Données projet'!$A$114,$BV$205^A77,IF(A77='Données projet'!$A$114,'Données projet'!$B$114,BY76+BX77-CG76)))</f>
        <v>310.96000000000026</v>
      </c>
      <c r="BZ77" s="13">
        <f>BY77*VLOOKUP('Données projet'!$B$12,Paramètres!$A$1:$I$89,3,0)*VLOOKUP('Données projet'!$B$12,Paramètres!$A$1:$I$89,5,0)</f>
        <v>334.71734400000025</v>
      </c>
      <c r="CA77" s="13">
        <f t="shared" si="93"/>
        <v>78.407523548417757</v>
      </c>
      <c r="CB77" s="20">
        <f t="shared" si="64"/>
        <v>719.52581098016128</v>
      </c>
      <c r="CC77" s="59">
        <f t="shared" si="65"/>
        <v>1012.8591443134947</v>
      </c>
      <c r="CD77" s="59">
        <f ca="1">AVERAGE(OFFSET($CC$3,0,0,'Données projet'!$E$12+1,1))-AVERAGE(OFFSET($H$3,0,0,'Données projet'!$E$12+1,1))</f>
        <v>747.18304127457918</v>
      </c>
      <c r="CE77" s="59">
        <f t="shared" si="94"/>
        <v>327.03701004966723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51.339999999999975</v>
      </c>
      <c r="CH77" s="16">
        <f>IF(ISNA(VLOOKUP(A77,'Données projet'!$A$113:$I$133,5,0)),0%,VLOOKUP(A77,'Données projet'!$A$113:$I$133,5,0)*VLOOKUP('Données projet'!$B$12,Paramètres!$A$1:$I$89,7,0))</f>
        <v>0.15049999999999999</v>
      </c>
      <c r="CI77" s="16">
        <f>IF(ISNA(VLOOKUP(A77,'Données projet'!$A$113:$I$133,6,0)),0%,VLOOKUP(A77,'Données projet'!$A$113:$I$133,6,0)*VLOOKUP('Données projet'!$B$12,Paramètres!$A$1:$I$89,7,0))</f>
        <v>8.6000000000000007E-2</v>
      </c>
      <c r="CJ77" s="16">
        <f>IF(ISNA(VLOOKUP(A77,'Données projet'!$A$113:$I$133,7,0)),0%,VLOOKUP(A77,'Données projet'!$A$113:$I$133,7,0))</f>
        <v>0.1</v>
      </c>
      <c r="CK77" s="21">
        <f>EXP(-LN(2)/35)*CK76+(1-EXP(-LN(2)/35))/(LN(2)/35)*CG77*CH77*VLOOKUP('Données projet'!$B$12,Paramètres!$A$1:$I$89,3,0)*0.475*44/12</f>
        <v>17.398888043866442</v>
      </c>
      <c r="CL77" s="21">
        <f>EXP(-LN(2)/25)*CL76+(1-EXP(-LN(2)/25))/(LN(2)/25)*Calculateur!CG77*Calculateur!CI77*VLOOKUP('Données projet'!$B$12,Paramètres!$A$1:$I$89,3,0)*0.475*44/12</f>
        <v>37.461457359110895</v>
      </c>
      <c r="CM77" s="21">
        <f>EXP(-LN(2)/2)*CM76+(1-EXP(-LN(2)/2))/(LN(2)/2)*CG77*CJ77*VLOOKUP('Données projet'!$B$12,Paramètres!$A$1:$I$89,3,0)*0.475*44/12</f>
        <v>5.594810282375648</v>
      </c>
      <c r="CN77" s="22">
        <f t="shared" si="66"/>
        <v>60.455155685352985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9.733749999999997</v>
      </c>
      <c r="CS77" s="12">
        <f t="array" ref="CS77">INDEX(CR:CR,MIN(IF(ISNUMBER(CR77:CR273),ROW(CR77:CR273),"")))</f>
        <v>9.733749999999997</v>
      </c>
      <c r="CT77" s="12">
        <f>IF('Données projet'!$A$140&gt;35,CT76+CS77-DB76,IF(A77&lt;'Données projet'!$A$140,$CQ$205^A77,IF(A77='Données projet'!$A$140,'Données projet'!$B$140,CT76+CS77-DB76)))</f>
        <v>310.96000000000026</v>
      </c>
      <c r="CU77" s="17">
        <f>CT77*VLOOKUP('Données projet'!$B$13,Paramètres!$A$1:$I$89,3,0)*VLOOKUP('Données projet'!$B$13,Paramètres!$A$1:$I$89,5,0)</f>
        <v>300.76051200000029</v>
      </c>
      <c r="CV77" s="13">
        <f t="shared" si="95"/>
        <v>71.335872502069464</v>
      </c>
      <c r="CW77" s="20">
        <f t="shared" si="67"/>
        <v>648.06786967443816</v>
      </c>
      <c r="CX77" s="59">
        <f t="shared" si="68"/>
        <v>941.40120300777153</v>
      </c>
      <c r="CY77" s="59">
        <f ca="1">AVERAGE(OFFSET($CX$3,0,0,'Données projet'!$E$13+1,1))-AVERAGE(OFFSET($H$3,0,0,'Données projet'!$E$13+1,1))</f>
        <v>676.29219382388692</v>
      </c>
      <c r="CZ77" s="59">
        <f t="shared" si="96"/>
        <v>298.25577221580448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51.339999999999975</v>
      </c>
      <c r="DC77" s="16">
        <f>IF(ISNA(VLOOKUP(A77,'Données projet'!$A$139:$I$159,5,0)),0%,VLOOKUP(A77,'Données projet'!$A$139:$I$159,5,0)*VLOOKUP('Données projet'!$B$13,Paramètres!$A$1:$I$89,7,0))</f>
        <v>0.15049999999999999</v>
      </c>
      <c r="DD77" s="16">
        <f>IF(ISNA(VLOOKUP(A77,'Données projet'!$A$139:$I$159,6,0)),0%,VLOOKUP(A77,'Données projet'!$A$139:$I$159,6,0)*VLOOKUP('Données projet'!$B$13,Paramètres!$A$1:$I$89,7,0))</f>
        <v>8.6000000000000007E-2</v>
      </c>
      <c r="DE77" s="16">
        <f>IF(ISNA(VLOOKUP(A77,'Données projet'!$A$139:$I$159,7,0)),0%,VLOOKUP(A77,'Données projet'!$A$139:$I$159,7,0))</f>
        <v>0.1</v>
      </c>
      <c r="DF77" s="21">
        <f>EXP(-LN(2)/35)*DF76+(1-EXP(-LN(2)/35))/(LN(2)/35)*DB77*DC77*VLOOKUP('Données projet'!$B$13,Paramètres!$A$1:$I$89,3,0)*0.475*44/12</f>
        <v>15.633783459706082</v>
      </c>
      <c r="DG77" s="21">
        <f>EXP(-LN(2)/25)*DG76+(1-EXP(-LN(2)/25))/(LN(2)/25)*Calculateur!DB77*Calculateur!DD77*VLOOKUP('Données projet'!$B$13,Paramètres!$A$1:$I$89,3,0)*0.475*44/12</f>
        <v>33.661019656012698</v>
      </c>
      <c r="DH77" s="21">
        <f>EXP(-LN(2)/2)*DH76+(1-EXP(-LN(2)/2))/(LN(2)/2)*DB77*DE77*VLOOKUP('Données projet'!$B$13,Paramètres!$A$1:$I$89,3,0)*0.475*44/12</f>
        <v>5.0272208334389896</v>
      </c>
      <c r="DI77" s="22">
        <f t="shared" si="69"/>
        <v>54.322023949157767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-1.1368683772161603E-13</v>
      </c>
      <c r="EK77" s="17">
        <f>EJ77*VLOOKUP('Données projet'!$B$15,Paramètres!$A$1:$I$89,3,0)*VLOOKUP('Données projet'!$B$15,Paramètres!$A$1:$I$89,5,0)</f>
        <v>-8.8675733422860506E-14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197.51452239559433</v>
      </c>
      <c r="EP77" s="59">
        <f t="shared" si="100"/>
        <v>196.65166921588821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24.964635599157337</v>
      </c>
      <c r="EW77" s="21">
        <f>EXP(-LN(2)/25)*EW76+(1-EXP(-LN(2)/25))/(LN(2)/25)*Calculateur!ER77*Calculateur!ET77*VLOOKUP('Données projet'!$B$15,Paramètres!$A$1:$I$89,3,0)*0.475*44/12</f>
        <v>23.624946453687013</v>
      </c>
      <c r="EX77" s="21">
        <f>EXP(-LN(2)/2)*EX76+(1-EXP(-LN(2)/2))/(LN(2)/2)*ER77*EU77*VLOOKUP('Données projet'!$B$15,Paramètres!$A$1:$I$89,3,0)*0.475*44/12</f>
        <v>6.8847748251527898</v>
      </c>
      <c r="EY77" s="22">
        <f t="shared" si="75"/>
        <v>55.474356877997138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820.61129001067138</v>
      </c>
      <c r="S78" s="59">
        <f ca="1">AVERAGE(OFFSET($R$3,0,0,'Données projet'!$E$9+1,1))-AVERAGE(OFFSET($H$3,0,0,'Données projet'!$E$9+1,1))</f>
        <v>635.71275911100679</v>
      </c>
      <c r="T78" s="59">
        <f t="shared" si="88"/>
        <v>281.7776857269169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9.546999999999997</v>
      </c>
      <c r="AI78" s="13">
        <f>IF('Données projet'!$A$62&gt;35,AI77+AH78-AQ77,IF(A78&lt;'Données projet'!$A$62,$AF$205^A78,IF(A78='Données projet'!$A$62,'Données projet'!$B$62,AI77+AH78-AQ77)))</f>
        <v>269.16700000000031</v>
      </c>
      <c r="AJ78" s="13">
        <f>AI78*VLOOKUP('Données projet'!$B$10,Paramètres!$A$1:$I$89,3,0)*VLOOKUP('Données projet'!$B$10,Paramètres!$A$1:$I$89,5,0)</f>
        <v>272.93533800000034</v>
      </c>
      <c r="AK78" s="13">
        <f t="shared" si="89"/>
        <v>65.471829519996945</v>
      </c>
      <c r="AL78" s="20">
        <f t="shared" si="58"/>
        <v>589.39248343066197</v>
      </c>
      <c r="AM78" s="59">
        <f t="shared" si="59"/>
        <v>882.72581676399523</v>
      </c>
      <c r="AN78" s="59">
        <f ca="1">AVERAGE(OFFSET($AM$3,0,0,'Données projet'!$E$10+1,1))-AVERAGE(OFFSET($H$3,0,0,'Données projet'!$E$10+1,1))</f>
        <v>706.69239849991595</v>
      </c>
      <c r="AO78" s="59">
        <f t="shared" si="90"/>
        <v>310.59887275116529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16.068853913101503</v>
      </c>
      <c r="AV78" s="21">
        <f>EXP(-LN(2)/25)*AV77+(1-EXP(-LN(2)/25))/(LN(2)/25)*Calculateur!AQ78*Calculateur!AS78*VLOOKUP('Données projet'!$B$10,Paramètres!$A$1:$I$89,3,0)*0.475*44/12</f>
        <v>34.324777818041802</v>
      </c>
      <c r="AW78" s="21">
        <f>EXP(-LN(2)/2)*AW77+(1-EXP(-LN(2)/2))/(LN(2)/2)*AQ78*AT78*VLOOKUP('Données projet'!$B$10,Paramètres!$A$1:$I$89,3,0)*0.475*44/12</f>
        <v>3.7267875196783029</v>
      </c>
      <c r="AX78" s="21">
        <f t="shared" si="60"/>
        <v>54.120419250821605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256.13931720000033</v>
      </c>
      <c r="BF78" s="13">
        <f t="shared" si="91"/>
        <v>61.898721250680353</v>
      </c>
      <c r="BG78" s="20">
        <f t="shared" si="61"/>
        <v>553.91625030160219</v>
      </c>
      <c r="BH78" s="59">
        <f t="shared" si="62"/>
        <v>847.24958363493556</v>
      </c>
      <c r="BI78" s="59">
        <f ca="1">AVERAGE(OFFSET($BH$3,0,0,'Données projet'!$E$11+1,1))-AVERAGE(OFFSET($H$3,0,0,'Données projet'!$E$11+1,1))</f>
        <v>666.1523645983184</v>
      </c>
      <c r="BJ78" s="59">
        <f t="shared" si="92"/>
        <v>294.13851344047526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15.080001364602946</v>
      </c>
      <c r="BQ78" s="21">
        <f>EXP(-LN(2)/25)*BQ77+(1-EXP(-LN(2)/25))/(LN(2)/25)*Calculateur!BL78*Calculateur!BN78*VLOOKUP('Données projet'!$B$11,Paramètres!$A$1:$I$89,3,0)*0.475*44/12</f>
        <v>32.212483798469989</v>
      </c>
      <c r="BR78" s="21">
        <f>EXP(-LN(2)/2)*BR77+(1-EXP(-LN(2)/2))/(LN(2)/2)*BL78*BO78*VLOOKUP('Données projet'!$B$11,Paramètres!$A$1:$I$89,3,0)*0.475*44/12</f>
        <v>3.4974467492365608</v>
      </c>
      <c r="BS78" s="22">
        <f t="shared" si="63"/>
        <v>50.789931912309498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9.546999999999997</v>
      </c>
      <c r="BY78" s="12">
        <f>IF('Données projet'!$A$114&gt;35,BY77+BX78-CG77,IF(A78&lt;'Données projet'!$A$114,$BV$205^A78,IF(A78='Données projet'!$A$114,'Données projet'!$B$114,BY77+BX78-CG77)))</f>
        <v>269.16700000000031</v>
      </c>
      <c r="BZ78" s="13">
        <f>BY78*VLOOKUP('Données projet'!$B$12,Paramètres!$A$1:$I$89,3,0)*VLOOKUP('Données projet'!$B$12,Paramètres!$A$1:$I$89,5,0)</f>
        <v>289.73135880000035</v>
      </c>
      <c r="CA78" s="13">
        <f t="shared" si="93"/>
        <v>69.01941778956207</v>
      </c>
      <c r="CB78" s="20">
        <f t="shared" si="64"/>
        <v>624.82426922682123</v>
      </c>
      <c r="CC78" s="59">
        <f t="shared" si="65"/>
        <v>918.1576025601546</v>
      </c>
      <c r="CD78" s="59">
        <f ca="1">AVERAGE(OFFSET($CC$3,0,0,'Données projet'!$E$12+1,1))-AVERAGE(OFFSET($H$3,0,0,'Données projet'!$E$12+1,1))</f>
        <v>747.18304127457918</v>
      </c>
      <c r="CE78" s="59">
        <f t="shared" si="94"/>
        <v>327.03701004966723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17.057706461600052</v>
      </c>
      <c r="CL78" s="21">
        <f>EXP(-LN(2)/25)*CL77+(1-EXP(-LN(2)/25))/(LN(2)/25)*Calculateur!CG78*Calculateur!CI78*VLOOKUP('Données projet'!$B$12,Paramètres!$A$1:$I$89,3,0)*0.475*44/12</f>
        <v>36.437071837613587</v>
      </c>
      <c r="CM78" s="21">
        <f>EXP(-LN(2)/2)*CM77+(1-EXP(-LN(2)/2))/(LN(2)/2)*CG78*CJ78*VLOOKUP('Données projet'!$B$12,Paramètres!$A$1:$I$89,3,0)*0.475*44/12</f>
        <v>3.9561282901200436</v>
      </c>
      <c r="CN78" s="22">
        <f t="shared" si="66"/>
        <v>57.450906589333677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9.546999999999997</v>
      </c>
      <c r="CT78" s="12">
        <f>IF('Données projet'!$A$140&gt;35,CT77+CS78-DB77,IF(A78&lt;'Données projet'!$A$140,$CQ$205^A78,IF(A78='Données projet'!$A$140,'Données projet'!$B$140,CT77+CS78-DB77)))</f>
        <v>269.16700000000031</v>
      </c>
      <c r="CU78" s="17">
        <f>CT78*VLOOKUP('Données projet'!$B$13,Paramètres!$A$1:$I$89,3,0)*VLOOKUP('Données projet'!$B$13,Paramètres!$A$1:$I$89,5,0)</f>
        <v>260.33832240000027</v>
      </c>
      <c r="CV78" s="13">
        <f t="shared" si="95"/>
        <v>62.794489161016493</v>
      </c>
      <c r="CW78" s="20">
        <f t="shared" si="67"/>
        <v>562.78964680210413</v>
      </c>
      <c r="CX78" s="59">
        <f t="shared" si="68"/>
        <v>856.1229801354375</v>
      </c>
      <c r="CY78" s="59">
        <f ca="1">AVERAGE(OFFSET($CX$3,0,0,'Données projet'!$E$13+1,1))-AVERAGE(OFFSET($H$3,0,0,'Données projet'!$E$13+1,1))</f>
        <v>676.29219382388692</v>
      </c>
      <c r="CZ78" s="59">
        <f t="shared" si="96"/>
        <v>298.25577221580448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15.327214501727587</v>
      </c>
      <c r="DG78" s="21">
        <f>EXP(-LN(2)/25)*DG77+(1-EXP(-LN(2)/25))/(LN(2)/25)*Calculateur!DB78*Calculateur!DD78*VLOOKUP('Données projet'!$B$13,Paramètres!$A$1:$I$89,3,0)*0.475*44/12</f>
        <v>32.740557303362941</v>
      </c>
      <c r="DH78" s="21">
        <f>EXP(-LN(2)/2)*DH77+(1-EXP(-LN(2)/2))/(LN(2)/2)*DB78*DE78*VLOOKUP('Données projet'!$B$13,Paramètres!$A$1:$I$89,3,0)*0.475*44/12</f>
        <v>3.554781941846997</v>
      </c>
      <c r="DI78" s="22">
        <f t="shared" si="69"/>
        <v>51.622553746937527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-1.1368683772161603E-13</v>
      </c>
      <c r="EK78" s="17">
        <f>EJ78*VLOOKUP('Données projet'!$B$15,Paramètres!$A$1:$I$89,3,0)*VLOOKUP('Données projet'!$B$15,Paramètres!$A$1:$I$89,5,0)</f>
        <v>-8.8675733422860506E-14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197.51452239559433</v>
      </c>
      <c r="EP78" s="59">
        <f t="shared" si="100"/>
        <v>196.65166921588821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24.475094321982041</v>
      </c>
      <c r="EW78" s="21">
        <f>EXP(-LN(2)/25)*EW77+(1-EXP(-LN(2)/25))/(LN(2)/25)*Calculateur!ER78*Calculateur!ET78*VLOOKUP('Données projet'!$B$15,Paramètres!$A$1:$I$89,3,0)*0.475*44/12</f>
        <v>22.978921050529003</v>
      </c>
      <c r="EX78" s="21">
        <f>EXP(-LN(2)/2)*EX77+(1-EXP(-LN(2)/2))/(LN(2)/2)*ER78*EU78*VLOOKUP('Données projet'!$B$15,Paramètres!$A$1:$I$89,3,0)*0.475*44/12</f>
        <v>4.868270965807965</v>
      </c>
      <c r="EY78" s="22">
        <f t="shared" si="75"/>
        <v>52.32228633831901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838.88087361647172</v>
      </c>
      <c r="S79" s="59">
        <f ca="1">AVERAGE(OFFSET($R$3,0,0,'Données projet'!$E$9+1,1))-AVERAGE(OFFSET($H$3,0,0,'Données projet'!$E$9+1,1))</f>
        <v>635.71275911100679</v>
      </c>
      <c r="T79" s="59">
        <f t="shared" si="88"/>
        <v>281.7776857269169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9.546999999999997</v>
      </c>
      <c r="AI79" s="13">
        <f>IF('Données projet'!$A$62&gt;35,AI78+AH79-AQ78,IF(A79&lt;'Données projet'!$A$62,$AF$205^A79,IF(A79='Données projet'!$A$62,'Données projet'!$B$62,AI78+AH79-AQ78)))</f>
        <v>278.71400000000028</v>
      </c>
      <c r="AJ79" s="13">
        <f>AI79*VLOOKUP('Données projet'!$B$10,Paramètres!$A$1:$I$89,3,0)*VLOOKUP('Données projet'!$B$10,Paramètres!$A$1:$I$89,5,0)</f>
        <v>282.61599600000028</v>
      </c>
      <c r="AK79" s="13">
        <f t="shared" si="89"/>
        <v>67.519544470872418</v>
      </c>
      <c r="AL79" s="20">
        <f t="shared" si="58"/>
        <v>609.81939965343656</v>
      </c>
      <c r="AM79" s="59">
        <f t="shared" si="59"/>
        <v>903.15273298676993</v>
      </c>
      <c r="AN79" s="59">
        <f ca="1">AVERAGE(OFFSET($AM$3,0,0,'Données projet'!$E$10+1,1))-AVERAGE(OFFSET($H$3,0,0,'Données projet'!$E$10+1,1))</f>
        <v>706.69239849991595</v>
      </c>
      <c r="AO79" s="59">
        <f t="shared" si="90"/>
        <v>310.59887275116529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15.753753488898697</v>
      </c>
      <c r="AV79" s="21">
        <f>EXP(-LN(2)/25)*AV78+(1-EXP(-LN(2)/25))/(LN(2)/25)*Calculateur!AQ79*Calculateur!AS79*VLOOKUP('Données projet'!$B$10,Paramètres!$A$1:$I$89,3,0)*0.475*44/12</f>
        <v>33.386164963545838</v>
      </c>
      <c r="AW79" s="21">
        <f>EXP(-LN(2)/2)*AW78+(1-EXP(-LN(2)/2))/(LN(2)/2)*AQ79*AT79*VLOOKUP('Données projet'!$B$10,Paramètres!$A$1:$I$89,3,0)*0.475*44/12</f>
        <v>2.6352367272059221</v>
      </c>
      <c r="AX79" s="21">
        <f t="shared" si="60"/>
        <v>51.775155179650454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265.22424240000026</v>
      </c>
      <c r="BF79" s="13">
        <f t="shared" si="91"/>
        <v>63.834682684389406</v>
      </c>
      <c r="BG79" s="20">
        <f t="shared" si="61"/>
        <v>573.11096118864532</v>
      </c>
      <c r="BH79" s="59">
        <f t="shared" si="62"/>
        <v>866.44429452197869</v>
      </c>
      <c r="BI79" s="59">
        <f ca="1">AVERAGE(OFFSET($BH$3,0,0,'Données projet'!$E$11+1,1))-AVERAGE(OFFSET($H$3,0,0,'Données projet'!$E$11+1,1))</f>
        <v>666.1523645983184</v>
      </c>
      <c r="BJ79" s="59">
        <f t="shared" si="92"/>
        <v>294.13851344047526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14.784291735735698</v>
      </c>
      <c r="BQ79" s="21">
        <f>EXP(-LN(2)/25)*BQ78+(1-EXP(-LN(2)/25))/(LN(2)/25)*Calculateur!BL79*Calculateur!BN79*VLOOKUP('Données projet'!$B$11,Paramètres!$A$1:$I$89,3,0)*0.475*44/12</f>
        <v>31.331631735019926</v>
      </c>
      <c r="BR79" s="21">
        <f>EXP(-LN(2)/2)*BR78+(1-EXP(-LN(2)/2))/(LN(2)/2)*BL79*BO79*VLOOKUP('Données projet'!$B$11,Paramètres!$A$1:$I$89,3,0)*0.475*44/12</f>
        <v>2.4730683132240188</v>
      </c>
      <c r="BS79" s="22">
        <f t="shared" si="63"/>
        <v>48.588991783979644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9.546999999999997</v>
      </c>
      <c r="BY79" s="12">
        <f>IF('Données projet'!$A$114&gt;35,BY78+BX79-CG78,IF(A79&lt;'Données projet'!$A$114,$BV$205^A79,IF(A79='Données projet'!$A$114,'Données projet'!$B$114,BY78+BX79-CG78)))</f>
        <v>278.71400000000028</v>
      </c>
      <c r="BZ79" s="13">
        <f>BY79*VLOOKUP('Données projet'!$B$12,Paramètres!$A$1:$I$89,3,0)*VLOOKUP('Données projet'!$B$12,Paramètres!$A$1:$I$89,5,0)</f>
        <v>300.0077496000003</v>
      </c>
      <c r="CA79" s="13">
        <f t="shared" si="93"/>
        <v>71.178088087071316</v>
      </c>
      <c r="CB79" s="20">
        <f t="shared" si="64"/>
        <v>646.48200063831644</v>
      </c>
      <c r="CC79" s="59">
        <f t="shared" si="65"/>
        <v>939.81533397164981</v>
      </c>
      <c r="CD79" s="59">
        <f ca="1">AVERAGE(OFFSET($CC$3,0,0,'Données projet'!$E$12+1,1))-AVERAGE(OFFSET($H$3,0,0,'Données projet'!$E$12+1,1))</f>
        <v>747.18304127457918</v>
      </c>
      <c r="CE79" s="59">
        <f t="shared" si="94"/>
        <v>327.03701004966723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16.723215242061691</v>
      </c>
      <c r="CL79" s="21">
        <f>EXP(-LN(2)/25)*CL78+(1-EXP(-LN(2)/25))/(LN(2)/25)*Calculateur!CG79*Calculateur!CI79*VLOOKUP('Données projet'!$B$12,Paramètres!$A$1:$I$89,3,0)*0.475*44/12</f>
        <v>35.440698192071714</v>
      </c>
      <c r="CM79" s="21">
        <f>EXP(-LN(2)/2)*CM78+(1-EXP(-LN(2)/2))/(LN(2)/2)*CG79*CJ79*VLOOKUP('Données projet'!$B$12,Paramètres!$A$1:$I$89,3,0)*0.475*44/12</f>
        <v>2.7974051411878245</v>
      </c>
      <c r="CN79" s="22">
        <f t="shared" si="66"/>
        <v>54.961318575321229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9.546999999999997</v>
      </c>
      <c r="CT79" s="12">
        <f>IF('Données projet'!$A$140&gt;35,CT78+CS79-DB78,IF(A79&lt;'Données projet'!$A$140,$CQ$205^A79,IF(A79='Données projet'!$A$140,'Données projet'!$B$140,CT78+CS79-DB78)))</f>
        <v>278.71400000000028</v>
      </c>
      <c r="CU79" s="17">
        <f>CT79*VLOOKUP('Données projet'!$B$13,Paramètres!$A$1:$I$89,3,0)*VLOOKUP('Données projet'!$B$13,Paramètres!$A$1:$I$89,5,0)</f>
        <v>269.5721808000003</v>
      </c>
      <c r="CV79" s="13">
        <f t="shared" si="95"/>
        <v>64.758466878308354</v>
      </c>
      <c r="CW79" s="20">
        <f t="shared" si="67"/>
        <v>582.29254470638762</v>
      </c>
      <c r="CX79" s="59">
        <f t="shared" si="68"/>
        <v>875.62587803972087</v>
      </c>
      <c r="CY79" s="59">
        <f ca="1">AVERAGE(OFFSET($CX$3,0,0,'Données projet'!$E$13+1,1))-AVERAGE(OFFSET($H$3,0,0,'Données projet'!$E$13+1,1))</f>
        <v>676.29219382388692</v>
      </c>
      <c r="CZ79" s="59">
        <f t="shared" si="96"/>
        <v>298.25577221580448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15.02665717402645</v>
      </c>
      <c r="DG79" s="21">
        <f>EXP(-LN(2)/25)*DG78+(1-EXP(-LN(2)/25))/(LN(2)/25)*Calculateur!DB79*Calculateur!DD79*VLOOKUP('Données projet'!$B$13,Paramètres!$A$1:$I$89,3,0)*0.475*44/12</f>
        <v>31.845265042151404</v>
      </c>
      <c r="DH79" s="21">
        <f>EXP(-LN(2)/2)*DH78+(1-EXP(-LN(2)/2))/(LN(2)/2)*DB79*DE79*VLOOKUP('Données projet'!$B$13,Paramètres!$A$1:$I$89,3,0)*0.475*44/12</f>
        <v>2.5136104167194953</v>
      </c>
      <c r="DI79" s="22">
        <f t="shared" si="69"/>
        <v>49.385532632897345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-1.1368683772161603E-13</v>
      </c>
      <c r="EK79" s="17">
        <f>EJ79*VLOOKUP('Données projet'!$B$15,Paramètres!$A$1:$I$89,3,0)*VLOOKUP('Données projet'!$B$15,Paramètres!$A$1:$I$89,5,0)</f>
        <v>-8.8675733422860506E-14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197.51452239559433</v>
      </c>
      <c r="EP79" s="59">
        <f t="shared" si="100"/>
        <v>196.65166921588821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23.99515265066146</v>
      </c>
      <c r="EW79" s="21">
        <f>EXP(-LN(2)/25)*EW78+(1-EXP(-LN(2)/25))/(LN(2)/25)*Calculateur!ER79*Calculateur!ET79*VLOOKUP('Données projet'!$B$15,Paramètres!$A$1:$I$89,3,0)*0.475*44/12</f>
        <v>22.350561245993347</v>
      </c>
      <c r="EX79" s="21">
        <f>EXP(-LN(2)/2)*EX78+(1-EXP(-LN(2)/2))/(LN(2)/2)*ER79*EU79*VLOOKUP('Données projet'!$B$15,Paramètres!$A$1:$I$89,3,0)*0.475*44/12</f>
        <v>3.4423874125763954</v>
      </c>
      <c r="EY79" s="22">
        <f t="shared" si="75"/>
        <v>49.788101309231202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857.13762225955929</v>
      </c>
      <c r="S80" s="59">
        <f ca="1">AVERAGE(OFFSET($R$3,0,0,'Données projet'!$E$9+1,1))-AVERAGE(OFFSET($H$3,0,0,'Données projet'!$E$9+1,1))</f>
        <v>635.71275911100679</v>
      </c>
      <c r="T80" s="59">
        <f t="shared" si="88"/>
        <v>281.7776857269169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9.546999999999997</v>
      </c>
      <c r="AI80" s="13">
        <f>IF('Données projet'!$A$62&gt;35,AI79+AH80-AQ79,IF(A80&lt;'Données projet'!$A$62,$AF$205^A80,IF(A80='Données projet'!$A$62,'Données projet'!$B$62,AI79+AH80-AQ79)))</f>
        <v>288.26100000000031</v>
      </c>
      <c r="AJ80" s="13">
        <f>AI80*VLOOKUP('Données projet'!$B$10,Paramètres!$A$1:$I$89,3,0)*VLOOKUP('Données projet'!$B$10,Paramètres!$A$1:$I$89,5,0)</f>
        <v>292.29665400000033</v>
      </c>
      <c r="AK80" s="13">
        <f t="shared" si="89"/>
        <v>69.559109473742168</v>
      </c>
      <c r="AL80" s="20">
        <f t="shared" si="58"/>
        <v>630.23212138343479</v>
      </c>
      <c r="AM80" s="59">
        <f t="shared" si="59"/>
        <v>923.56545471676804</v>
      </c>
      <c r="AN80" s="59">
        <f ca="1">AVERAGE(OFFSET($AM$3,0,0,'Données projet'!$E$10+1,1))-AVERAGE(OFFSET($H$3,0,0,'Données projet'!$E$10+1,1))</f>
        <v>706.69239849991595</v>
      </c>
      <c r="AO80" s="59">
        <f t="shared" si="90"/>
        <v>310.59887275116529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15.444831991822229</v>
      </c>
      <c r="AV80" s="21">
        <f>EXP(-LN(2)/25)*AV79+(1-EXP(-LN(2)/25))/(LN(2)/25)*Calculateur!AQ80*Calculateur!AS80*VLOOKUP('Données projet'!$B$10,Paramètres!$A$1:$I$89,3,0)*0.475*44/12</f>
        <v>32.473218526915566</v>
      </c>
      <c r="AW80" s="21">
        <f>EXP(-LN(2)/2)*AW79+(1-EXP(-LN(2)/2))/(LN(2)/2)*AQ80*AT80*VLOOKUP('Données projet'!$B$10,Paramètres!$A$1:$I$89,3,0)*0.475*44/12</f>
        <v>1.8633937598391517</v>
      </c>
      <c r="AX80" s="21">
        <f t="shared" si="60"/>
        <v>49.781444278576942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274.30916760000031</v>
      </c>
      <c r="BF80" s="13">
        <f t="shared" si="91"/>
        <v>65.762938951410732</v>
      </c>
      <c r="BG80" s="20">
        <f t="shared" si="61"/>
        <v>592.29225224370759</v>
      </c>
      <c r="BH80" s="59">
        <f t="shared" si="62"/>
        <v>885.62558557704097</v>
      </c>
      <c r="BI80" s="59">
        <f ca="1">AVERAGE(OFFSET($BH$3,0,0,'Données projet'!$E$11+1,1))-AVERAGE(OFFSET($H$3,0,0,'Données projet'!$E$11+1,1))</f>
        <v>666.1523645983184</v>
      </c>
      <c r="BJ80" s="59">
        <f t="shared" si="92"/>
        <v>294.13851344047526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14.494380792325472</v>
      </c>
      <c r="BQ80" s="21">
        <f>EXP(-LN(2)/25)*BQ79+(1-EXP(-LN(2)/25))/(LN(2)/25)*Calculateur!BL80*Calculateur!BN80*VLOOKUP('Données projet'!$B$11,Paramètres!$A$1:$I$89,3,0)*0.475*44/12</f>
        <v>30.474866617566903</v>
      </c>
      <c r="BR80" s="21">
        <f>EXP(-LN(2)/2)*BR79+(1-EXP(-LN(2)/2))/(LN(2)/2)*BL80*BO80*VLOOKUP('Données projet'!$B$11,Paramètres!$A$1:$I$89,3,0)*0.475*44/12</f>
        <v>1.7487233746182804</v>
      </c>
      <c r="BS80" s="22">
        <f t="shared" si="63"/>
        <v>46.717970784510655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9.546999999999997</v>
      </c>
      <c r="BY80" s="12">
        <f>IF('Données projet'!$A$114&gt;35,BY79+BX80-CG79,IF(A80&lt;'Données projet'!$A$114,$BV$205^A80,IF(A80='Données projet'!$A$114,'Données projet'!$B$114,BY79+BX80-CG79)))</f>
        <v>288.26100000000031</v>
      </c>
      <c r="BZ80" s="13">
        <f>BY80*VLOOKUP('Données projet'!$B$12,Paramètres!$A$1:$I$89,3,0)*VLOOKUP('Données projet'!$B$12,Paramètres!$A$1:$I$89,5,0)</f>
        <v>310.28414040000035</v>
      </c>
      <c r="CA80" s="13">
        <f t="shared" si="93"/>
        <v>73.328166831992391</v>
      </c>
      <c r="CB80" s="20">
        <f t="shared" si="64"/>
        <v>668.12476842905392</v>
      </c>
      <c r="CC80" s="59">
        <f t="shared" si="65"/>
        <v>961.45810176238729</v>
      </c>
      <c r="CD80" s="59">
        <f ca="1">AVERAGE(OFFSET($CC$3,0,0,'Données projet'!$E$12+1,1))-AVERAGE(OFFSET($H$3,0,0,'Données projet'!$E$12+1,1))</f>
        <v>747.18304127457918</v>
      </c>
      <c r="CE80" s="59">
        <f t="shared" si="94"/>
        <v>327.03701004966723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16.395283191318978</v>
      </c>
      <c r="CL80" s="21">
        <f>EXP(-LN(2)/25)*CL79+(1-EXP(-LN(2)/25))/(LN(2)/25)*Calculateur!CG80*Calculateur!CI80*VLOOKUP('Données projet'!$B$12,Paramètres!$A$1:$I$89,3,0)*0.475*44/12</f>
        <v>34.471570436264194</v>
      </c>
      <c r="CM80" s="21">
        <f>EXP(-LN(2)/2)*CM79+(1-EXP(-LN(2)/2))/(LN(2)/2)*CG80*CJ80*VLOOKUP('Données projet'!$B$12,Paramètres!$A$1:$I$89,3,0)*0.475*44/12</f>
        <v>1.9780641450600223</v>
      </c>
      <c r="CN80" s="22">
        <f t="shared" si="66"/>
        <v>52.844917772643193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9.546999999999997</v>
      </c>
      <c r="CT80" s="12">
        <f>IF('Données projet'!$A$140&gt;35,CT79+CS80-DB79,IF(A80&lt;'Données projet'!$A$140,$CQ$205^A80,IF(A80='Données projet'!$A$140,'Données projet'!$B$140,CT79+CS80-DB79)))</f>
        <v>288.26100000000031</v>
      </c>
      <c r="CU80" s="17">
        <f>CT80*VLOOKUP('Données projet'!$B$13,Paramètres!$A$1:$I$89,3,0)*VLOOKUP('Données projet'!$B$13,Paramètres!$A$1:$I$89,5,0)</f>
        <v>278.80603920000027</v>
      </c>
      <c r="CV80" s="13">
        <f t="shared" si="95"/>
        <v>66.714627923522158</v>
      </c>
      <c r="CW80" s="20">
        <f t="shared" si="67"/>
        <v>601.78182857346826</v>
      </c>
      <c r="CX80" s="59">
        <f t="shared" si="68"/>
        <v>895.11516190680163</v>
      </c>
      <c r="CY80" s="59">
        <f ca="1">AVERAGE(OFFSET($CX$3,0,0,'Données projet'!$E$13+1,1))-AVERAGE(OFFSET($H$3,0,0,'Données projet'!$E$13+1,1))</f>
        <v>676.29219382388692</v>
      </c>
      <c r="CZ80" s="59">
        <f t="shared" si="96"/>
        <v>298.25577221580448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14.731993592199665</v>
      </c>
      <c r="DG80" s="21">
        <f>EXP(-LN(2)/25)*DG79+(1-EXP(-LN(2)/25))/(LN(2)/25)*Calculateur!DB80*Calculateur!DD80*VLOOKUP('Données projet'!$B$13,Paramètres!$A$1:$I$89,3,0)*0.475*44/12</f>
        <v>30.974454594904067</v>
      </c>
      <c r="DH80" s="21">
        <f>EXP(-LN(2)/2)*DH79+(1-EXP(-LN(2)/2))/(LN(2)/2)*DB80*DE80*VLOOKUP('Données projet'!$B$13,Paramètres!$A$1:$I$89,3,0)*0.475*44/12</f>
        <v>1.7773909709234987</v>
      </c>
      <c r="DI80" s="22">
        <f t="shared" si="69"/>
        <v>47.48383915802723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-1.1368683772161603E-13</v>
      </c>
      <c r="EK80" s="17">
        <f>EJ80*VLOOKUP('Données projet'!$B$15,Paramètres!$A$1:$I$89,3,0)*VLOOKUP('Données projet'!$B$15,Paramètres!$A$1:$I$89,5,0)</f>
        <v>-8.8675733422860506E-14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197.51452239559433</v>
      </c>
      <c r="EP80" s="59">
        <f t="shared" si="100"/>
        <v>196.65166921588821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23.52462234277996</v>
      </c>
      <c r="EW80" s="21">
        <f>EXP(-LN(2)/25)*EW79+(1-EXP(-LN(2)/25))/(LN(2)/25)*Calculateur!ER80*Calculateur!ET80*VLOOKUP('Données projet'!$B$15,Paramètres!$A$1:$I$89,3,0)*0.475*44/12</f>
        <v>21.739383973356727</v>
      </c>
      <c r="EX80" s="21">
        <f>EXP(-LN(2)/2)*EX79+(1-EXP(-LN(2)/2))/(LN(2)/2)*ER80*EU80*VLOOKUP('Données projet'!$B$15,Paramètres!$A$1:$I$89,3,0)*0.475*44/12</f>
        <v>2.434135482903983</v>
      </c>
      <c r="EY80" s="22">
        <f t="shared" si="75"/>
        <v>47.69814179904067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875.38200976703661</v>
      </c>
      <c r="S81" s="59">
        <f ca="1">AVERAGE(OFFSET($R$3,0,0,'Données projet'!$E$9+1,1))-AVERAGE(OFFSET($H$3,0,0,'Données projet'!$E$9+1,1))</f>
        <v>635.71275911100679</v>
      </c>
      <c r="T81" s="59">
        <f t="shared" si="88"/>
        <v>281.7776857269169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9.546999999999997</v>
      </c>
      <c r="AI81" s="13">
        <f>IF('Données projet'!$A$62&gt;35,AI80+AH81-AQ80,IF(A81&lt;'Données projet'!$A$62,$AF$205^A81,IF(A81='Données projet'!$A$62,'Données projet'!$B$62,AI80+AH81-AQ80)))</f>
        <v>297.80800000000033</v>
      </c>
      <c r="AJ81" s="13">
        <f>AI81*VLOOKUP('Données projet'!$B$10,Paramètres!$A$1:$I$89,3,0)*VLOOKUP('Données projet'!$B$10,Paramètres!$A$1:$I$89,5,0)</f>
        <v>301.97731200000038</v>
      </c>
      <c r="AK81" s="13">
        <f t="shared" si="89"/>
        <v>71.590825399464663</v>
      </c>
      <c r="AL81" s="20">
        <f t="shared" si="58"/>
        <v>650.63117263740162</v>
      </c>
      <c r="AM81" s="59">
        <f t="shared" si="59"/>
        <v>943.96450597073499</v>
      </c>
      <c r="AN81" s="59">
        <f ca="1">AVERAGE(OFFSET($AM$3,0,0,'Données projet'!$E$10+1,1))-AVERAGE(OFFSET($H$3,0,0,'Données projet'!$E$10+1,1))</f>
        <v>706.69239849991595</v>
      </c>
      <c r="AO81" s="59">
        <f t="shared" si="90"/>
        <v>310.59887275116529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15.14196825687992</v>
      </c>
      <c r="AV81" s="21">
        <f>EXP(-LN(2)/25)*AV80+(1-EXP(-LN(2)/25))/(LN(2)/25)*Calculateur!AQ81*Calculateur!AS81*VLOOKUP('Données projet'!$B$10,Paramètres!$A$1:$I$89,3,0)*0.475*44/12</f>
        <v>31.585236658604718</v>
      </c>
      <c r="AW81" s="21">
        <f>EXP(-LN(2)/2)*AW80+(1-EXP(-LN(2)/2))/(LN(2)/2)*AQ81*AT81*VLOOKUP('Données projet'!$B$10,Paramètres!$A$1:$I$89,3,0)*0.475*44/12</f>
        <v>1.3176183636029613</v>
      </c>
      <c r="AX81" s="21">
        <f t="shared" si="60"/>
        <v>48.044823279087595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283.39409280000029</v>
      </c>
      <c r="BF81" s="13">
        <f t="shared" si="91"/>
        <v>67.683774502652653</v>
      </c>
      <c r="BG81" s="20">
        <f t="shared" si="61"/>
        <v>611.46061888545398</v>
      </c>
      <c r="BH81" s="59">
        <f t="shared" si="62"/>
        <v>904.79395221878735</v>
      </c>
      <c r="BI81" s="59">
        <f ca="1">AVERAGE(OFFSET($BH$3,0,0,'Données projet'!$E$11+1,1))-AVERAGE(OFFSET($H$3,0,0,'Données projet'!$E$11+1,1))</f>
        <v>666.1523645983184</v>
      </c>
      <c r="BJ81" s="59">
        <f t="shared" si="92"/>
        <v>294.13851344047526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14.210154825687306</v>
      </c>
      <c r="BQ81" s="21">
        <f>EXP(-LN(2)/25)*BQ80+(1-EXP(-LN(2)/25))/(LN(2)/25)*Calculateur!BL81*Calculateur!BN81*VLOOKUP('Données projet'!$B$11,Paramètres!$A$1:$I$89,3,0)*0.475*44/12</f>
        <v>29.641529787305952</v>
      </c>
      <c r="BR81" s="21">
        <f>EXP(-LN(2)/2)*BR80+(1-EXP(-LN(2)/2))/(LN(2)/2)*BL81*BO81*VLOOKUP('Données projet'!$B$11,Paramètres!$A$1:$I$89,3,0)*0.475*44/12</f>
        <v>1.2365341566120094</v>
      </c>
      <c r="BS81" s="22">
        <f t="shared" si="63"/>
        <v>45.08821876960527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9.546999999999997</v>
      </c>
      <c r="BY81" s="12">
        <f>IF('Données projet'!$A$114&gt;35,BY80+BX81-CG80,IF(A81&lt;'Données projet'!$A$114,$BV$205^A81,IF(A81='Données projet'!$A$114,'Données projet'!$B$114,BY80+BX81-CG80)))</f>
        <v>297.80800000000033</v>
      </c>
      <c r="BZ81" s="13">
        <f>BY81*VLOOKUP('Données projet'!$B$12,Paramètres!$A$1:$I$89,3,0)*VLOOKUP('Données projet'!$B$12,Paramètres!$A$1:$I$89,5,0)</f>
        <v>320.56053120000036</v>
      </c>
      <c r="CA81" s="13">
        <f t="shared" si="93"/>
        <v>75.469971197858072</v>
      </c>
      <c r="CB81" s="20">
        <f t="shared" si="64"/>
        <v>689.75312500960342</v>
      </c>
      <c r="CC81" s="59">
        <f t="shared" si="65"/>
        <v>983.08645834293679</v>
      </c>
      <c r="CD81" s="59">
        <f ca="1">AVERAGE(OFFSET($CC$3,0,0,'Données projet'!$E$12+1,1))-AVERAGE(OFFSET($H$3,0,0,'Données projet'!$E$12+1,1))</f>
        <v>747.18304127457918</v>
      </c>
      <c r="CE81" s="59">
        <f t="shared" si="94"/>
        <v>327.03701004966723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16.073781688072529</v>
      </c>
      <c r="CL81" s="21">
        <f>EXP(-LN(2)/25)*CL80+(1-EXP(-LN(2)/25))/(LN(2)/25)*Calculateur!CG81*Calculateur!CI81*VLOOKUP('Données projet'!$B$12,Paramètres!$A$1:$I$89,3,0)*0.475*44/12</f>
        <v>33.528943529903444</v>
      </c>
      <c r="CM81" s="21">
        <f>EXP(-LN(2)/2)*CM80+(1-EXP(-LN(2)/2))/(LN(2)/2)*CG81*CJ81*VLOOKUP('Données projet'!$B$12,Paramètres!$A$1:$I$89,3,0)*0.475*44/12</f>
        <v>1.3987025705939125</v>
      </c>
      <c r="CN81" s="22">
        <f t="shared" si="66"/>
        <v>51.001427788569885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9.546999999999997</v>
      </c>
      <c r="CT81" s="12">
        <f>IF('Données projet'!$A$140&gt;35,CT80+CS81-DB80,IF(A81&lt;'Données projet'!$A$140,$CQ$205^A81,IF(A81='Données projet'!$A$140,'Données projet'!$B$140,CT80+CS81-DB80)))</f>
        <v>297.80800000000033</v>
      </c>
      <c r="CU81" s="17">
        <f>CT81*VLOOKUP('Données projet'!$B$13,Paramètres!$A$1:$I$89,3,0)*VLOOKUP('Données projet'!$B$13,Paramètres!$A$1:$I$89,5,0)</f>
        <v>288.03989760000036</v>
      </c>
      <c r="CV81" s="13">
        <f t="shared" si="95"/>
        <v>68.663260864000392</v>
      </c>
      <c r="CW81" s="20">
        <f t="shared" si="67"/>
        <v>621.25800099146807</v>
      </c>
      <c r="CX81" s="59">
        <f t="shared" si="68"/>
        <v>914.59133432480144</v>
      </c>
      <c r="CY81" s="59">
        <f ca="1">AVERAGE(OFFSET($CX$3,0,0,'Données projet'!$E$13+1,1))-AVERAGE(OFFSET($H$3,0,0,'Données projet'!$E$13+1,1))</f>
        <v>676.29219382388692</v>
      </c>
      <c r="CZ81" s="59">
        <f t="shared" si="96"/>
        <v>298.25577221580448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14.443108183485464</v>
      </c>
      <c r="DG81" s="21">
        <f>EXP(-LN(2)/25)*DG80+(1-EXP(-LN(2)/25))/(LN(2)/25)*Calculateur!DB81*Calculateur!DD81*VLOOKUP('Données projet'!$B$13,Paramètres!$A$1:$I$89,3,0)*0.475*44/12</f>
        <v>30.127456505130642</v>
      </c>
      <c r="DH81" s="21">
        <f>EXP(-LN(2)/2)*DH80+(1-EXP(-LN(2)/2))/(LN(2)/2)*DB81*DE81*VLOOKUP('Données projet'!$B$13,Paramètres!$A$1:$I$89,3,0)*0.475*44/12</f>
        <v>1.2568052083597478</v>
      </c>
      <c r="DI81" s="22">
        <f t="shared" si="69"/>
        <v>45.827369896975853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-1.1368683772161603E-13</v>
      </c>
      <c r="EK81" s="17">
        <f>EJ81*VLOOKUP('Données projet'!$B$15,Paramètres!$A$1:$I$89,3,0)*VLOOKUP('Données projet'!$B$15,Paramètres!$A$1:$I$89,5,0)</f>
        <v>-8.8675733422860506E-14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197.51452239559433</v>
      </c>
      <c r="EP81" s="59">
        <f t="shared" si="100"/>
        <v>196.65166921588821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23.063318847240868</v>
      </c>
      <c r="EW81" s="21">
        <f>EXP(-LN(2)/25)*EW80+(1-EXP(-LN(2)/25))/(LN(2)/25)*Calculateur!ER81*Calculateur!ET81*VLOOKUP('Données projet'!$B$15,Paramètres!$A$1:$I$89,3,0)*0.475*44/12</f>
        <v>21.14491937538077</v>
      </c>
      <c r="EX81" s="21">
        <f>EXP(-LN(2)/2)*EX80+(1-EXP(-LN(2)/2))/(LN(2)/2)*ER81*EU81*VLOOKUP('Données projet'!$B$15,Paramètres!$A$1:$I$89,3,0)*0.475*44/12</f>
        <v>1.7211937062881979</v>
      </c>
      <c r="EY81" s="22">
        <f t="shared" si="75"/>
        <v>45.929431928909835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893.61447786163762</v>
      </c>
      <c r="S82" s="59">
        <f ca="1">AVERAGE(OFFSET($R$3,0,0,'Données projet'!$E$9+1,1))-AVERAGE(OFFSET($H$3,0,0,'Données projet'!$E$9+1,1))</f>
        <v>635.71275911100679</v>
      </c>
      <c r="T82" s="59">
        <f t="shared" si="88"/>
        <v>281.7776857269169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9.546999999999997</v>
      </c>
      <c r="AI82" s="13">
        <f>IF('Données projet'!$A$62&gt;35,AI81+AH82-AQ81,IF(A82&lt;'Données projet'!$A$62,$AF$205^A82,IF(A82='Données projet'!$A$62,'Données projet'!$B$62,AI81+AH82-AQ81)))</f>
        <v>307.35500000000036</v>
      </c>
      <c r="AJ82" s="13">
        <f>AI82*VLOOKUP('Données projet'!$B$10,Paramètres!$A$1:$I$89,3,0)*VLOOKUP('Données projet'!$B$10,Paramètres!$A$1:$I$89,5,0)</f>
        <v>311.65797000000038</v>
      </c>
      <c r="AK82" s="13">
        <f t="shared" si="89"/>
        <v>73.614972733257659</v>
      </c>
      <c r="AL82" s="20">
        <f t="shared" si="58"/>
        <v>671.0170419270911</v>
      </c>
      <c r="AM82" s="59">
        <f t="shared" si="59"/>
        <v>964.35037526042447</v>
      </c>
      <c r="AN82" s="59">
        <f ca="1">AVERAGE(OFFSET($AM$3,0,0,'Données projet'!$E$10+1,1))-AVERAGE(OFFSET($H$3,0,0,'Données projet'!$E$10+1,1))</f>
        <v>706.69239849991595</v>
      </c>
      <c r="AO82" s="59">
        <f t="shared" si="90"/>
        <v>310.59887275116529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14.845043495051193</v>
      </c>
      <c r="AV82" s="21">
        <f>EXP(-LN(2)/25)*AV81+(1-EXP(-LN(2)/25))/(LN(2)/25)*Calculateur!AQ82*Calculateur!AS82*VLOOKUP('Données projet'!$B$10,Paramètres!$A$1:$I$89,3,0)*0.475*44/12</f>
        <v>30.721536701179765</v>
      </c>
      <c r="AW82" s="21">
        <f>EXP(-LN(2)/2)*AW81+(1-EXP(-LN(2)/2))/(LN(2)/2)*AQ82*AT82*VLOOKUP('Données projet'!$B$10,Paramètres!$A$1:$I$89,3,0)*0.475*44/12</f>
        <v>0.93169687991957595</v>
      </c>
      <c r="AX82" s="21">
        <f t="shared" si="60"/>
        <v>46.498277076150536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292.47901800000034</v>
      </c>
      <c r="BF82" s="13">
        <f t="shared" si="91"/>
        <v>69.597454515924511</v>
      </c>
      <c r="BG82" s="20">
        <f t="shared" si="61"/>
        <v>630.61652296523562</v>
      </c>
      <c r="BH82" s="59">
        <f t="shared" si="62"/>
        <v>923.94985629856887</v>
      </c>
      <c r="BI82" s="59">
        <f ca="1">AVERAGE(OFFSET($BH$3,0,0,'Données projet'!$E$11+1,1))-AVERAGE(OFFSET($H$3,0,0,'Données projet'!$E$11+1,1))</f>
        <v>666.1523645983184</v>
      </c>
      <c r="BJ82" s="59">
        <f t="shared" si="92"/>
        <v>294.13851344047526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13.931502356894192</v>
      </c>
      <c r="BQ82" s="21">
        <f>EXP(-LN(2)/25)*BQ81+(1-EXP(-LN(2)/25))/(LN(2)/25)*Calculateur!BL82*Calculateur!BN82*VLOOKUP('Données projet'!$B$11,Paramètres!$A$1:$I$89,3,0)*0.475*44/12</f>
        <v>28.830980596491766</v>
      </c>
      <c r="BR82" s="21">
        <f>EXP(-LN(2)/2)*BR81+(1-EXP(-LN(2)/2))/(LN(2)/2)*BL82*BO82*VLOOKUP('Données projet'!$B$11,Paramètres!$A$1:$I$89,3,0)*0.475*44/12</f>
        <v>0.87436168730914021</v>
      </c>
      <c r="BS82" s="22">
        <f t="shared" si="63"/>
        <v>43.636844640695095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9.546999999999997</v>
      </c>
      <c r="BY82" s="12">
        <f>IF('Données projet'!$A$114&gt;35,BY81+BX82-CG81,IF(A82&lt;'Données projet'!$A$114,$BV$205^A82,IF(A82='Données projet'!$A$114,'Données projet'!$B$114,BY81+BX82-CG81)))</f>
        <v>307.35500000000036</v>
      </c>
      <c r="BZ82" s="13">
        <f>BY82*VLOOKUP('Données projet'!$B$12,Paramètres!$A$1:$I$89,3,0)*VLOOKUP('Données projet'!$B$12,Paramètres!$A$1:$I$89,5,0)</f>
        <v>330.83692200000036</v>
      </c>
      <c r="CA82" s="13">
        <f t="shared" si="93"/>
        <v>77.603796867965812</v>
      </c>
      <c r="CB82" s="20">
        <f t="shared" si="64"/>
        <v>711.36758536170771</v>
      </c>
      <c r="CC82" s="59">
        <f t="shared" si="65"/>
        <v>1004.7009186950411</v>
      </c>
      <c r="CD82" s="59">
        <f ca="1">AVERAGE(OFFSET($CC$3,0,0,'Données projet'!$E$12+1,1))-AVERAGE(OFFSET($H$3,0,0,'Données projet'!$E$12+1,1))</f>
        <v>747.18304127457918</v>
      </c>
      <c r="CE82" s="59">
        <f t="shared" si="94"/>
        <v>327.03701004966723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15.758584633208189</v>
      </c>
      <c r="CL82" s="21">
        <f>EXP(-LN(2)/25)*CL81+(1-EXP(-LN(2)/25))/(LN(2)/25)*Calculateur!CG82*Calculateur!CI82*VLOOKUP('Données projet'!$B$12,Paramètres!$A$1:$I$89,3,0)*0.475*44/12</f>
        <v>32.612092805867725</v>
      </c>
      <c r="CM82" s="21">
        <f>EXP(-LN(2)/2)*CM81+(1-EXP(-LN(2)/2))/(LN(2)/2)*CG82*CJ82*VLOOKUP('Données projet'!$B$12,Paramètres!$A$1:$I$89,3,0)*0.475*44/12</f>
        <v>0.98903207253001124</v>
      </c>
      <c r="CN82" s="22">
        <f t="shared" si="66"/>
        <v>49.359709511605921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9.546999999999997</v>
      </c>
      <c r="CT82" s="12">
        <f>IF('Données projet'!$A$140&gt;35,CT81+CS82-DB81,IF(A82&lt;'Données projet'!$A$140,$CQ$205^A82,IF(A82='Données projet'!$A$140,'Données projet'!$B$140,CT81+CS82-DB81)))</f>
        <v>307.35500000000036</v>
      </c>
      <c r="CU82" s="17">
        <f>CT82*VLOOKUP('Données projet'!$B$13,Paramètres!$A$1:$I$89,3,0)*VLOOKUP('Données projet'!$B$13,Paramètres!$A$1:$I$89,5,0)</f>
        <v>297.27375600000039</v>
      </c>
      <c r="CV82" s="13">
        <f t="shared" si="95"/>
        <v>70.604634715075505</v>
      </c>
      <c r="CW82" s="20">
        <f t="shared" si="67"/>
        <v>640.72153049542385</v>
      </c>
      <c r="CX82" s="59">
        <f t="shared" si="68"/>
        <v>934.05486382875711</v>
      </c>
      <c r="CY82" s="59">
        <f ca="1">AVERAGE(OFFSET($CX$3,0,0,'Données projet'!$E$13+1,1))-AVERAGE(OFFSET($H$3,0,0,'Données projet'!$E$13+1,1))</f>
        <v>676.29219382388692</v>
      </c>
      <c r="CZ82" s="59">
        <f t="shared" si="96"/>
        <v>298.25577221580448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14.159887641433448</v>
      </c>
      <c r="DG82" s="21">
        <f>EXP(-LN(2)/25)*DG81+(1-EXP(-LN(2)/25))/(LN(2)/25)*Calculateur!DB82*Calculateur!DD82*VLOOKUP('Données projet'!$B$13,Paramètres!$A$1:$I$89,3,0)*0.475*44/12</f>
        <v>29.303619622663764</v>
      </c>
      <c r="DH82" s="21">
        <f>EXP(-LN(2)/2)*DH81+(1-EXP(-LN(2)/2))/(LN(2)/2)*DB82*DE82*VLOOKUP('Données projet'!$B$13,Paramètres!$A$1:$I$89,3,0)*0.475*44/12</f>
        <v>0.88869548546174959</v>
      </c>
      <c r="DI82" s="22">
        <f t="shared" si="69"/>
        <v>44.352202749558963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-1.1368683772161603E-13</v>
      </c>
      <c r="EK82" s="17">
        <f>EJ82*VLOOKUP('Données projet'!$B$15,Paramètres!$A$1:$I$89,3,0)*VLOOKUP('Données projet'!$B$15,Paramètres!$A$1:$I$89,5,0)</f>
        <v>-8.8675733422860506E-14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197.51452239559433</v>
      </c>
      <c r="EP82" s="59">
        <f t="shared" si="100"/>
        <v>196.65166921588821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22.611061231881948</v>
      </c>
      <c r="EW82" s="21">
        <f>EXP(-LN(2)/25)*EW81+(1-EXP(-LN(2)/25))/(LN(2)/25)*Calculateur!ER82*Calculateur!ET82*VLOOKUP('Données projet'!$B$15,Paramètres!$A$1:$I$89,3,0)*0.475*44/12</f>
        <v>20.566710443098</v>
      </c>
      <c r="EX82" s="21">
        <f>EXP(-LN(2)/2)*EX81+(1-EXP(-LN(2)/2))/(LN(2)/2)*ER82*EU82*VLOOKUP('Données projet'!$B$15,Paramètres!$A$1:$I$89,3,0)*0.475*44/12</f>
        <v>1.2170677414519915</v>
      </c>
      <c r="EY82" s="22">
        <f t="shared" si="75"/>
        <v>44.394839416431942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911.83543926588413</v>
      </c>
      <c r="S83" s="59">
        <f ca="1">AVERAGE(OFFSET($R$3,0,0,'Données projet'!$E$9+1,1))-AVERAGE(OFFSET($H$3,0,0,'Données projet'!$E$9+1,1))</f>
        <v>635.71275911100679</v>
      </c>
      <c r="T83" s="59">
        <f t="shared" si="88"/>
        <v>281.7776857269169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9.546999999999997</v>
      </c>
      <c r="AI83" s="13">
        <f>IF('Données projet'!$A$62&gt;35,AI82+AH83-AQ82,IF(A83&lt;'Données projet'!$A$62,$AF$205^A83,IF(A83='Données projet'!$A$62,'Données projet'!$B$62,AI82+AH83-AQ82)))</f>
        <v>316.90200000000038</v>
      </c>
      <c r="AJ83" s="13">
        <f>AI83*VLOOKUP('Données projet'!$B$10,Paramètres!$A$1:$I$89,3,0)*VLOOKUP('Données projet'!$B$10,Paramètres!$A$1:$I$89,5,0)</f>
        <v>321.33862800000043</v>
      </c>
      <c r="AK83" s="13">
        <f t="shared" si="89"/>
        <v>75.631813545776993</v>
      </c>
      <c r="AL83" s="20">
        <f t="shared" si="58"/>
        <v>691.39018569222901</v>
      </c>
      <c r="AM83" s="59">
        <f t="shared" si="59"/>
        <v>984.72351902556238</v>
      </c>
      <c r="AN83" s="59">
        <f ca="1">AVERAGE(OFFSET($AM$3,0,0,'Données projet'!$E$10+1,1))-AVERAGE(OFFSET($H$3,0,0,'Données projet'!$E$10+1,1))</f>
        <v>706.69239849991595</v>
      </c>
      <c r="AO83" s="59">
        <f t="shared" si="90"/>
        <v>310.59887275116529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14.553941246695706</v>
      </c>
      <c r="AV83" s="21">
        <f>EXP(-LN(2)/25)*AV82+(1-EXP(-LN(2)/25))/(LN(2)/25)*Calculateur!AQ83*Calculateur!AS83*VLOOKUP('Données projet'!$B$10,Paramètres!$A$1:$I$89,3,0)*0.475*44/12</f>
        <v>29.881454664510606</v>
      </c>
      <c r="AW83" s="21">
        <f>EXP(-LN(2)/2)*AW82+(1-EXP(-LN(2)/2))/(LN(2)/2)*AQ83*AT83*VLOOKUP('Données projet'!$B$10,Paramètres!$A$1:$I$89,3,0)*0.475*44/12</f>
        <v>0.65880918180148063</v>
      </c>
      <c r="AX83" s="21">
        <f t="shared" si="60"/>
        <v>45.094205093007794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301.56394320000038</v>
      </c>
      <c r="BF83" s="13">
        <f t="shared" si="91"/>
        <v>71.504226759443313</v>
      </c>
      <c r="BG83" s="20">
        <f t="shared" si="61"/>
        <v>649.76039601269781</v>
      </c>
      <c r="BH83" s="59">
        <f t="shared" si="62"/>
        <v>943.09372934603107</v>
      </c>
      <c r="BI83" s="59">
        <f ca="1">AVERAGE(OFFSET($BH$3,0,0,'Données projet'!$E$11+1,1))-AVERAGE(OFFSET($H$3,0,0,'Données projet'!$E$11+1,1))</f>
        <v>666.1523645983184</v>
      </c>
      <c r="BJ83" s="59">
        <f t="shared" si="92"/>
        <v>294.13851344047526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13.658314093052889</v>
      </c>
      <c r="BQ83" s="21">
        <f>EXP(-LN(2)/25)*BQ82+(1-EXP(-LN(2)/25))/(LN(2)/25)*Calculateur!BL83*Calculateur!BN83*VLOOKUP('Données projet'!$B$11,Paramètres!$A$1:$I$89,3,0)*0.475*44/12</f>
        <v>28.042595915925325</v>
      </c>
      <c r="BR83" s="21">
        <f>EXP(-LN(2)/2)*BR82+(1-EXP(-LN(2)/2))/(LN(2)/2)*BL83*BO83*VLOOKUP('Données projet'!$B$11,Paramètres!$A$1:$I$89,3,0)*0.475*44/12</f>
        <v>0.61826707830600469</v>
      </c>
      <c r="BS83" s="22">
        <f t="shared" si="63"/>
        <v>42.319177087284217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9.546999999999997</v>
      </c>
      <c r="BY83" s="12">
        <f>IF('Données projet'!$A$114&gt;35,BY82+BX83-CG82,IF(A83&lt;'Données projet'!$A$114,$BV$205^A83,IF(A83='Données projet'!$A$114,'Données projet'!$B$114,BY82+BX83-CG82)))</f>
        <v>316.90200000000038</v>
      </c>
      <c r="BZ83" s="13">
        <f>BY83*VLOOKUP('Données projet'!$B$12,Paramètres!$A$1:$I$89,3,0)*VLOOKUP('Données projet'!$B$12,Paramètres!$A$1:$I$89,5,0)</f>
        <v>341.11331280000041</v>
      </c>
      <c r="CA83" s="13">
        <f t="shared" si="93"/>
        <v>79.729920113258586</v>
      </c>
      <c r="CB83" s="20">
        <f t="shared" si="64"/>
        <v>732.96863065725938</v>
      </c>
      <c r="CC83" s="59">
        <f t="shared" si="65"/>
        <v>1026.3019639905926</v>
      </c>
      <c r="CD83" s="59">
        <f ca="1">AVERAGE(OFFSET($CC$3,0,0,'Données projet'!$E$12+1,1))-AVERAGE(OFFSET($H$3,0,0,'Données projet'!$E$12+1,1))</f>
        <v>747.18304127457918</v>
      </c>
      <c r="CE83" s="59">
        <f t="shared" si="94"/>
        <v>327.03701004966723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15.449568400338517</v>
      </c>
      <c r="CL83" s="21">
        <f>EXP(-LN(2)/25)*CL82+(1-EXP(-LN(2)/25))/(LN(2)/25)*Calculateur!CG83*Calculateur!CI83*VLOOKUP('Données projet'!$B$12,Paramètres!$A$1:$I$89,3,0)*0.475*44/12</f>
        <v>31.720313413095848</v>
      </c>
      <c r="CM83" s="21">
        <f>EXP(-LN(2)/2)*CM82+(1-EXP(-LN(2)/2))/(LN(2)/2)*CG83*CJ83*VLOOKUP('Données projet'!$B$12,Paramètres!$A$1:$I$89,3,0)*0.475*44/12</f>
        <v>0.69935128529695634</v>
      </c>
      <c r="CN83" s="22">
        <f t="shared" si="66"/>
        <v>47.869233098731321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9.546999999999997</v>
      </c>
      <c r="CT83" s="12">
        <f>IF('Données projet'!$A$140&gt;35,CT82+CS83-DB82,IF(A83&lt;'Données projet'!$A$140,$CQ$205^A83,IF(A83='Données projet'!$A$140,'Données projet'!$B$140,CT82+CS83-DB82)))</f>
        <v>316.90200000000038</v>
      </c>
      <c r="CU83" s="17">
        <f>CT83*VLOOKUP('Données projet'!$B$13,Paramètres!$A$1:$I$89,3,0)*VLOOKUP('Données projet'!$B$13,Paramètres!$A$1:$I$89,5,0)</f>
        <v>306.50761440000036</v>
      </c>
      <c r="CV83" s="13">
        <f t="shared" si="95"/>
        <v>72.539000830544367</v>
      </c>
      <c r="CW83" s="20">
        <f t="shared" si="67"/>
        <v>660.17285485986531</v>
      </c>
      <c r="CX83" s="59">
        <f t="shared" si="68"/>
        <v>953.50618819319857</v>
      </c>
      <c r="CY83" s="59">
        <f ca="1">AVERAGE(OFFSET($CX$3,0,0,'Données projet'!$E$13+1,1))-AVERAGE(OFFSET($H$3,0,0,'Données projet'!$E$13+1,1))</f>
        <v>676.29219382388692</v>
      </c>
      <c r="CZ83" s="59">
        <f t="shared" si="96"/>
        <v>298.25577221580448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13.882220881463597</v>
      </c>
      <c r="DG83" s="21">
        <f>EXP(-LN(2)/25)*DG82+(1-EXP(-LN(2)/25))/(LN(2)/25)*Calculateur!DB83*Calculateur!DD83*VLOOKUP('Données projet'!$B$13,Paramètres!$A$1:$I$89,3,0)*0.475*44/12</f>
        <v>28.502310603071642</v>
      </c>
      <c r="DH83" s="21">
        <f>EXP(-LN(2)/2)*DH82+(1-EXP(-LN(2)/2))/(LN(2)/2)*DB83*DE83*VLOOKUP('Données projet'!$B$13,Paramètres!$A$1:$I$89,3,0)*0.475*44/12</f>
        <v>0.62840260417987404</v>
      </c>
      <c r="DI83" s="22">
        <f t="shared" si="69"/>
        <v>43.012934088715113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-1.1368683772161603E-13</v>
      </c>
      <c r="EK83" s="17">
        <f>EJ83*VLOOKUP('Données projet'!$B$15,Paramètres!$A$1:$I$89,3,0)*VLOOKUP('Données projet'!$B$15,Paramètres!$A$1:$I$89,5,0)</f>
        <v>-8.8675733422860506E-14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197.51452239559433</v>
      </c>
      <c r="EP83" s="59">
        <f t="shared" si="100"/>
        <v>196.65166921588821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22.167672112510306</v>
      </c>
      <c r="EW83" s="21">
        <f>EXP(-LN(2)/25)*EW82+(1-EXP(-LN(2)/25))/(LN(2)/25)*Calculateur!ER83*Calculateur!ET83*VLOOKUP('Données projet'!$B$15,Paramètres!$A$1:$I$89,3,0)*0.475*44/12</f>
        <v>20.00431266447519</v>
      </c>
      <c r="EX83" s="21">
        <f>EXP(-LN(2)/2)*EX82+(1-EXP(-LN(2)/2))/(LN(2)/2)*ER83*EU83*VLOOKUP('Données projet'!$B$15,Paramètres!$A$1:$I$89,3,0)*0.475*44/12</f>
        <v>0.86059685314409895</v>
      </c>
      <c r="EY83" s="22">
        <f t="shared" si="75"/>
        <v>43.032581630129599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930.04528042166839</v>
      </c>
      <c r="S84" s="59">
        <f ca="1">AVERAGE(OFFSET($R$3,0,0,'Données projet'!$E$9+1,1))-AVERAGE(OFFSET($H$3,0,0,'Données projet'!$E$9+1,1))</f>
        <v>635.71275911100679</v>
      </c>
      <c r="T84" s="59">
        <f t="shared" si="88"/>
        <v>281.7776857269169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9.546999999999997</v>
      </c>
      <c r="AI84" s="13">
        <f>IF('Données projet'!$A$62&gt;35,AI83+AH84-AQ83,IF(A84&lt;'Données projet'!$A$62,$AF$205^A84,IF(A84='Données projet'!$A$62,'Données projet'!$B$62,AI83+AH84-AQ83)))</f>
        <v>326.44900000000041</v>
      </c>
      <c r="AJ84" s="13">
        <f>AI84*VLOOKUP('Données projet'!$B$10,Paramètres!$A$1:$I$89,3,0)*VLOOKUP('Données projet'!$B$10,Paramètres!$A$1:$I$89,5,0)</f>
        <v>331.01928600000042</v>
      </c>
      <c r="AK84" s="13">
        <f t="shared" si="89"/>
        <v>77.641593219997347</v>
      </c>
      <c r="AL84" s="20">
        <f t="shared" si="58"/>
        <v>711.75103130816262</v>
      </c>
      <c r="AM84" s="59">
        <f t="shared" si="59"/>
        <v>1005.084364641496</v>
      </c>
      <c r="AN84" s="59">
        <f ca="1">AVERAGE(OFFSET($AM$3,0,0,'Données projet'!$E$10+1,1))-AVERAGE(OFFSET($H$3,0,0,'Données projet'!$E$10+1,1))</f>
        <v>706.69239849991595</v>
      </c>
      <c r="AO84" s="59">
        <f t="shared" si="90"/>
        <v>310.59887275116529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14.268547335875629</v>
      </c>
      <c r="AV84" s="21">
        <f>EXP(-LN(2)/25)*AV83+(1-EXP(-LN(2)/25))/(LN(2)/25)*Calculateur!AQ84*Calculateur!AS84*VLOOKUP('Données projet'!$B$10,Paramètres!$A$1:$I$89,3,0)*0.475*44/12</f>
        <v>29.064344715312156</v>
      </c>
      <c r="AW84" s="21">
        <f>EXP(-LN(2)/2)*AW83+(1-EXP(-LN(2)/2))/(LN(2)/2)*AQ84*AT84*VLOOKUP('Données projet'!$B$10,Paramètres!$A$1:$I$89,3,0)*0.475*44/12</f>
        <v>0.46584843995978797</v>
      </c>
      <c r="AX84" s="21">
        <f t="shared" si="60"/>
        <v>43.798740491147569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310.64886840000037</v>
      </c>
      <c r="BF84" s="13">
        <f t="shared" si="91"/>
        <v>73.404323224471185</v>
      </c>
      <c r="BG84" s="20">
        <f t="shared" si="61"/>
        <v>668.89264207928784</v>
      </c>
      <c r="BH84" s="59">
        <f t="shared" si="62"/>
        <v>962.22597541262121</v>
      </c>
      <c r="BI84" s="59">
        <f ca="1">AVERAGE(OFFSET($BH$3,0,0,'Données projet'!$E$11+1,1))-AVERAGE(OFFSET($H$3,0,0,'Données projet'!$E$11+1,1))</f>
        <v>666.1523645983184</v>
      </c>
      <c r="BJ84" s="59">
        <f t="shared" si="92"/>
        <v>294.13851344047526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13.390482884437125</v>
      </c>
      <c r="BQ84" s="21">
        <f>EXP(-LN(2)/25)*BQ83+(1-EXP(-LN(2)/25))/(LN(2)/25)*Calculateur!BL84*Calculateur!BN84*VLOOKUP('Données projet'!$B$11,Paramètres!$A$1:$I$89,3,0)*0.475*44/12</f>
        <v>27.27576965590832</v>
      </c>
      <c r="BR84" s="21">
        <f>EXP(-LN(2)/2)*BR83+(1-EXP(-LN(2)/2))/(LN(2)/2)*BL84*BO84*VLOOKUP('Données projet'!$B$11,Paramètres!$A$1:$I$89,3,0)*0.475*44/12</f>
        <v>0.43718084365457011</v>
      </c>
      <c r="BS84" s="22">
        <f t="shared" si="63"/>
        <v>41.10343338400002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9.546999999999997</v>
      </c>
      <c r="BY84" s="12">
        <f>IF('Données projet'!$A$114&gt;35,BY83+BX84-CG83,IF(A84&lt;'Données projet'!$A$114,$BV$205^A84,IF(A84='Données projet'!$A$114,'Données projet'!$B$114,BY83+BX84-CG83)))</f>
        <v>326.44900000000041</v>
      </c>
      <c r="BZ84" s="13">
        <f>BY84*VLOOKUP('Données projet'!$B$12,Paramètres!$A$1:$I$89,3,0)*VLOOKUP('Données projet'!$B$12,Paramètres!$A$1:$I$89,5,0)</f>
        <v>351.38970360000042</v>
      </c>
      <c r="CA84" s="13">
        <f t="shared" si="93"/>
        <v>81.848599612777036</v>
      </c>
      <c r="CB84" s="20">
        <f t="shared" si="64"/>
        <v>754.55671142892061</v>
      </c>
      <c r="CC84" s="59">
        <f t="shared" si="65"/>
        <v>1047.8900447622539</v>
      </c>
      <c r="CD84" s="59">
        <f ca="1">AVERAGE(OFFSET($CC$3,0,0,'Données projet'!$E$12+1,1))-AVERAGE(OFFSET($H$3,0,0,'Données projet'!$E$12+1,1))</f>
        <v>747.18304127457918</v>
      </c>
      <c r="CE84" s="59">
        <f t="shared" si="94"/>
        <v>327.03701004966723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15.146611787314129</v>
      </c>
      <c r="CL84" s="21">
        <f>EXP(-LN(2)/25)*CL83+(1-EXP(-LN(2)/25))/(LN(2)/25)*Calculateur!CG84*Calculateur!CI84*VLOOKUP('Données projet'!$B$12,Paramètres!$A$1:$I$89,3,0)*0.475*44/12</f>
        <v>30.852919774715957</v>
      </c>
      <c r="CM84" s="21">
        <f>EXP(-LN(2)/2)*CM83+(1-EXP(-LN(2)/2))/(LN(2)/2)*CG84*CJ84*VLOOKUP('Données projet'!$B$12,Paramètres!$A$1:$I$89,3,0)*0.475*44/12</f>
        <v>0.49451603626500573</v>
      </c>
      <c r="CN84" s="22">
        <f t="shared" si="66"/>
        <v>46.49404759829509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9.546999999999997</v>
      </c>
      <c r="CT84" s="12">
        <f>IF('Données projet'!$A$140&gt;35,CT83+CS84-DB83,IF(A84&lt;'Données projet'!$A$140,$CQ$205^A84,IF(A84='Données projet'!$A$140,'Données projet'!$B$140,CT83+CS84-DB83)))</f>
        <v>326.44900000000041</v>
      </c>
      <c r="CU84" s="17">
        <f>CT84*VLOOKUP('Données projet'!$B$13,Paramètres!$A$1:$I$89,3,0)*VLOOKUP('Données projet'!$B$13,Paramètres!$A$1:$I$89,5,0)</f>
        <v>315.74147280000039</v>
      </c>
      <c r="CV84" s="13">
        <f t="shared" si="95"/>
        <v>74.466594558932783</v>
      </c>
      <c r="CW84" s="20">
        <f t="shared" si="67"/>
        <v>679.6123839834753</v>
      </c>
      <c r="CX84" s="59">
        <f t="shared" si="68"/>
        <v>972.94571731680867</v>
      </c>
      <c r="CY84" s="59">
        <f ca="1">AVERAGE(OFFSET($CX$3,0,0,'Données projet'!$E$13+1,1))-AVERAGE(OFFSET($H$3,0,0,'Données projet'!$E$13+1,1))</f>
        <v>676.29219382388692</v>
      </c>
      <c r="CZ84" s="59">
        <f t="shared" si="96"/>
        <v>298.25577221580448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13.609998997296756</v>
      </c>
      <c r="DG84" s="21">
        <f>EXP(-LN(2)/25)*DG83+(1-EXP(-LN(2)/25))/(LN(2)/25)*Calculateur!DB84*Calculateur!DD84*VLOOKUP('Données projet'!$B$13,Paramètres!$A$1:$I$89,3,0)*0.475*44/12</f>
        <v>27.722913420759276</v>
      </c>
      <c r="DH84" s="21">
        <f>EXP(-LN(2)/2)*DH83+(1-EXP(-LN(2)/2))/(LN(2)/2)*DB84*DE84*VLOOKUP('Données projet'!$B$13,Paramètres!$A$1:$I$89,3,0)*0.475*44/12</f>
        <v>0.44434774273087485</v>
      </c>
      <c r="DI84" s="22">
        <f t="shared" si="69"/>
        <v>41.777260160786909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-1.1368683772161603E-13</v>
      </c>
      <c r="EK84" s="17">
        <f>EJ84*VLOOKUP('Données projet'!$B$15,Paramètres!$A$1:$I$89,3,0)*VLOOKUP('Données projet'!$B$15,Paramètres!$A$1:$I$89,5,0)</f>
        <v>-8.8675733422860506E-14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197.51452239559433</v>
      </c>
      <c r="EP84" s="59">
        <f t="shared" si="100"/>
        <v>196.65166921588821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21.732977583328886</v>
      </c>
      <c r="EW84" s="21">
        <f>EXP(-LN(2)/25)*EW83+(1-EXP(-LN(2)/25))/(LN(2)/25)*Calculateur!ER84*Calculateur!ET84*VLOOKUP('Données projet'!$B$15,Paramètres!$A$1:$I$89,3,0)*0.475*44/12</f>
        <v>19.457293682684032</v>
      </c>
      <c r="EX84" s="21">
        <f>EXP(-LN(2)/2)*EX83+(1-EXP(-LN(2)/2))/(LN(2)/2)*ER84*EU84*VLOOKUP('Données projet'!$B$15,Paramètres!$A$1:$I$89,3,0)*0.475*44/12</f>
        <v>0.60853387072599574</v>
      </c>
      <c r="EY84" s="22">
        <f t="shared" si="75"/>
        <v>41.798805136738906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948.24436388276013</v>
      </c>
      <c r="S85" s="59">
        <f ca="1">AVERAGE(OFFSET($R$3,0,0,'Données projet'!$E$9+1,1))-AVERAGE(OFFSET($H$3,0,0,'Données projet'!$E$9+1,1))</f>
        <v>635.71275911100679</v>
      </c>
      <c r="T85" s="59">
        <f t="shared" si="88"/>
        <v>281.7776857269169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9.546999999999997</v>
      </c>
      <c r="AI85" s="13">
        <f>IF('Données projet'!$A$62&gt;35,AI84+AH85-AQ84,IF(A85&lt;'Données projet'!$A$62,$AF$205^A85,IF(A85='Données projet'!$A$62,'Données projet'!$B$62,AI84+AH85-AQ84)))</f>
        <v>335.99600000000044</v>
      </c>
      <c r="AJ85" s="13">
        <f>AI85*VLOOKUP('Données projet'!$B$10,Paramètres!$A$1:$I$89,3,0)*VLOOKUP('Données projet'!$B$10,Paramètres!$A$1:$I$89,5,0)</f>
        <v>340.69994400000047</v>
      </c>
      <c r="AK85" s="13">
        <f t="shared" si="89"/>
        <v>79.644541970406692</v>
      </c>
      <c r="AL85" s="20">
        <f t="shared" si="58"/>
        <v>732.09997973179236</v>
      </c>
      <c r="AM85" s="59">
        <f t="shared" si="59"/>
        <v>1025.4333130651257</v>
      </c>
      <c r="AN85" s="59">
        <f ca="1">AVERAGE(OFFSET($AM$3,0,0,'Données projet'!$E$10+1,1))-AVERAGE(OFFSET($H$3,0,0,'Données projet'!$E$10+1,1))</f>
        <v>706.69239849991595</v>
      </c>
      <c r="AO85" s="59">
        <f t="shared" si="90"/>
        <v>310.59887275116529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13.988749825573638</v>
      </c>
      <c r="AV85" s="21">
        <f>EXP(-LN(2)/25)*AV84+(1-EXP(-LN(2)/25))/(LN(2)/25)*Calculateur!AQ85*Calculateur!AS85*VLOOKUP('Données projet'!$B$10,Paramètres!$A$1:$I$89,3,0)*0.475*44/12</f>
        <v>28.269578680644486</v>
      </c>
      <c r="AW85" s="21">
        <f>EXP(-LN(2)/2)*AW84+(1-EXP(-LN(2)/2))/(LN(2)/2)*AQ85*AT85*VLOOKUP('Données projet'!$B$10,Paramètres!$A$1:$I$89,3,0)*0.475*44/12</f>
        <v>0.32940459090074031</v>
      </c>
      <c r="AX85" s="21">
        <f t="shared" si="60"/>
        <v>42.587733097118864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319.73379360000041</v>
      </c>
      <c r="BF85" s="13">
        <f t="shared" si="91"/>
        <v>75.297961561599294</v>
      </c>
      <c r="BG85" s="20">
        <f t="shared" si="61"/>
        <v>688.01364023978613</v>
      </c>
      <c r="BH85" s="59">
        <f t="shared" si="62"/>
        <v>981.34697357311939</v>
      </c>
      <c r="BI85" s="59">
        <f ca="1">AVERAGE(OFFSET($BH$3,0,0,'Données projet'!$E$11+1,1))-AVERAGE(OFFSET($H$3,0,0,'Données projet'!$E$11+1,1))</f>
        <v>666.1523645983184</v>
      </c>
      <c r="BJ85" s="59">
        <f t="shared" si="92"/>
        <v>294.13851344047526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13.12790368246141</v>
      </c>
      <c r="BQ85" s="21">
        <f>EXP(-LN(2)/25)*BQ84+(1-EXP(-LN(2)/25))/(LN(2)/25)*Calculateur!BL85*Calculateur!BN85*VLOOKUP('Données projet'!$B$11,Paramètres!$A$1:$I$89,3,0)*0.475*44/12</f>
        <v>26.52991230029712</v>
      </c>
      <c r="BR85" s="21">
        <f>EXP(-LN(2)/2)*BR84+(1-EXP(-LN(2)/2))/(LN(2)/2)*BL85*BO85*VLOOKUP('Données projet'!$B$11,Paramètres!$A$1:$I$89,3,0)*0.475*44/12</f>
        <v>0.30913353915300235</v>
      </c>
      <c r="BS85" s="22">
        <f t="shared" si="63"/>
        <v>39.96694952191153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9.546999999999997</v>
      </c>
      <c r="BY85" s="12">
        <f>IF('Données projet'!$A$114&gt;35,BY84+BX85-CG84,IF(A85&lt;'Données projet'!$A$114,$BV$205^A85,IF(A85='Données projet'!$A$114,'Données projet'!$B$114,BY84+BX85-CG84)))</f>
        <v>335.99600000000044</v>
      </c>
      <c r="BZ85" s="13">
        <f>BY85*VLOOKUP('Données projet'!$B$12,Paramètres!$A$1:$I$89,3,0)*VLOOKUP('Données projet'!$B$12,Paramètres!$A$1:$I$89,5,0)</f>
        <v>361.66609440000047</v>
      </c>
      <c r="CA85" s="13">
        <f t="shared" si="93"/>
        <v>83.96007805517128</v>
      </c>
      <c r="CB85" s="20">
        <f t="shared" si="64"/>
        <v>776.13225035942412</v>
      </c>
      <c r="CC85" s="59">
        <f t="shared" si="65"/>
        <v>1069.4655836927575</v>
      </c>
      <c r="CD85" s="59">
        <f ca="1">AVERAGE(OFFSET($CC$3,0,0,'Données projet'!$E$12+1,1))-AVERAGE(OFFSET($H$3,0,0,'Données projet'!$E$12+1,1))</f>
        <v>747.18304127457918</v>
      </c>
      <c r="CE85" s="59">
        <f t="shared" si="94"/>
        <v>327.03701004966723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14.849595968685861</v>
      </c>
      <c r="CL85" s="21">
        <f>EXP(-LN(2)/25)*CL84+(1-EXP(-LN(2)/25))/(LN(2)/25)*Calculateur!CG85*Calculateur!CI85*VLOOKUP('Données projet'!$B$12,Paramètres!$A$1:$I$89,3,0)*0.475*44/12</f>
        <v>30.009245060991812</v>
      </c>
      <c r="CM85" s="21">
        <f>EXP(-LN(2)/2)*CM84+(1-EXP(-LN(2)/2))/(LN(2)/2)*CG85*CJ85*VLOOKUP('Données projet'!$B$12,Paramètres!$A$1:$I$89,3,0)*0.475*44/12</f>
        <v>0.34967564264847822</v>
      </c>
      <c r="CN85" s="22">
        <f t="shared" si="66"/>
        <v>45.208516672326155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9.546999999999997</v>
      </c>
      <c r="CT85" s="12">
        <f>IF('Données projet'!$A$140&gt;35,CT84+CS85-DB84,IF(A85&lt;'Données projet'!$A$140,$CQ$205^A85,IF(A85='Données projet'!$A$140,'Données projet'!$B$140,CT84+CS85-DB84)))</f>
        <v>335.99600000000044</v>
      </c>
      <c r="CU85" s="17">
        <f>CT85*VLOOKUP('Données projet'!$B$13,Paramètres!$A$1:$I$89,3,0)*VLOOKUP('Données projet'!$B$13,Paramètres!$A$1:$I$89,5,0)</f>
        <v>324.97533120000043</v>
      </c>
      <c r="CV85" s="13">
        <f t="shared" si="95"/>
        <v>76.387636700564656</v>
      </c>
      <c r="CW85" s="20">
        <f t="shared" si="67"/>
        <v>699.04050242681751</v>
      </c>
      <c r="CX85" s="59">
        <f t="shared" si="68"/>
        <v>992.37383576015077</v>
      </c>
      <c r="CY85" s="59">
        <f ca="1">AVERAGE(OFFSET($CX$3,0,0,'Données projet'!$E$13+1,1))-AVERAGE(OFFSET($H$3,0,0,'Données projet'!$E$13+1,1))</f>
        <v>676.29219382388692</v>
      </c>
      <c r="CZ85" s="59">
        <f t="shared" si="96"/>
        <v>298.25577221580448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13.343115218239472</v>
      </c>
      <c r="DG85" s="21">
        <f>EXP(-LN(2)/25)*DG84+(1-EXP(-LN(2)/25))/(LN(2)/25)*Calculateur!DB85*Calculateur!DD85*VLOOKUP('Données projet'!$B$13,Paramètres!$A$1:$I$89,3,0)*0.475*44/12</f>
        <v>26.96482889538396</v>
      </c>
      <c r="DH85" s="21">
        <f>EXP(-LN(2)/2)*DH84+(1-EXP(-LN(2)/2))/(LN(2)/2)*DB85*DE85*VLOOKUP('Données projet'!$B$13,Paramètres!$A$1:$I$89,3,0)*0.475*44/12</f>
        <v>0.31420130208993707</v>
      </c>
      <c r="DI85" s="22">
        <f t="shared" si="69"/>
        <v>40.622145415713369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-1.1368683772161603E-13</v>
      </c>
      <c r="EK85" s="17">
        <f>EJ85*VLOOKUP('Données projet'!$B$15,Paramètres!$A$1:$I$89,3,0)*VLOOKUP('Données projet'!$B$15,Paramètres!$A$1:$I$89,5,0)</f>
        <v>-8.8675733422860506E-14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197.51452239559433</v>
      </c>
      <c r="EP85" s="59">
        <f t="shared" si="100"/>
        <v>196.65166921588821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21.306807148727231</v>
      </c>
      <c r="EW85" s="21">
        <f>EXP(-LN(2)/25)*EW84+(1-EXP(-LN(2)/25))/(LN(2)/25)*Calculateur!ER85*Calculateur!ET85*VLOOKUP('Données projet'!$B$15,Paramètres!$A$1:$I$89,3,0)*0.475*44/12</f>
        <v>18.925232963716432</v>
      </c>
      <c r="EX85" s="21">
        <f>EXP(-LN(2)/2)*EX84+(1-EXP(-LN(2)/2))/(LN(2)/2)*ER85*EU85*VLOOKUP('Données projet'!$B$15,Paramètres!$A$1:$I$89,3,0)*0.475*44/12</f>
        <v>0.43029842657204947</v>
      </c>
      <c r="EY85" s="22">
        <f t="shared" si="75"/>
        <v>40.662338539015714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966.4330304277446</v>
      </c>
      <c r="S86" s="59">
        <f ca="1">AVERAGE(OFFSET($R$3,0,0,'Données projet'!$E$9+1,1))-AVERAGE(OFFSET($H$3,0,0,'Données projet'!$E$9+1,1))</f>
        <v>635.71275911100679</v>
      </c>
      <c r="T86" s="59">
        <f t="shared" si="88"/>
        <v>281.7776857269169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9.546999999999997</v>
      </c>
      <c r="AI86" s="13">
        <f>IF('Données projet'!$A$62&gt;35,AI85+AH86-AQ85,IF(A86&lt;'Données projet'!$A$62,$AF$205^A86,IF(A86='Données projet'!$A$62,'Données projet'!$B$62,AI85+AH86-AQ85)))</f>
        <v>345.54300000000046</v>
      </c>
      <c r="AJ86" s="13">
        <f>AI86*VLOOKUP('Données projet'!$B$10,Paramètres!$A$1:$I$89,3,0)*VLOOKUP('Données projet'!$B$10,Paramètres!$A$1:$I$89,5,0)</f>
        <v>350.38060200000047</v>
      </c>
      <c r="AK86" s="13">
        <f t="shared" si="89"/>
        <v>81.640876184681076</v>
      </c>
      <c r="AL86" s="20">
        <f t="shared" si="58"/>
        <v>752.43740783832027</v>
      </c>
      <c r="AM86" s="59">
        <f t="shared" si="59"/>
        <v>1045.7707411716535</v>
      </c>
      <c r="AN86" s="59">
        <f ca="1">AVERAGE(OFFSET($AM$3,0,0,'Données projet'!$E$10+1,1))-AVERAGE(OFFSET($H$3,0,0,'Données projet'!$E$10+1,1))</f>
        <v>706.69239849991595</v>
      </c>
      <c r="AO86" s="59">
        <f t="shared" si="90"/>
        <v>310.59887275116529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13.714438973789038</v>
      </c>
      <c r="AV86" s="21">
        <f>EXP(-LN(2)/25)*AV85+(1-EXP(-LN(2)/25))/(LN(2)/25)*Calculateur!AQ86*Calculateur!AS86*VLOOKUP('Données projet'!$B$10,Paramètres!$A$1:$I$89,3,0)*0.475*44/12</f>
        <v>27.496545564989731</v>
      </c>
      <c r="AW86" s="21">
        <f>EXP(-LN(2)/2)*AW85+(1-EXP(-LN(2)/2))/(LN(2)/2)*AQ86*AT86*VLOOKUP('Données projet'!$B$10,Paramètres!$A$1:$I$89,3,0)*0.475*44/12</f>
        <v>0.23292421997989399</v>
      </c>
      <c r="AX86" s="21">
        <f t="shared" si="60"/>
        <v>41.44390875875866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328.81871880000045</v>
      </c>
      <c r="BF86" s="13">
        <f t="shared" si="91"/>
        <v>77.185346349202092</v>
      </c>
      <c r="BG86" s="20">
        <f t="shared" si="61"/>
        <v>707.12374680152777</v>
      </c>
      <c r="BH86" s="59">
        <f t="shared" si="62"/>
        <v>1000.4570801348611</v>
      </c>
      <c r="BI86" s="59">
        <f ca="1">AVERAGE(OFFSET($BH$3,0,0,'Données projet'!$E$11+1,1))-AVERAGE(OFFSET($H$3,0,0,'Données projet'!$E$11+1,1))</f>
        <v>666.1523645983184</v>
      </c>
      <c r="BJ86" s="59">
        <f t="shared" si="92"/>
        <v>294.13851344047526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12.87047349847894</v>
      </c>
      <c r="BQ86" s="21">
        <f>EXP(-LN(2)/25)*BQ85+(1-EXP(-LN(2)/25))/(LN(2)/25)*Calculateur!BL86*Calculateur!BN86*VLOOKUP('Données projet'!$B$11,Paramètres!$A$1:$I$89,3,0)*0.475*44/12</f>
        <v>25.804450453298042</v>
      </c>
      <c r="BR86" s="21">
        <f>EXP(-LN(2)/2)*BR85+(1-EXP(-LN(2)/2))/(LN(2)/2)*BL86*BO86*VLOOKUP('Données projet'!$B$11,Paramètres!$A$1:$I$89,3,0)*0.475*44/12</f>
        <v>0.21859042182728505</v>
      </c>
      <c r="BS86" s="22">
        <f t="shared" si="63"/>
        <v>38.893514373604269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9.546999999999997</v>
      </c>
      <c r="BY86" s="12">
        <f>IF('Données projet'!$A$114&gt;35,BY85+BX86-CG85,IF(A86&lt;'Données projet'!$A$114,$BV$205^A86,IF(A86='Données projet'!$A$114,'Données projet'!$B$114,BY85+BX86-CG85)))</f>
        <v>345.54300000000046</v>
      </c>
      <c r="BZ86" s="13">
        <f>BY86*VLOOKUP('Données projet'!$B$12,Paramètres!$A$1:$I$89,3,0)*VLOOKUP('Données projet'!$B$12,Paramètres!$A$1:$I$89,5,0)</f>
        <v>371.94248520000048</v>
      </c>
      <c r="CA86" s="13">
        <f t="shared" si="93"/>
        <v>86.064583553074272</v>
      </c>
      <c r="CB86" s="20">
        <f t="shared" si="64"/>
        <v>797.69564474493848</v>
      </c>
      <c r="CC86" s="59">
        <f t="shared" si="65"/>
        <v>1091.0289780782718</v>
      </c>
      <c r="CD86" s="59">
        <f ca="1">AVERAGE(OFFSET($CC$3,0,0,'Données projet'!$E$12+1,1))-AVERAGE(OFFSET($H$3,0,0,'Données projet'!$E$12+1,1))</f>
        <v>747.18304127457918</v>
      </c>
      <c r="CE86" s="59">
        <f t="shared" si="94"/>
        <v>327.03701004966723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14.558404449099132</v>
      </c>
      <c r="CL86" s="21">
        <f>EXP(-LN(2)/25)*CL85+(1-EXP(-LN(2)/25))/(LN(2)/25)*Calculateur!CG86*Calculateur!CI86*VLOOKUP('Données projet'!$B$12,Paramètres!$A$1:$I$89,3,0)*0.475*44/12</f>
        <v>29.188640676681381</v>
      </c>
      <c r="CM86" s="21">
        <f>EXP(-LN(2)/2)*CM85+(1-EXP(-LN(2)/2))/(LN(2)/2)*CG86*CJ86*VLOOKUP('Données projet'!$B$12,Paramètres!$A$1:$I$89,3,0)*0.475*44/12</f>
        <v>0.24725801813250289</v>
      </c>
      <c r="CN86" s="22">
        <f t="shared" si="66"/>
        <v>43.994303143913022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9.546999999999997</v>
      </c>
      <c r="CT86" s="12">
        <f>IF('Données projet'!$A$140&gt;35,CT85+CS86-DB85,IF(A86&lt;'Données projet'!$A$140,$CQ$205^A86,IF(A86='Données projet'!$A$140,'Données projet'!$B$140,CT85+CS86-DB85)))</f>
        <v>345.54300000000046</v>
      </c>
      <c r="CU86" s="17">
        <f>CT86*VLOOKUP('Données projet'!$B$13,Paramètres!$A$1:$I$89,3,0)*VLOOKUP('Données projet'!$B$13,Paramètres!$A$1:$I$89,5,0)</f>
        <v>334.20918960000046</v>
      </c>
      <c r="CV86" s="13">
        <f t="shared" si="95"/>
        <v>78.302334794371959</v>
      </c>
      <c r="CW86" s="20">
        <f t="shared" si="67"/>
        <v>718.45757165353189</v>
      </c>
      <c r="CX86" s="59">
        <f t="shared" si="68"/>
        <v>1011.7909049868651</v>
      </c>
      <c r="CY86" s="59">
        <f ca="1">AVERAGE(OFFSET($CX$3,0,0,'Données projet'!$E$13+1,1))-AVERAGE(OFFSET($H$3,0,0,'Données projet'!$E$13+1,1))</f>
        <v>676.29219382388692</v>
      </c>
      <c r="CZ86" s="59">
        <f t="shared" si="96"/>
        <v>298.25577221580448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13.081464867306469</v>
      </c>
      <c r="DG86" s="21">
        <f>EXP(-LN(2)/25)*DG85+(1-EXP(-LN(2)/25))/(LN(2)/25)*Calculateur!DB86*Calculateur!DD86*VLOOKUP('Données projet'!$B$13,Paramètres!$A$1:$I$89,3,0)*0.475*44/12</f>
        <v>26.227474231220963</v>
      </c>
      <c r="DH86" s="21">
        <f>EXP(-LN(2)/2)*DH85+(1-EXP(-LN(2)/2))/(LN(2)/2)*DB86*DE86*VLOOKUP('Données projet'!$B$13,Paramètres!$A$1:$I$89,3,0)*0.475*44/12</f>
        <v>0.22217387136543745</v>
      </c>
      <c r="DI86" s="22">
        <f t="shared" si="69"/>
        <v>39.531112969892867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-1.1368683772161603E-13</v>
      </c>
      <c r="EK86" s="17">
        <f>EJ86*VLOOKUP('Données projet'!$B$15,Paramètres!$A$1:$I$89,3,0)*VLOOKUP('Données projet'!$B$15,Paramètres!$A$1:$I$89,5,0)</f>
        <v>-8.8675733422860506E-14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197.51452239559433</v>
      </c>
      <c r="EP86" s="59">
        <f t="shared" si="100"/>
        <v>196.65166921588821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20.888993656409816</v>
      </c>
      <c r="EW86" s="21">
        <f>EXP(-LN(2)/25)*EW85+(1-EXP(-LN(2)/25))/(LN(2)/25)*Calculateur!ER86*Calculateur!ET86*VLOOKUP('Données projet'!$B$15,Paramètres!$A$1:$I$89,3,0)*0.475*44/12</f>
        <v>18.407721473088859</v>
      </c>
      <c r="EX86" s="21">
        <f>EXP(-LN(2)/2)*EX85+(1-EXP(-LN(2)/2))/(LN(2)/2)*ER86*EU86*VLOOKUP('Données projet'!$B$15,Paramètres!$A$1:$I$89,3,0)*0.475*44/12</f>
        <v>0.30426693536299787</v>
      </c>
      <c r="EY86" s="22">
        <f t="shared" si="75"/>
        <v>39.600982064861675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984.61160093288458</v>
      </c>
      <c r="S87" s="59">
        <f ca="1">AVERAGE(OFFSET($R$3,0,0,'Données projet'!$E$9+1,1))-AVERAGE(OFFSET($H$3,0,0,'Données projet'!$E$9+1,1))</f>
        <v>635.71275911100679</v>
      </c>
      <c r="T87" s="59">
        <f t="shared" si="88"/>
        <v>281.7776857269169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9.546999999999997</v>
      </c>
      <c r="AH87" s="12">
        <f t="array" ref="AH87">INDEX(AG:AG,MIN(IF(ISNUMBER(AG87:AG283),ROW(AG87:AG283),"")))</f>
        <v>9.546999999999997</v>
      </c>
      <c r="AI87" s="13">
        <f>IF('Données projet'!$A$62&gt;35,AI86+AH87-AQ86,IF(A87&lt;'Données projet'!$A$62,$AF$205^A87,IF(A87='Données projet'!$A$62,'Données projet'!$B$62,AI86+AH87-AQ86)))</f>
        <v>355.09000000000049</v>
      </c>
      <c r="AJ87" s="13">
        <f>AI87*VLOOKUP('Données projet'!$B$10,Paramètres!$A$1:$I$89,3,0)*VLOOKUP('Données projet'!$B$10,Paramètres!$A$1:$I$89,5,0)</f>
        <v>360.06126000000052</v>
      </c>
      <c r="AK87" s="13">
        <f t="shared" si="89"/>
        <v>83.630799612914231</v>
      </c>
      <c r="AL87" s="20">
        <f t="shared" si="58"/>
        <v>772.76367049249313</v>
      </c>
      <c r="AM87" s="59">
        <f t="shared" si="59"/>
        <v>1066.0970038258265</v>
      </c>
      <c r="AN87" s="59">
        <f ca="1">AVERAGE(OFFSET($AM$3,0,0,'Données projet'!$E$10+1,1))-AVERAGE(OFFSET($H$3,0,0,'Données projet'!$E$10+1,1))</f>
        <v>706.69239849991595</v>
      </c>
      <c r="AO87" s="59">
        <f t="shared" si="90"/>
        <v>310.59887275116529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66.69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24.696278129878717</v>
      </c>
      <c r="AV87" s="21">
        <f>EXP(-LN(2)/25)*AV86+(1-EXP(-LN(2)/25))/(LN(2)/25)*Calculateur!AQ87*Calculateur!AS87*VLOOKUP('Données projet'!$B$10,Paramètres!$A$1:$I$89,3,0)*0.475*44/12</f>
        <v>33.148349576143573</v>
      </c>
      <c r="AW87" s="21">
        <f>EXP(-LN(2)/2)*AW86+(1-EXP(-LN(2)/2))/(LN(2)/2)*AQ87*AT87*VLOOKUP('Données projet'!$B$10,Paramètres!$A$1:$I$89,3,0)*0.475*44/12</f>
        <v>6.5451766228627521</v>
      </c>
      <c r="AX87" s="21">
        <f t="shared" si="60"/>
        <v>64.389804328885049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337.9036440000005</v>
      </c>
      <c r="BF87" s="13">
        <f t="shared" si="91"/>
        <v>79.066670217764312</v>
      </c>
      <c r="BG87" s="20">
        <f t="shared" si="61"/>
        <v>726.22329726260705</v>
      </c>
      <c r="BH87" s="59">
        <f t="shared" si="62"/>
        <v>1019.5566305959403</v>
      </c>
      <c r="BI87" s="59">
        <f ca="1">AVERAGE(OFFSET($BH$3,0,0,'Données projet'!$E$11+1,1))-AVERAGE(OFFSET($H$3,0,0,'Données projet'!$E$11+1,1))</f>
        <v>666.1523645983184</v>
      </c>
      <c r="BJ87" s="59">
        <f t="shared" si="92"/>
        <v>294.13851344047526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23.176507168040022</v>
      </c>
      <c r="BQ87" s="21">
        <f>EXP(-LN(2)/25)*BQ86+(1-EXP(-LN(2)/25))/(LN(2)/25)*Calculateur!BL87*Calculateur!BN87*VLOOKUP('Données projet'!$B$11,Paramètres!$A$1:$I$89,3,0)*0.475*44/12</f>
        <v>31.108451140688576</v>
      </c>
      <c r="BR87" s="21">
        <f>EXP(-LN(2)/2)*BR86+(1-EXP(-LN(2)/2))/(LN(2)/2)*BL87*BO87*VLOOKUP('Données projet'!$B$11,Paramètres!$A$1:$I$89,3,0)*0.475*44/12</f>
        <v>6.1423965229942743</v>
      </c>
      <c r="BS87" s="22">
        <f t="shared" si="63"/>
        <v>60.427354831722873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9.546999999999997</v>
      </c>
      <c r="BX87" s="12">
        <f t="array" ref="BX87">INDEX(BW:BW,MIN(IF(ISNUMBER(BW87:BW283),ROW(BW87:BW283),"")))</f>
        <v>9.546999999999997</v>
      </c>
      <c r="BY87" s="12">
        <f>IF('Données projet'!$A$114&gt;35,BY86+BX87-CG86,IF(A87&lt;'Données projet'!$A$114,$BV$205^A87,IF(A87='Données projet'!$A$114,'Données projet'!$B$114,BY86+BX87-CG86)))</f>
        <v>355.09000000000049</v>
      </c>
      <c r="BZ87" s="13">
        <f>BY87*VLOOKUP('Données projet'!$B$12,Paramètres!$A$1:$I$89,3,0)*VLOOKUP('Données projet'!$B$12,Paramètres!$A$1:$I$89,5,0)</f>
        <v>382.21887600000053</v>
      </c>
      <c r="CA87" s="13">
        <f t="shared" si="93"/>
        <v>88.162330896769902</v>
      </c>
      <c r="CB87" s="20">
        <f t="shared" si="64"/>
        <v>819.24726867854179</v>
      </c>
      <c r="CC87" s="59">
        <f t="shared" si="65"/>
        <v>1112.580602011875</v>
      </c>
      <c r="CD87" s="59">
        <f ca="1">AVERAGE(OFFSET($CC$3,0,0,'Données projet'!$E$12+1,1))-AVERAGE(OFFSET($H$3,0,0,'Données projet'!$E$12+1,1))</f>
        <v>747.18304127457918</v>
      </c>
      <c r="CE87" s="59">
        <f t="shared" si="94"/>
        <v>327.03701004966723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66.69</v>
      </c>
      <c r="CH87" s="16">
        <f>IF(ISNA(VLOOKUP(A87,'Données projet'!$A$113:$I$133,5,0)),0%,VLOOKUP(A87,'Données projet'!$A$113:$I$133,5,0)*VLOOKUP('Données projet'!$B$12,Paramètres!$A$1:$I$89,7,0))</f>
        <v>0.15049999999999999</v>
      </c>
      <c r="CI87" s="16">
        <f>IF(ISNA(VLOOKUP(A87,'Données projet'!$A$113:$I$133,6,0)),0%,VLOOKUP(A87,'Données projet'!$A$113:$I$133,6,0)*VLOOKUP('Données projet'!$B$12,Paramètres!$A$1:$I$89,7,0))</f>
        <v>8.6000000000000007E-2</v>
      </c>
      <c r="CJ87" s="16">
        <f>IF(ISNA(VLOOKUP(A87,'Données projet'!$A$113:$I$133,7,0)),0%,VLOOKUP(A87,'Données projet'!$A$113:$I$133,7,0))</f>
        <v>0.1</v>
      </c>
      <c r="CK87" s="21">
        <f>EXP(-LN(2)/35)*CK86+(1-EXP(-LN(2)/35))/(LN(2)/35)*CG87*CH87*VLOOKUP('Données projet'!$B$12,Paramètres!$A$1:$I$89,3,0)*0.475*44/12</f>
        <v>26.216049091717409</v>
      </c>
      <c r="CL87" s="21">
        <f>EXP(-LN(2)/25)*CL86+(1-EXP(-LN(2)/25))/(LN(2)/25)*Calculateur!CG87*Calculateur!CI87*VLOOKUP('Données projet'!$B$12,Paramètres!$A$1:$I$89,3,0)*0.475*44/12</f>
        <v>35.188248011598539</v>
      </c>
      <c r="CM87" s="21">
        <f>EXP(-LN(2)/2)*CM86+(1-EXP(-LN(2)/2))/(LN(2)/2)*CG87*CJ87*VLOOKUP('Données projet'!$B$12,Paramètres!$A$1:$I$89,3,0)*0.475*44/12</f>
        <v>6.9479567227312273</v>
      </c>
      <c r="CN87" s="22">
        <f t="shared" si="66"/>
        <v>68.352253826047175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9.546999999999997</v>
      </c>
      <c r="CS87" s="12">
        <f t="array" ref="CS87">INDEX(CR:CR,MIN(IF(ISNUMBER(CR87:CR283),ROW(CR87:CR283),"")))</f>
        <v>9.546999999999997</v>
      </c>
      <c r="CT87" s="12">
        <f>IF('Données projet'!$A$140&gt;35,CT86+CS87-DB86,IF(A87&lt;'Données projet'!$A$140,$CQ$205^A87,IF(A87='Données projet'!$A$140,'Données projet'!$B$140,CT86+CS87-DB86)))</f>
        <v>355.09000000000049</v>
      </c>
      <c r="CU87" s="17">
        <f>CT87*VLOOKUP('Données projet'!$B$13,Paramètres!$A$1:$I$89,3,0)*VLOOKUP('Données projet'!$B$13,Paramètres!$A$1:$I$89,5,0)</f>
        <v>343.44304800000049</v>
      </c>
      <c r="CV87" s="13">
        <f t="shared" si="95"/>
        <v>80.210884258493451</v>
      </c>
      <c r="CW87" s="20">
        <f t="shared" si="67"/>
        <v>737.8639320168769</v>
      </c>
      <c r="CX87" s="59">
        <f t="shared" si="68"/>
        <v>1031.1972653502103</v>
      </c>
      <c r="CY87" s="59">
        <f ca="1">AVERAGE(OFFSET($CX$3,0,0,'Données projet'!$E$13+1,1))-AVERAGE(OFFSET($H$3,0,0,'Données projet'!$E$13+1,1))</f>
        <v>676.29219382388692</v>
      </c>
      <c r="CZ87" s="59">
        <f t="shared" si="96"/>
        <v>298.25577221580448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66.69</v>
      </c>
      <c r="DC87" s="16">
        <f>IF(ISNA(VLOOKUP(A87,'Données projet'!$A$139:$I$159,5,0)),0%,VLOOKUP(A87,'Données projet'!$A$139:$I$159,5,0)*VLOOKUP('Données projet'!$B$13,Paramètres!$A$1:$I$89,7,0))</f>
        <v>0.15049999999999999</v>
      </c>
      <c r="DD87" s="16">
        <f>IF(ISNA(VLOOKUP(A87,'Données projet'!$A$139:$I$159,6,0)),0%,VLOOKUP(A87,'Données projet'!$A$139:$I$159,6,0)*VLOOKUP('Données projet'!$B$13,Paramètres!$A$1:$I$89,7,0))</f>
        <v>8.6000000000000007E-2</v>
      </c>
      <c r="DE87" s="16">
        <f>IF(ISNA(VLOOKUP(A87,'Données projet'!$A$139:$I$159,7,0)),0%,VLOOKUP(A87,'Données projet'!$A$139:$I$159,7,0))</f>
        <v>0.1</v>
      </c>
      <c r="DF87" s="21">
        <f>EXP(-LN(2)/35)*DF86+(1-EXP(-LN(2)/35))/(LN(2)/35)*DB87*DC87*VLOOKUP('Données projet'!$B$13,Paramètres!$A$1:$I$89,3,0)*0.475*44/12</f>
        <v>23.556449908499701</v>
      </c>
      <c r="DG87" s="21">
        <f>EXP(-LN(2)/25)*DG86+(1-EXP(-LN(2)/25))/(LN(2)/25)*Calculateur!DB87*Calculateur!DD87*VLOOKUP('Données projet'!$B$13,Paramètres!$A$1:$I$89,3,0)*0.475*44/12</f>
        <v>31.618425749552323</v>
      </c>
      <c r="DH87" s="21">
        <f>EXP(-LN(2)/2)*DH86+(1-EXP(-LN(2)/2))/(LN(2)/2)*DB87*DE87*VLOOKUP('Données projet'!$B$13,Paramètres!$A$1:$I$89,3,0)*0.475*44/12</f>
        <v>6.2430915479613942</v>
      </c>
      <c r="DI87" s="22">
        <f t="shared" si="69"/>
        <v>61.417967206013415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-1.1368683772161603E-13</v>
      </c>
      <c r="EK87" s="17">
        <f>EJ87*VLOOKUP('Données projet'!$B$15,Paramètres!$A$1:$I$89,3,0)*VLOOKUP('Données projet'!$B$15,Paramètres!$A$1:$I$89,5,0)</f>
        <v>-8.8675733422860506E-14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197.51452239559433</v>
      </c>
      <c r="EP87" s="59">
        <f t="shared" si="100"/>
        <v>196.65166921588821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20.479373231835677</v>
      </c>
      <c r="EW87" s="21">
        <f>EXP(-LN(2)/25)*EW86+(1-EXP(-LN(2)/25))/(LN(2)/25)*Calculateur!ER87*Calculateur!ET87*VLOOKUP('Données projet'!$B$15,Paramètres!$A$1:$I$89,3,0)*0.475*44/12</f>
        <v>17.904361361387245</v>
      </c>
      <c r="EX87" s="21">
        <f>EXP(-LN(2)/2)*EX86+(1-EXP(-LN(2)/2))/(LN(2)/2)*ER87*EU87*VLOOKUP('Données projet'!$B$15,Paramètres!$A$1:$I$89,3,0)*0.475*44/12</f>
        <v>0.21514921328602474</v>
      </c>
      <c r="EY87" s="22">
        <f t="shared" si="75"/>
        <v>38.598883806508951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874.93306786901985</v>
      </c>
      <c r="S88" s="59">
        <f ca="1">AVERAGE(OFFSET($R$3,0,0,'Données projet'!$E$9+1,1))-AVERAGE(OFFSET($H$3,0,0,'Données projet'!$E$9+1,1))</f>
        <v>635.71275911100679</v>
      </c>
      <c r="T88" s="59">
        <f t="shared" si="88"/>
        <v>281.7776857269169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9.1730000000000018</v>
      </c>
      <c r="AI88" s="13">
        <f>IF('Données projet'!$A$62&gt;35,AI87+AH88-AQ87,IF(A88&lt;'Données projet'!$A$62,$AF$205^A88,IF(A88='Données projet'!$A$62,'Données projet'!$B$62,AI87+AH88-AQ87)))</f>
        <v>297.57300000000049</v>
      </c>
      <c r="AJ88" s="13">
        <f>AI88*VLOOKUP('Données projet'!$B$10,Paramètres!$A$1:$I$89,3,0)*VLOOKUP('Données projet'!$B$10,Paramètres!$A$1:$I$89,5,0)</f>
        <v>301.73902200000055</v>
      </c>
      <c r="AK88" s="13">
        <f t="shared" si="89"/>
        <v>71.540906554302211</v>
      </c>
      <c r="AL88" s="20">
        <f t="shared" si="58"/>
        <v>650.12920889874385</v>
      </c>
      <c r="AM88" s="59">
        <f t="shared" si="59"/>
        <v>943.46254223207711</v>
      </c>
      <c r="AN88" s="59">
        <f ca="1">AVERAGE(OFFSET($AM$3,0,0,'Données projet'!$E$10+1,1))-AVERAGE(OFFSET($H$3,0,0,'Données projet'!$E$10+1,1))</f>
        <v>706.69239849991595</v>
      </c>
      <c r="AO88" s="59">
        <f t="shared" si="90"/>
        <v>310.59887275116529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24.211999178994084</v>
      </c>
      <c r="AV88" s="21">
        <f>EXP(-LN(2)/25)*AV87+(1-EXP(-LN(2)/25))/(LN(2)/25)*Calculateur!AQ88*Calculateur!AS88*VLOOKUP('Données projet'!$B$10,Paramètres!$A$1:$I$89,3,0)*0.475*44/12</f>
        <v>32.241906213787985</v>
      </c>
      <c r="AW88" s="21">
        <f>EXP(-LN(2)/2)*AW87+(1-EXP(-LN(2)/2))/(LN(2)/2)*AQ88*AT88*VLOOKUP('Données projet'!$B$10,Paramètres!$A$1:$I$89,3,0)*0.475*44/12</f>
        <v>4.6281387740899183</v>
      </c>
      <c r="AX88" s="21">
        <f t="shared" si="60"/>
        <v>61.082044166871988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283.17046680000044</v>
      </c>
      <c r="BF88" s="13">
        <f t="shared" si="91"/>
        <v>67.63657996563542</v>
      </c>
      <c r="BG88" s="20">
        <f t="shared" si="61"/>
        <v>610.98893978348235</v>
      </c>
      <c r="BH88" s="59">
        <f t="shared" si="62"/>
        <v>904.32227311681572</v>
      </c>
      <c r="BI88" s="59">
        <f ca="1">AVERAGE(OFFSET($BH$3,0,0,'Données projet'!$E$11+1,1))-AVERAGE(OFFSET($H$3,0,0,'Données projet'!$E$11+1,1))</f>
        <v>666.1523645983184</v>
      </c>
      <c r="BJ88" s="59">
        <f t="shared" si="92"/>
        <v>294.13851344047526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22.722029998748287</v>
      </c>
      <c r="BQ88" s="21">
        <f>EXP(-LN(2)/25)*BQ87+(1-EXP(-LN(2)/25))/(LN(2)/25)*Calculateur!BL88*Calculateur!BN88*VLOOKUP('Données projet'!$B$11,Paramètres!$A$1:$I$89,3,0)*0.475*44/12</f>
        <v>30.257788908324102</v>
      </c>
      <c r="BR88" s="21">
        <f>EXP(-LN(2)/2)*BR87+(1-EXP(-LN(2)/2))/(LN(2)/2)*BL88*BO88*VLOOKUP('Données projet'!$B$11,Paramètres!$A$1:$I$89,3,0)*0.475*44/12</f>
        <v>4.343330234145923</v>
      </c>
      <c r="BS88" s="22">
        <f t="shared" si="63"/>
        <v>57.323149141218309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9.1730000000000018</v>
      </c>
      <c r="BY88" s="12">
        <f>IF('Données projet'!$A$114&gt;35,BY87+BX88-CG87,IF(A88&lt;'Données projet'!$A$114,$BV$205^A88,IF(A88='Données projet'!$A$114,'Données projet'!$B$114,BY87+BX88-CG87)))</f>
        <v>297.57300000000049</v>
      </c>
      <c r="BZ88" s="13">
        <f>BY88*VLOOKUP('Données projet'!$B$12,Paramètres!$A$1:$I$89,3,0)*VLOOKUP('Données projet'!$B$12,Paramètres!$A$1:$I$89,5,0)</f>
        <v>320.30757720000054</v>
      </c>
      <c r="CA88" s="13">
        <f t="shared" si="93"/>
        <v>75.417347502215293</v>
      </c>
      <c r="CB88" s="20">
        <f t="shared" si="64"/>
        <v>689.22091052302585</v>
      </c>
      <c r="CC88" s="59">
        <f t="shared" si="65"/>
        <v>982.55424385635911</v>
      </c>
      <c r="CD88" s="59">
        <f ca="1">AVERAGE(OFFSET($CC$3,0,0,'Données projet'!$E$12+1,1))-AVERAGE(OFFSET($H$3,0,0,'Données projet'!$E$12+1,1))</f>
        <v>747.18304127457918</v>
      </c>
      <c r="CE88" s="59">
        <f t="shared" si="94"/>
        <v>327.03701004966723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25.701968359239874</v>
      </c>
      <c r="CL88" s="21">
        <f>EXP(-LN(2)/25)*CL87+(1-EXP(-LN(2)/25))/(LN(2)/25)*Calculateur!CG88*Calculateur!CI88*VLOOKUP('Données projet'!$B$12,Paramètres!$A$1:$I$89,3,0)*0.475*44/12</f>
        <v>34.226023519251839</v>
      </c>
      <c r="CM88" s="21">
        <f>EXP(-LN(2)/2)*CM87+(1-EXP(-LN(2)/2))/(LN(2)/2)*CG88*CJ88*VLOOKUP('Données projet'!$B$12,Paramètres!$A$1:$I$89,3,0)*0.475*44/12</f>
        <v>4.9129473140339117</v>
      </c>
      <c r="CN88" s="22">
        <f t="shared" si="66"/>
        <v>64.840939192525624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9.1730000000000018</v>
      </c>
      <c r="CT88" s="12">
        <f>IF('Données projet'!$A$140&gt;35,CT87+CS88-DB87,IF(A88&lt;'Données projet'!$A$140,$CQ$205^A88,IF(A88='Données projet'!$A$140,'Données projet'!$B$140,CT87+CS88-DB87)))</f>
        <v>297.57300000000049</v>
      </c>
      <c r="CU88" s="17">
        <f>CT88*VLOOKUP('Données projet'!$B$13,Paramètres!$A$1:$I$89,3,0)*VLOOKUP('Données projet'!$B$13,Paramètres!$A$1:$I$89,5,0)</f>
        <v>287.8126056000005</v>
      </c>
      <c r="CV88" s="13">
        <f t="shared" si="95"/>
        <v>68.615383350809438</v>
      </c>
      <c r="CW88" s="20">
        <f t="shared" si="67"/>
        <v>620.77874742266067</v>
      </c>
      <c r="CX88" s="59">
        <f t="shared" si="68"/>
        <v>914.11208075599393</v>
      </c>
      <c r="CY88" s="59">
        <f ca="1">AVERAGE(OFFSET($CX$3,0,0,'Données projet'!$E$13+1,1))-AVERAGE(OFFSET($H$3,0,0,'Données projet'!$E$13+1,1))</f>
        <v>676.29219382388692</v>
      </c>
      <c r="CZ88" s="59">
        <f t="shared" si="96"/>
        <v>298.25577221580448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23.094522293809742</v>
      </c>
      <c r="DG88" s="21">
        <f>EXP(-LN(2)/25)*DG87+(1-EXP(-LN(2)/25))/(LN(2)/25)*Calculateur!DB88*Calculateur!DD88*VLOOKUP('Données projet'!$B$13,Paramètres!$A$1:$I$89,3,0)*0.475*44/12</f>
        <v>30.753818234690069</v>
      </c>
      <c r="DH88" s="21">
        <f>EXP(-LN(2)/2)*DH87+(1-EXP(-LN(2)/2))/(LN(2)/2)*DB88*DE88*VLOOKUP('Données projet'!$B$13,Paramètres!$A$1:$I$89,3,0)*0.475*44/12</f>
        <v>4.4145323691319218</v>
      </c>
      <c r="DI88" s="22">
        <f t="shared" si="69"/>
        <v>58.26287289763173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-1.1368683772161603E-13</v>
      </c>
      <c r="EK88" s="17">
        <f>EJ88*VLOOKUP('Données projet'!$B$15,Paramètres!$A$1:$I$89,3,0)*VLOOKUP('Données projet'!$B$15,Paramètres!$A$1:$I$89,5,0)</f>
        <v>-8.8675733422860506E-14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197.51452239559433</v>
      </c>
      <c r="EP88" s="59">
        <f t="shared" si="100"/>
        <v>196.65166921588821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20.077785213943649</v>
      </c>
      <c r="EW88" s="21">
        <f>EXP(-LN(2)/25)*EW87+(1-EXP(-LN(2)/25))/(LN(2)/25)*Calculateur!ER88*Calculateur!ET88*VLOOKUP('Données projet'!$B$15,Paramètres!$A$1:$I$89,3,0)*0.475*44/12</f>
        <v>17.414765658410669</v>
      </c>
      <c r="EX88" s="21">
        <f>EXP(-LN(2)/2)*EX87+(1-EXP(-LN(2)/2))/(LN(2)/2)*ER88*EU88*VLOOKUP('Données projet'!$B$15,Paramètres!$A$1:$I$89,3,0)*0.475*44/12</f>
        <v>0.15213346768149894</v>
      </c>
      <c r="EY88" s="22">
        <f t="shared" si="75"/>
        <v>37.644684340035816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892.45178252232927</v>
      </c>
      <c r="S89" s="59">
        <f ca="1">AVERAGE(OFFSET($R$3,0,0,'Données projet'!$E$9+1,1))-AVERAGE(OFFSET($H$3,0,0,'Données projet'!$E$9+1,1))</f>
        <v>635.71275911100679</v>
      </c>
      <c r="T89" s="59">
        <f t="shared" si="88"/>
        <v>281.7776857269169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9.1730000000000018</v>
      </c>
      <c r="AI89" s="13">
        <f>IF('Données projet'!$A$62&gt;35,AI88+AH89-AQ88,IF(A89&lt;'Données projet'!$A$62,$AF$205^A89,IF(A89='Données projet'!$A$62,'Données projet'!$B$62,AI88+AH89-AQ88)))</f>
        <v>306.74600000000049</v>
      </c>
      <c r="AJ89" s="13">
        <f>AI89*VLOOKUP('Données projet'!$B$10,Paramètres!$A$1:$I$89,3,0)*VLOOKUP('Données projet'!$B$10,Paramètres!$A$1:$I$89,5,0)</f>
        <v>311.04044400000055</v>
      </c>
      <c r="AK89" s="13">
        <f t="shared" si="89"/>
        <v>73.486073899132336</v>
      </c>
      <c r="AL89" s="20">
        <f t="shared" si="58"/>
        <v>669.71701867432307</v>
      </c>
      <c r="AM89" s="59">
        <f t="shared" si="59"/>
        <v>963.05035200765633</v>
      </c>
      <c r="AN89" s="59">
        <f ca="1">AVERAGE(OFFSET($AM$3,0,0,'Données projet'!$E$10+1,1))-AVERAGE(OFFSET($H$3,0,0,'Données projet'!$E$10+1,1))</f>
        <v>706.69239849991595</v>
      </c>
      <c r="AO89" s="59">
        <f t="shared" si="90"/>
        <v>310.59887275116529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23.737216642955303</v>
      </c>
      <c r="AV89" s="21">
        <f>EXP(-LN(2)/25)*AV88+(1-EXP(-LN(2)/25))/(LN(2)/25)*Calculateur!AQ89*Calculateur!AS89*VLOOKUP('Données projet'!$B$10,Paramètres!$A$1:$I$89,3,0)*0.475*44/12</f>
        <v>31.360249592843793</v>
      </c>
      <c r="AW89" s="21">
        <f>EXP(-LN(2)/2)*AW88+(1-EXP(-LN(2)/2))/(LN(2)/2)*AQ89*AT89*VLOOKUP('Données projet'!$B$10,Paramètres!$A$1:$I$89,3,0)*0.475*44/12</f>
        <v>3.2725883114313765</v>
      </c>
      <c r="AX89" s="21">
        <f t="shared" si="60"/>
        <v>58.370054547230474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291.89949360000043</v>
      </c>
      <c r="BF89" s="13">
        <f t="shared" si="91"/>
        <v>69.475590302543566</v>
      </c>
      <c r="BG89" s="20">
        <f t="shared" si="61"/>
        <v>629.39493779693078</v>
      </c>
      <c r="BH89" s="59">
        <f t="shared" si="62"/>
        <v>922.72827113026415</v>
      </c>
      <c r="BI89" s="59">
        <f ca="1">AVERAGE(OFFSET($BH$3,0,0,'Données projet'!$E$11+1,1))-AVERAGE(OFFSET($H$3,0,0,'Données projet'!$E$11+1,1))</f>
        <v>666.1523645983184</v>
      </c>
      <c r="BJ89" s="59">
        <f t="shared" si="92"/>
        <v>294.13851344047526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22.276464849542663</v>
      </c>
      <c r="BQ89" s="21">
        <f>EXP(-LN(2)/25)*BQ88+(1-EXP(-LN(2)/25))/(LN(2)/25)*Calculateur!BL89*Calculateur!BN89*VLOOKUP('Données projet'!$B$11,Paramètres!$A$1:$I$89,3,0)*0.475*44/12</f>
        <v>29.430388079438014</v>
      </c>
      <c r="BR89" s="21">
        <f>EXP(-LN(2)/2)*BR88+(1-EXP(-LN(2)/2))/(LN(2)/2)*BL89*BO89*VLOOKUP('Données projet'!$B$11,Paramètres!$A$1:$I$89,3,0)*0.475*44/12</f>
        <v>3.0711982614971376</v>
      </c>
      <c r="BS89" s="22">
        <f t="shared" si="63"/>
        <v>54.778051190477818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9.1730000000000018</v>
      </c>
      <c r="BY89" s="12">
        <f>IF('Données projet'!$A$114&gt;35,BY88+BX89-CG88,IF(A89&lt;'Données projet'!$A$114,$BV$205^A89,IF(A89='Données projet'!$A$114,'Données projet'!$B$114,BY88+BX89-CG88)))</f>
        <v>306.74600000000049</v>
      </c>
      <c r="BZ89" s="13">
        <f>BY89*VLOOKUP('Données projet'!$B$12,Paramètres!$A$1:$I$89,3,0)*VLOOKUP('Données projet'!$B$12,Paramètres!$A$1:$I$89,5,0)</f>
        <v>330.1813944000005</v>
      </c>
      <c r="CA89" s="13">
        <f t="shared" si="93"/>
        <v>77.467913656051493</v>
      </c>
      <c r="CB89" s="20">
        <f t="shared" si="64"/>
        <v>709.98921153095716</v>
      </c>
      <c r="CC89" s="59">
        <f t="shared" si="65"/>
        <v>1003.3225448642904</v>
      </c>
      <c r="CD89" s="59">
        <f ca="1">AVERAGE(OFFSET($CC$3,0,0,'Données projet'!$E$12+1,1))-AVERAGE(OFFSET($H$3,0,0,'Données projet'!$E$12+1,1))</f>
        <v>747.18304127457918</v>
      </c>
      <c r="CE89" s="59">
        <f t="shared" si="94"/>
        <v>327.03701004966723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25.197968436367937</v>
      </c>
      <c r="CL89" s="21">
        <f>EXP(-LN(2)/25)*CL88+(1-EXP(-LN(2)/25))/(LN(2)/25)*Calculateur!CG89*Calculateur!CI89*VLOOKUP('Données projet'!$B$12,Paramètres!$A$1:$I$89,3,0)*0.475*44/12</f>
        <v>33.290111106249547</v>
      </c>
      <c r="CM89" s="21">
        <f>EXP(-LN(2)/2)*CM88+(1-EXP(-LN(2)/2))/(LN(2)/2)*CG89*CJ89*VLOOKUP('Données projet'!$B$12,Paramètres!$A$1:$I$89,3,0)*0.475*44/12</f>
        <v>3.4739783613656137</v>
      </c>
      <c r="CN89" s="22">
        <f t="shared" si="66"/>
        <v>61.962057903983094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9.1730000000000018</v>
      </c>
      <c r="CT89" s="12">
        <f>IF('Données projet'!$A$140&gt;35,CT88+CS89-DB88,IF(A89&lt;'Données projet'!$A$140,$CQ$205^A89,IF(A89='Données projet'!$A$140,'Données projet'!$B$140,CT88+CS89-DB88)))</f>
        <v>306.74600000000049</v>
      </c>
      <c r="CU89" s="17">
        <f>CT89*VLOOKUP('Données projet'!$B$13,Paramètres!$A$1:$I$89,3,0)*VLOOKUP('Données projet'!$B$13,Paramètres!$A$1:$I$89,5,0)</f>
        <v>296.68473120000044</v>
      </c>
      <c r="CV89" s="13">
        <f t="shared" si="95"/>
        <v>70.481006942616773</v>
      </c>
      <c r="CW89" s="20">
        <f t="shared" si="67"/>
        <v>639.48032726505824</v>
      </c>
      <c r="CX89" s="59">
        <f t="shared" si="68"/>
        <v>932.81366059839161</v>
      </c>
      <c r="CY89" s="59">
        <f ca="1">AVERAGE(OFFSET($CX$3,0,0,'Données projet'!$E$13+1,1))-AVERAGE(OFFSET($H$3,0,0,'Données projet'!$E$13+1,1))</f>
        <v>676.29219382388692</v>
      </c>
      <c r="CZ89" s="59">
        <f t="shared" si="96"/>
        <v>298.25577221580448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22.64165279789583</v>
      </c>
      <c r="DG89" s="21">
        <f>EXP(-LN(2)/25)*DG88+(1-EXP(-LN(2)/25))/(LN(2)/25)*Calculateur!DB89*Calculateur!DD89*VLOOKUP('Données projet'!$B$13,Paramètres!$A$1:$I$89,3,0)*0.475*44/12</f>
        <v>29.912853457789456</v>
      </c>
      <c r="DH89" s="21">
        <f>EXP(-LN(2)/2)*DH88+(1-EXP(-LN(2)/2))/(LN(2)/2)*DB89*DE89*VLOOKUP('Données projet'!$B$13,Paramètres!$A$1:$I$89,3,0)*0.475*44/12</f>
        <v>3.1215457739806971</v>
      </c>
      <c r="DI89" s="22">
        <f t="shared" si="69"/>
        <v>55.676052029665982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-1.1368683772161603E-13</v>
      </c>
      <c r="EK89" s="17">
        <f>EJ89*VLOOKUP('Données projet'!$B$15,Paramètres!$A$1:$I$89,3,0)*VLOOKUP('Données projet'!$B$15,Paramètres!$A$1:$I$89,5,0)</f>
        <v>-8.8675733422860506E-14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197.51452239559433</v>
      </c>
      <c r="EP89" s="59">
        <f t="shared" si="100"/>
        <v>196.65166921588821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19.684072092137978</v>
      </c>
      <c r="EW89" s="21">
        <f>EXP(-LN(2)/25)*EW88+(1-EXP(-LN(2)/25))/(LN(2)/25)*Calculateur!ER89*Calculateur!ET89*VLOOKUP('Données projet'!$B$15,Paramètres!$A$1:$I$89,3,0)*0.475*44/12</f>
        <v>16.938557975678705</v>
      </c>
      <c r="EX89" s="21">
        <f>EXP(-LN(2)/2)*EX88+(1-EXP(-LN(2)/2))/(LN(2)/2)*ER89*EU89*VLOOKUP('Données projet'!$B$15,Paramètres!$A$1:$I$89,3,0)*0.475*44/12</f>
        <v>0.10757460664301237</v>
      </c>
      <c r="EY89" s="22">
        <f t="shared" si="75"/>
        <v>36.730204674459699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909.95985096711888</v>
      </c>
      <c r="S90" s="59">
        <f ca="1">AVERAGE(OFFSET($R$3,0,0,'Données projet'!$E$9+1,1))-AVERAGE(OFFSET($H$3,0,0,'Données projet'!$E$9+1,1))</f>
        <v>635.71275911100679</v>
      </c>
      <c r="T90" s="59">
        <f t="shared" si="88"/>
        <v>281.7776857269169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9.1730000000000018</v>
      </c>
      <c r="AI90" s="13">
        <f>IF('Données projet'!$A$62&gt;35,AI89+AH90-AQ89,IF(A90&lt;'Données projet'!$A$62,$AF$205^A90,IF(A90='Données projet'!$A$62,'Données projet'!$B$62,AI89+AH90-AQ89)))</f>
        <v>315.91900000000049</v>
      </c>
      <c r="AJ90" s="13">
        <f>AI90*VLOOKUP('Données projet'!$B$10,Paramètres!$A$1:$I$89,3,0)*VLOOKUP('Données projet'!$B$10,Paramètres!$A$1:$I$89,5,0)</f>
        <v>320.34186600000049</v>
      </c>
      <c r="AK90" s="13">
        <f t="shared" si="89"/>
        <v>75.424481111671</v>
      </c>
      <c r="AL90" s="20">
        <f t="shared" si="58"/>
        <v>689.29305455282781</v>
      </c>
      <c r="AM90" s="59">
        <f t="shared" si="59"/>
        <v>982.62638788616118</v>
      </c>
      <c r="AN90" s="59">
        <f ca="1">AVERAGE(OFFSET($AM$3,0,0,'Données projet'!$E$10+1,1))-AVERAGE(OFFSET($H$3,0,0,'Données projet'!$E$10+1,1))</f>
        <v>706.69239849991595</v>
      </c>
      <c r="AO90" s="59">
        <f t="shared" si="90"/>
        <v>310.59887275116529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23.271744302859492</v>
      </c>
      <c r="AV90" s="21">
        <f>EXP(-LN(2)/25)*AV89+(1-EXP(-LN(2)/25))/(LN(2)/25)*Calculateur!AQ90*Calculateur!AS90*VLOOKUP('Données projet'!$B$10,Paramètres!$A$1:$I$89,3,0)*0.475*44/12</f>
        <v>30.502701918563627</v>
      </c>
      <c r="AW90" s="21">
        <f>EXP(-LN(2)/2)*AW89+(1-EXP(-LN(2)/2))/(LN(2)/2)*AQ90*AT90*VLOOKUP('Données projet'!$B$10,Paramètres!$A$1:$I$89,3,0)*0.475*44/12</f>
        <v>2.3140693870449596</v>
      </c>
      <c r="AX90" s="21">
        <f t="shared" si="60"/>
        <v>56.088515608468079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300.62852040000047</v>
      </c>
      <c r="BF90" s="13">
        <f t="shared" si="91"/>
        <v>71.308209439642781</v>
      </c>
      <c r="BG90" s="20">
        <f t="shared" si="61"/>
        <v>647.78980447071194</v>
      </c>
      <c r="BH90" s="59">
        <f t="shared" si="62"/>
        <v>941.1231378040452</v>
      </c>
      <c r="BI90" s="59">
        <f ca="1">AVERAGE(OFFSET($BH$3,0,0,'Données projet'!$E$11+1,1))-AVERAGE(OFFSET($H$3,0,0,'Données projet'!$E$11+1,1))</f>
        <v>666.1523645983184</v>
      </c>
      <c r="BJ90" s="59">
        <f t="shared" si="92"/>
        <v>294.13851344047526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21.839636961145054</v>
      </c>
      <c r="BQ90" s="21">
        <f>EXP(-LN(2)/25)*BQ89+(1-EXP(-LN(2)/25))/(LN(2)/25)*Calculateur!BL90*Calculateur!BN90*VLOOKUP('Données projet'!$B$11,Paramètres!$A$1:$I$89,3,0)*0.475*44/12</f>
        <v>28.625612569728936</v>
      </c>
      <c r="BR90" s="21">
        <f>EXP(-LN(2)/2)*BR89+(1-EXP(-LN(2)/2))/(LN(2)/2)*BL90*BO90*VLOOKUP('Données projet'!$B$11,Paramètres!$A$1:$I$89,3,0)*0.475*44/12</f>
        <v>2.1716651170729619</v>
      </c>
      <c r="BS90" s="22">
        <f t="shared" si="63"/>
        <v>52.636914647946952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9.1730000000000018</v>
      </c>
      <c r="BY90" s="12">
        <f>IF('Données projet'!$A$114&gt;35,BY89+BX90-CG89,IF(A90&lt;'Données projet'!$A$114,$BV$205^A90,IF(A90='Données projet'!$A$114,'Données projet'!$B$114,BY89+BX90-CG89)))</f>
        <v>315.91900000000049</v>
      </c>
      <c r="BZ90" s="13">
        <f>BY90*VLOOKUP('Données projet'!$B$12,Paramètres!$A$1:$I$89,3,0)*VLOOKUP('Données projet'!$B$12,Paramètres!$A$1:$I$89,5,0)</f>
        <v>340.05521160000052</v>
      </c>
      <c r="CA90" s="13">
        <f t="shared" si="93"/>
        <v>79.511353380118535</v>
      </c>
      <c r="CB90" s="20">
        <f t="shared" si="64"/>
        <v>730.74510067370727</v>
      </c>
      <c r="CC90" s="59">
        <f t="shared" si="65"/>
        <v>1024.0784340070406</v>
      </c>
      <c r="CD90" s="59">
        <f ca="1">AVERAGE(OFFSET($CC$3,0,0,'Données projet'!$E$12+1,1))-AVERAGE(OFFSET($H$3,0,0,'Données projet'!$E$12+1,1))</f>
        <v>747.18304127457918</v>
      </c>
      <c r="CE90" s="59">
        <f t="shared" si="94"/>
        <v>327.03701004966723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24.70385164457392</v>
      </c>
      <c r="CL90" s="21">
        <f>EXP(-LN(2)/25)*CL89+(1-EXP(-LN(2)/25))/(LN(2)/25)*Calculateur!CG90*Calculateur!CI90*VLOOKUP('Données projet'!$B$12,Paramètres!$A$1:$I$89,3,0)*0.475*44/12</f>
        <v>32.379791267398296</v>
      </c>
      <c r="CM90" s="21">
        <f>EXP(-LN(2)/2)*CM89+(1-EXP(-LN(2)/2))/(LN(2)/2)*CG90*CJ90*VLOOKUP('Données projet'!$B$12,Paramètres!$A$1:$I$89,3,0)*0.475*44/12</f>
        <v>2.4564736570169559</v>
      </c>
      <c r="CN90" s="22">
        <f t="shared" si="66"/>
        <v>59.540116568989177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9.1730000000000018</v>
      </c>
      <c r="CT90" s="12">
        <f>IF('Données projet'!$A$140&gt;35,CT89+CS90-DB89,IF(A90&lt;'Données projet'!$A$140,$CQ$205^A90,IF(A90='Données projet'!$A$140,'Données projet'!$B$140,CT89+CS90-DB89)))</f>
        <v>315.91900000000049</v>
      </c>
      <c r="CU90" s="17">
        <f>CT90*VLOOKUP('Données projet'!$B$13,Paramètres!$A$1:$I$89,3,0)*VLOOKUP('Données projet'!$B$13,Paramètres!$A$1:$I$89,5,0)</f>
        <v>305.5568568000005</v>
      </c>
      <c r="CV90" s="13">
        <f t="shared" si="95"/>
        <v>72.340146844308748</v>
      </c>
      <c r="CW90" s="20">
        <f t="shared" si="67"/>
        <v>658.17061468050531</v>
      </c>
      <c r="CX90" s="59">
        <f t="shared" si="68"/>
        <v>951.50394801383868</v>
      </c>
      <c r="CY90" s="59">
        <f ca="1">AVERAGE(OFFSET($CX$3,0,0,'Données projet'!$E$13+1,1))-AVERAGE(OFFSET($H$3,0,0,'Données projet'!$E$13+1,1))</f>
        <v>676.29219382388692</v>
      </c>
      <c r="CZ90" s="59">
        <f t="shared" si="96"/>
        <v>298.25577221580448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22.197663796573671</v>
      </c>
      <c r="DG90" s="21">
        <f>EXP(-LN(2)/25)*DG89+(1-EXP(-LN(2)/25))/(LN(2)/25)*Calculateur!DB90*Calculateur!DD90*VLOOKUP('Données projet'!$B$13,Paramètres!$A$1:$I$89,3,0)*0.475*44/12</f>
        <v>29.094884906937608</v>
      </c>
      <c r="DH90" s="21">
        <f>EXP(-LN(2)/2)*DH89+(1-EXP(-LN(2)/2))/(LN(2)/2)*DB90*DE90*VLOOKUP('Données projet'!$B$13,Paramètres!$A$1:$I$89,3,0)*0.475*44/12</f>
        <v>2.2072661845659609</v>
      </c>
      <c r="DI90" s="22">
        <f t="shared" si="69"/>
        <v>53.499814888077239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-1.1368683772161603E-13</v>
      </c>
      <c r="EK90" s="17">
        <f>EJ90*VLOOKUP('Données projet'!$B$15,Paramètres!$A$1:$I$89,3,0)*VLOOKUP('Données projet'!$B$15,Paramètres!$A$1:$I$89,5,0)</f>
        <v>-8.8675733422860506E-14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197.51452239559433</v>
      </c>
      <c r="EP90" s="59">
        <f t="shared" si="100"/>
        <v>196.65166921588821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19.298079444509625</v>
      </c>
      <c r="EW90" s="21">
        <f>EXP(-LN(2)/25)*EW89+(1-EXP(-LN(2)/25))/(LN(2)/25)*Calculateur!ER90*Calculateur!ET90*VLOOKUP('Données projet'!$B$15,Paramètres!$A$1:$I$89,3,0)*0.475*44/12</f>
        <v>16.475372217073719</v>
      </c>
      <c r="EX90" s="21">
        <f>EXP(-LN(2)/2)*EX89+(1-EXP(-LN(2)/2))/(LN(2)/2)*ER90*EU90*VLOOKUP('Données projet'!$B$15,Paramètres!$A$1:$I$89,3,0)*0.475*44/12</f>
        <v>7.6066733840749468E-2</v>
      </c>
      <c r="EY90" s="22">
        <f t="shared" si="75"/>
        <v>35.849518395424091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927.45761782336695</v>
      </c>
      <c r="S91" s="59">
        <f ca="1">AVERAGE(OFFSET($R$3,0,0,'Données projet'!$E$9+1,1))-AVERAGE(OFFSET($H$3,0,0,'Données projet'!$E$9+1,1))</f>
        <v>635.71275911100679</v>
      </c>
      <c r="T91" s="59">
        <f t="shared" si="88"/>
        <v>281.7776857269169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9.1730000000000018</v>
      </c>
      <c r="AI91" s="13">
        <f>IF('Données projet'!$A$62&gt;35,AI90+AH91-AQ90,IF(A91&lt;'Données projet'!$A$62,$AF$205^A91,IF(A91='Données projet'!$A$62,'Données projet'!$B$62,AI90+AH91-AQ90)))</f>
        <v>325.0920000000005</v>
      </c>
      <c r="AJ91" s="13">
        <f>AI91*VLOOKUP('Données projet'!$B$10,Paramètres!$A$1:$I$89,3,0)*VLOOKUP('Données projet'!$B$10,Paramètres!$A$1:$I$89,5,0)</f>
        <v>329.64328800000055</v>
      </c>
      <c r="AK91" s="13">
        <f t="shared" si="89"/>
        <v>77.356347018802538</v>
      </c>
      <c r="AL91" s="20">
        <f t="shared" si="58"/>
        <v>708.85769765774864</v>
      </c>
      <c r="AM91" s="59">
        <f t="shared" si="59"/>
        <v>1002.191030991082</v>
      </c>
      <c r="AN91" s="59">
        <f ca="1">AVERAGE(OFFSET($AM$3,0,0,'Données projet'!$E$10+1,1))-AVERAGE(OFFSET($H$3,0,0,'Données projet'!$E$10+1,1))</f>
        <v>706.69239849991595</v>
      </c>
      <c r="AO91" s="59">
        <f t="shared" si="90"/>
        <v>310.59887275116529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22.815399591442866</v>
      </c>
      <c r="AV91" s="21">
        <f>EXP(-LN(2)/25)*AV90+(1-EXP(-LN(2)/25))/(LN(2)/25)*Calculateur!AQ91*Calculateur!AS91*VLOOKUP('Données projet'!$B$10,Paramètres!$A$1:$I$89,3,0)*0.475*44/12</f>
        <v>29.668603930533127</v>
      </c>
      <c r="AW91" s="21">
        <f>EXP(-LN(2)/2)*AW90+(1-EXP(-LN(2)/2))/(LN(2)/2)*AQ91*AT91*VLOOKUP('Données projet'!$B$10,Paramètres!$A$1:$I$89,3,0)*0.475*44/12</f>
        <v>1.6362941557156885</v>
      </c>
      <c r="AX91" s="21">
        <f t="shared" si="60"/>
        <v>54.120297677691681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309.35754720000051</v>
      </c>
      <c r="BF91" s="13">
        <f t="shared" si="91"/>
        <v>73.134644261396232</v>
      </c>
      <c r="BG91" s="20">
        <f t="shared" si="61"/>
        <v>666.17390012859926</v>
      </c>
      <c r="BH91" s="59">
        <f t="shared" si="62"/>
        <v>959.50723346193263</v>
      </c>
      <c r="BI91" s="59">
        <f ca="1">AVERAGE(OFFSET($BH$3,0,0,'Données projet'!$E$11+1,1))-AVERAGE(OFFSET($H$3,0,0,'Données projet'!$E$11+1,1))</f>
        <v>666.1523645983184</v>
      </c>
      <c r="BJ91" s="59">
        <f t="shared" si="92"/>
        <v>294.13851344047526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21.41137500120022</v>
      </c>
      <c r="BQ91" s="21">
        <f>EXP(-LN(2)/25)*BQ90+(1-EXP(-LN(2)/25))/(LN(2)/25)*Calculateur!BL91*Calculateur!BN91*VLOOKUP('Données projet'!$B$11,Paramètres!$A$1:$I$89,3,0)*0.475*44/12</f>
        <v>27.84284368865416</v>
      </c>
      <c r="BR91" s="21">
        <f>EXP(-LN(2)/2)*BR90+(1-EXP(-LN(2)/2))/(LN(2)/2)*BL91*BO91*VLOOKUP('Données projet'!$B$11,Paramètres!$A$1:$I$89,3,0)*0.475*44/12</f>
        <v>1.535599130748569</v>
      </c>
      <c r="BS91" s="22">
        <f t="shared" si="63"/>
        <v>50.789817820602956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9.1730000000000018</v>
      </c>
      <c r="BY91" s="12">
        <f>IF('Données projet'!$A$114&gt;35,BY90+BX91-CG90,IF(A91&lt;'Données projet'!$A$114,$BV$205^A91,IF(A91='Données projet'!$A$114,'Données projet'!$B$114,BY90+BX91-CG90)))</f>
        <v>325.0920000000005</v>
      </c>
      <c r="BZ91" s="13">
        <f>BY91*VLOOKUP('Données projet'!$B$12,Paramètres!$A$1:$I$89,3,0)*VLOOKUP('Données projet'!$B$12,Paramètres!$A$1:$I$89,5,0)</f>
        <v>349.92902880000048</v>
      </c>
      <c r="CA91" s="13">
        <f t="shared" si="93"/>
        <v>81.547897358426013</v>
      </c>
      <c r="CB91" s="20">
        <f t="shared" si="64"/>
        <v>751.48897972592613</v>
      </c>
      <c r="CC91" s="59">
        <f t="shared" si="65"/>
        <v>1044.8223130592594</v>
      </c>
      <c r="CD91" s="59">
        <f ca="1">AVERAGE(OFFSET($CC$3,0,0,'Données projet'!$E$12+1,1))-AVERAGE(OFFSET($H$3,0,0,'Données projet'!$E$12+1,1))</f>
        <v>747.18304127457918</v>
      </c>
      <c r="CE91" s="59">
        <f t="shared" si="94"/>
        <v>327.03701004966723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24.2194241816855</v>
      </c>
      <c r="CL91" s="21">
        <f>EXP(-LN(2)/25)*CL90+(1-EXP(-LN(2)/25))/(LN(2)/25)*Calculateur!CG91*Calculateur!CI91*VLOOKUP('Données projet'!$B$12,Paramètres!$A$1:$I$89,3,0)*0.475*44/12</f>
        <v>31.494364172412073</v>
      </c>
      <c r="CM91" s="21">
        <f>EXP(-LN(2)/2)*CM90+(1-EXP(-LN(2)/2))/(LN(2)/2)*CG91*CJ91*VLOOKUP('Données projet'!$B$12,Paramètres!$A$1:$I$89,3,0)*0.475*44/12</f>
        <v>1.7369891806828068</v>
      </c>
      <c r="CN91" s="22">
        <f t="shared" si="66"/>
        <v>57.450777534780379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9.1730000000000018</v>
      </c>
      <c r="CT91" s="12">
        <f>IF('Données projet'!$A$140&gt;35,CT90+CS91-DB90,IF(A91&lt;'Données projet'!$A$140,$CQ$205^A91,IF(A91='Données projet'!$A$140,'Données projet'!$B$140,CT90+CS91-DB90)))</f>
        <v>325.0920000000005</v>
      </c>
      <c r="CU91" s="17">
        <f>CT91*VLOOKUP('Données projet'!$B$13,Paramètres!$A$1:$I$89,3,0)*VLOOKUP('Données projet'!$B$13,Paramètres!$A$1:$I$89,5,0)</f>
        <v>314.42898240000051</v>
      </c>
      <c r="CV91" s="13">
        <f t="shared" si="95"/>
        <v>74.193012934278826</v>
      </c>
      <c r="CW91" s="20">
        <f t="shared" si="67"/>
        <v>676.8499752072031</v>
      </c>
      <c r="CX91" s="59">
        <f t="shared" si="68"/>
        <v>970.18330854053647</v>
      </c>
      <c r="CY91" s="59">
        <f ca="1">AVERAGE(OFFSET($CX$3,0,0,'Données projet'!$E$13+1,1))-AVERAGE(OFFSET($H$3,0,0,'Données projet'!$E$13+1,1))</f>
        <v>676.29219382388692</v>
      </c>
      <c r="CZ91" s="59">
        <f t="shared" si="96"/>
        <v>298.25577221580448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21.762381148760888</v>
      </c>
      <c r="DG91" s="21">
        <f>EXP(-LN(2)/25)*DG90+(1-EXP(-LN(2)/25))/(LN(2)/25)*Calculateur!DB91*Calculateur!DD91*VLOOKUP('Données projet'!$B$13,Paramètres!$A$1:$I$89,3,0)*0.475*44/12</f>
        <v>28.299283749123898</v>
      </c>
      <c r="DH91" s="21">
        <f>EXP(-LN(2)/2)*DH90+(1-EXP(-LN(2)/2))/(LN(2)/2)*DB91*DE91*VLOOKUP('Données projet'!$B$13,Paramètres!$A$1:$I$89,3,0)*0.475*44/12</f>
        <v>1.5607728869903486</v>
      </c>
      <c r="DI91" s="22">
        <f t="shared" si="69"/>
        <v>51.622437784875132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-1.1368683772161603E-13</v>
      </c>
      <c r="EK91" s="17">
        <f>EJ91*VLOOKUP('Données projet'!$B$15,Paramètres!$A$1:$I$89,3,0)*VLOOKUP('Données projet'!$B$15,Paramètres!$A$1:$I$89,5,0)</f>
        <v>-8.8675733422860506E-14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197.51452239559433</v>
      </c>
      <c r="EP91" s="59">
        <f t="shared" si="100"/>
        <v>196.65166921588821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18.919655877268994</v>
      </c>
      <c r="EW91" s="21">
        <f>EXP(-LN(2)/25)*EW90+(1-EXP(-LN(2)/25))/(LN(2)/25)*Calculateur!ER91*Calculateur!ET91*VLOOKUP('Données projet'!$B$15,Paramètres!$A$1:$I$89,3,0)*0.475*44/12</f>
        <v>16.024852297395668</v>
      </c>
      <c r="EX91" s="21">
        <f>EXP(-LN(2)/2)*EX90+(1-EXP(-LN(2)/2))/(LN(2)/2)*ER91*EU91*VLOOKUP('Données projet'!$B$15,Paramètres!$A$1:$I$89,3,0)*0.475*44/12</f>
        <v>5.3787303321506184E-2</v>
      </c>
      <c r="EY91" s="22">
        <f t="shared" si="75"/>
        <v>34.998295477986169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944.94540715665789</v>
      </c>
      <c r="S92" s="59">
        <f ca="1">AVERAGE(OFFSET($R$3,0,0,'Données projet'!$E$9+1,1))-AVERAGE(OFFSET($H$3,0,0,'Données projet'!$E$9+1,1))</f>
        <v>635.71275911100679</v>
      </c>
      <c r="T92" s="59">
        <f t="shared" si="88"/>
        <v>281.7776857269169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9.1730000000000018</v>
      </c>
      <c r="AI92" s="13">
        <f>IF('Données projet'!$A$62&gt;35,AI91+AH92-AQ91,IF(A92&lt;'Données projet'!$A$62,$AF$205^A92,IF(A92='Données projet'!$A$62,'Données projet'!$B$62,AI91+AH92-AQ91)))</f>
        <v>334.2650000000005</v>
      </c>
      <c r="AJ92" s="13">
        <f>AI92*VLOOKUP('Données projet'!$B$10,Paramètres!$A$1:$I$89,3,0)*VLOOKUP('Données projet'!$B$10,Paramètres!$A$1:$I$89,5,0)</f>
        <v>338.9447100000005</v>
      </c>
      <c r="AK92" s="13">
        <f t="shared" si="89"/>
        <v>79.281877395777414</v>
      </c>
      <c r="AL92" s="20">
        <f t="shared" si="58"/>
        <v>728.41130638097991</v>
      </c>
      <c r="AM92" s="59">
        <f t="shared" si="59"/>
        <v>1021.7446397143133</v>
      </c>
      <c r="AN92" s="59">
        <f ca="1">AVERAGE(OFFSET($AM$3,0,0,'Données projet'!$E$10+1,1))-AVERAGE(OFFSET($H$3,0,0,'Données projet'!$E$10+1,1))</f>
        <v>706.69239849991595</v>
      </c>
      <c r="AO92" s="59">
        <f t="shared" si="90"/>
        <v>310.59887275116529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22.368003521474328</v>
      </c>
      <c r="AV92" s="21">
        <f>EXP(-LN(2)/25)*AV91+(1-EXP(-LN(2)/25))/(LN(2)/25)*Calculateur!AQ92*Calculateur!AS92*VLOOKUP('Données projet'!$B$10,Paramètres!$A$1:$I$89,3,0)*0.475*44/12</f>
        <v>28.857314395848626</v>
      </c>
      <c r="AW92" s="21">
        <f>EXP(-LN(2)/2)*AW91+(1-EXP(-LN(2)/2))/(LN(2)/2)*AQ92*AT92*VLOOKUP('Données projet'!$B$10,Paramètres!$A$1:$I$89,3,0)*0.475*44/12</f>
        <v>1.15703469352248</v>
      </c>
      <c r="AX92" s="21">
        <f t="shared" si="60"/>
        <v>52.382352610845437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318.0865740000005</v>
      </c>
      <c r="BF92" s="13">
        <f t="shared" si="91"/>
        <v>74.955089312923036</v>
      </c>
      <c r="BG92" s="20">
        <f t="shared" si="61"/>
        <v>684.5475636033417</v>
      </c>
      <c r="BH92" s="59">
        <f t="shared" si="62"/>
        <v>977.88089693667507</v>
      </c>
      <c r="BI92" s="59">
        <f ca="1">AVERAGE(OFFSET($BH$3,0,0,'Données projet'!$E$11+1,1))-AVERAGE(OFFSET($H$3,0,0,'Données projet'!$E$11+1,1))</f>
        <v>666.1523645983184</v>
      </c>
      <c r="BJ92" s="59">
        <f t="shared" si="92"/>
        <v>294.13851344047526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20.991510997075903</v>
      </c>
      <c r="BQ92" s="21">
        <f>EXP(-LN(2)/25)*BQ91+(1-EXP(-LN(2)/25))/(LN(2)/25)*Calculateur!BL92*Calculateur!BN92*VLOOKUP('Données projet'!$B$11,Paramètres!$A$1:$I$89,3,0)*0.475*44/12</f>
        <v>27.081479663796397</v>
      </c>
      <c r="BR92" s="21">
        <f>EXP(-LN(2)/2)*BR91+(1-EXP(-LN(2)/2))/(LN(2)/2)*BL92*BO92*VLOOKUP('Données projet'!$B$11,Paramètres!$A$1:$I$89,3,0)*0.475*44/12</f>
        <v>1.085832558536481</v>
      </c>
      <c r="BS92" s="22">
        <f t="shared" si="63"/>
        <v>49.158823219408781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9.1730000000000018</v>
      </c>
      <c r="BY92" s="12">
        <f>IF('Données projet'!$A$114&gt;35,BY91+BX92-CG91,IF(A92&lt;'Données projet'!$A$114,$BV$205^A92,IF(A92='Données projet'!$A$114,'Données projet'!$B$114,BY91+BX92-CG91)))</f>
        <v>334.2650000000005</v>
      </c>
      <c r="BZ92" s="13">
        <f>BY92*VLOOKUP('Données projet'!$B$12,Paramètres!$A$1:$I$89,3,0)*VLOOKUP('Données projet'!$B$12,Paramètres!$A$1:$I$89,5,0)</f>
        <v>359.8028460000005</v>
      </c>
      <c r="CA92" s="13">
        <f t="shared" si="93"/>
        <v>83.577762516147487</v>
      </c>
      <c r="CB92" s="20">
        <f t="shared" si="64"/>
        <v>772.22122649895766</v>
      </c>
      <c r="CC92" s="59">
        <f t="shared" si="65"/>
        <v>1065.554559832291</v>
      </c>
      <c r="CD92" s="59">
        <f ca="1">AVERAGE(OFFSET($CC$3,0,0,'Données projet'!$E$12+1,1))-AVERAGE(OFFSET($H$3,0,0,'Données projet'!$E$12+1,1))</f>
        <v>747.18304127457918</v>
      </c>
      <c r="CE92" s="59">
        <f t="shared" si="94"/>
        <v>327.03701004966723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23.744496045872747</v>
      </c>
      <c r="CL92" s="21">
        <f>EXP(-LN(2)/25)*CL91+(1-EXP(-LN(2)/25))/(LN(2)/25)*Calculateur!CG92*Calculateur!CI92*VLOOKUP('Données projet'!$B$12,Paramètres!$A$1:$I$89,3,0)*0.475*44/12</f>
        <v>30.633149127900836</v>
      </c>
      <c r="CM92" s="21">
        <f>EXP(-LN(2)/2)*CM91+(1-EXP(-LN(2)/2))/(LN(2)/2)*CG92*CJ92*VLOOKUP('Données projet'!$B$12,Paramètres!$A$1:$I$89,3,0)*0.475*44/12</f>
        <v>1.2282368285084779</v>
      </c>
      <c r="CN92" s="22">
        <f t="shared" si="66"/>
        <v>55.605882002282065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9.1730000000000018</v>
      </c>
      <c r="CT92" s="12">
        <f>IF('Données projet'!$A$140&gt;35,CT91+CS92-DB91,IF(A92&lt;'Données projet'!$A$140,$CQ$205^A92,IF(A92='Données projet'!$A$140,'Données projet'!$B$140,CT91+CS92-DB91)))</f>
        <v>334.2650000000005</v>
      </c>
      <c r="CU92" s="17">
        <f>CT92*VLOOKUP('Données projet'!$B$13,Paramètres!$A$1:$I$89,3,0)*VLOOKUP('Données projet'!$B$13,Paramètres!$A$1:$I$89,5,0)</f>
        <v>323.30110800000045</v>
      </c>
      <c r="CV92" s="13">
        <f t="shared" si="95"/>
        <v>76.039802573007748</v>
      </c>
      <c r="CW92" s="20">
        <f t="shared" si="67"/>
        <v>695.51875258132259</v>
      </c>
      <c r="CX92" s="59">
        <f t="shared" si="68"/>
        <v>988.85208591465585</v>
      </c>
      <c r="CY92" s="59">
        <f ca="1">AVERAGE(OFFSET($CX$3,0,0,'Données projet'!$E$13+1,1))-AVERAGE(OFFSET($H$3,0,0,'Données projet'!$E$13+1,1))</f>
        <v>676.29219382388692</v>
      </c>
      <c r="CZ92" s="59">
        <f t="shared" si="96"/>
        <v>298.25577221580448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21.335634128175514</v>
      </c>
      <c r="DG92" s="21">
        <f>EXP(-LN(2)/25)*DG91+(1-EXP(-LN(2)/25))/(LN(2)/25)*Calculateur!DB92*Calculateur!DD92*VLOOKUP('Données projet'!$B$13,Paramètres!$A$1:$I$89,3,0)*0.475*44/12</f>
        <v>27.525438346809452</v>
      </c>
      <c r="DH92" s="21">
        <f>EXP(-LN(2)/2)*DH91+(1-EXP(-LN(2)/2))/(LN(2)/2)*DB92*DE92*VLOOKUP('Données projet'!$B$13,Paramètres!$A$1:$I$89,3,0)*0.475*44/12</f>
        <v>1.1036330922829805</v>
      </c>
      <c r="DI92" s="22">
        <f t="shared" si="69"/>
        <v>49.964705567267949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-1.1368683772161603E-13</v>
      </c>
      <c r="EK92" s="17">
        <f>EJ92*VLOOKUP('Données projet'!$B$15,Paramètres!$A$1:$I$89,3,0)*VLOOKUP('Données projet'!$B$15,Paramètres!$A$1:$I$89,5,0)</f>
        <v>-8.8675733422860506E-14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197.51452239559433</v>
      </c>
      <c r="EP92" s="59">
        <f t="shared" si="100"/>
        <v>196.65166921588821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18.548652965366369</v>
      </c>
      <c r="EW92" s="21">
        <f>EXP(-LN(2)/25)*EW91+(1-EXP(-LN(2)/25))/(LN(2)/25)*Calculateur!ER92*Calculateur!ET92*VLOOKUP('Données projet'!$B$15,Paramètres!$A$1:$I$89,3,0)*0.475*44/12</f>
        <v>15.586651868613027</v>
      </c>
      <c r="EX92" s="21">
        <f>EXP(-LN(2)/2)*EX91+(1-EXP(-LN(2)/2))/(LN(2)/2)*ER92*EU92*VLOOKUP('Données projet'!$B$15,Paramètres!$A$1:$I$89,3,0)*0.475*44/12</f>
        <v>3.8033366920374734E-2</v>
      </c>
      <c r="EY92" s="22">
        <f t="shared" si="75"/>
        <v>34.173338200899771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962.42352423410739</v>
      </c>
      <c r="S93" s="59">
        <f ca="1">AVERAGE(OFFSET($R$3,0,0,'Données projet'!$E$9+1,1))-AVERAGE(OFFSET($H$3,0,0,'Données projet'!$E$9+1,1))</f>
        <v>635.71275911100679</v>
      </c>
      <c r="T93" s="59">
        <f t="shared" si="88"/>
        <v>281.7776857269169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9.1730000000000018</v>
      </c>
      <c r="AI93" s="13">
        <f>IF('Données projet'!$A$62&gt;35,AI92+AH93-AQ92,IF(A93&lt;'Données projet'!$A$62,$AF$205^A93,IF(A93='Données projet'!$A$62,'Données projet'!$B$62,AI92+AH93-AQ92)))</f>
        <v>343.4380000000005</v>
      </c>
      <c r="AJ93" s="13">
        <f>AI93*VLOOKUP('Données projet'!$B$10,Paramètres!$A$1:$I$89,3,0)*VLOOKUP('Données projet'!$B$10,Paramètres!$A$1:$I$89,5,0)</f>
        <v>348.24613200000056</v>
      </c>
      <c r="AK93" s="13">
        <f t="shared" si="89"/>
        <v>81.201266081189317</v>
      </c>
      <c r="AL93" s="20">
        <f t="shared" si="58"/>
        <v>747.95421832473903</v>
      </c>
      <c r="AM93" s="59">
        <f t="shared" si="59"/>
        <v>1041.2875516580723</v>
      </c>
      <c r="AN93" s="59">
        <f ca="1">AVERAGE(OFFSET($AM$3,0,0,'Données projet'!$E$10+1,1))-AVERAGE(OFFSET($H$3,0,0,'Données projet'!$E$10+1,1))</f>
        <v>706.69239849991595</v>
      </c>
      <c r="AO93" s="59">
        <f t="shared" si="90"/>
        <v>310.59887275116529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21.929380615553217</v>
      </c>
      <c r="AV93" s="21">
        <f>EXP(-LN(2)/25)*AV92+(1-EXP(-LN(2)/25))/(LN(2)/25)*Calculateur!AQ93*Calculateur!AS93*VLOOKUP('Données projet'!$B$10,Paramètres!$A$1:$I$89,3,0)*0.475*44/12</f>
        <v>28.068209616153936</v>
      </c>
      <c r="AW93" s="21">
        <f>EXP(-LN(2)/2)*AW92+(1-EXP(-LN(2)/2))/(LN(2)/2)*AQ93*AT93*VLOOKUP('Données projet'!$B$10,Paramètres!$A$1:$I$89,3,0)*0.475*44/12</f>
        <v>0.81814707785784435</v>
      </c>
      <c r="AX93" s="21">
        <f t="shared" si="60"/>
        <v>50.815737309564994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326.81560080000048</v>
      </c>
      <c r="BF93" s="13">
        <f t="shared" si="91"/>
        <v>76.769727854125406</v>
      </c>
      <c r="BG93" s="20">
        <f t="shared" si="61"/>
        <v>702.91111407260257</v>
      </c>
      <c r="BH93" s="59">
        <f t="shared" si="62"/>
        <v>996.24444740593594</v>
      </c>
      <c r="BI93" s="59">
        <f ca="1">AVERAGE(OFFSET($BH$3,0,0,'Données projet'!$E$11+1,1))-AVERAGE(OFFSET($H$3,0,0,'Données projet'!$E$11+1,1))</f>
        <v>666.1523645983184</v>
      </c>
      <c r="BJ93" s="59">
        <f t="shared" si="92"/>
        <v>294.13851344047526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20.579880269980706</v>
      </c>
      <c r="BQ93" s="21">
        <f>EXP(-LN(2)/25)*BQ92+(1-EXP(-LN(2)/25))/(LN(2)/25)*Calculateur!BL93*Calculateur!BN93*VLOOKUP('Données projet'!$B$11,Paramètres!$A$1:$I$89,3,0)*0.475*44/12</f>
        <v>26.340935178236766</v>
      </c>
      <c r="BR93" s="21">
        <f>EXP(-LN(2)/2)*BR92+(1-EXP(-LN(2)/2))/(LN(2)/2)*BL93*BO93*VLOOKUP('Données projet'!$B$11,Paramètres!$A$1:$I$89,3,0)*0.475*44/12</f>
        <v>0.76779956537428451</v>
      </c>
      <c r="BS93" s="22">
        <f t="shared" si="63"/>
        <v>47.68861501359175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9.1730000000000018</v>
      </c>
      <c r="BY93" s="12">
        <f>IF('Données projet'!$A$114&gt;35,BY92+BX93-CG92,IF(A93&lt;'Données projet'!$A$114,$BV$205^A93,IF(A93='Données projet'!$A$114,'Données projet'!$B$114,BY92+BX93-CG92)))</f>
        <v>343.4380000000005</v>
      </c>
      <c r="BZ93" s="13">
        <f>BY93*VLOOKUP('Données projet'!$B$12,Paramètres!$A$1:$I$89,3,0)*VLOOKUP('Données projet'!$B$12,Paramètres!$A$1:$I$89,5,0)</f>
        <v>369.67666320000052</v>
      </c>
      <c r="CA93" s="13">
        <f t="shared" si="93"/>
        <v>85.601153195012515</v>
      </c>
      <c r="CB93" s="20">
        <f t="shared" si="64"/>
        <v>792.94219688798103</v>
      </c>
      <c r="CC93" s="59">
        <f t="shared" si="65"/>
        <v>1086.2755302213143</v>
      </c>
      <c r="CD93" s="59">
        <f ca="1">AVERAGE(OFFSET($CC$3,0,0,'Données projet'!$E$12+1,1))-AVERAGE(OFFSET($H$3,0,0,'Données projet'!$E$12+1,1))</f>
        <v>747.18304127457918</v>
      </c>
      <c r="CE93" s="59">
        <f t="shared" si="94"/>
        <v>327.03701004966723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23.278880961125722</v>
      </c>
      <c r="CL93" s="21">
        <f>EXP(-LN(2)/25)*CL92+(1-EXP(-LN(2)/25))/(LN(2)/25)*Calculateur!CG93*Calculateur!CI93*VLOOKUP('Données projet'!$B$12,Paramètres!$A$1:$I$89,3,0)*0.475*44/12</f>
        <v>29.795484054071089</v>
      </c>
      <c r="CM93" s="21">
        <f>EXP(-LN(2)/2)*CM92+(1-EXP(-LN(2)/2))/(LN(2)/2)*CG93*CJ93*VLOOKUP('Données projet'!$B$12,Paramètres!$A$1:$I$89,3,0)*0.475*44/12</f>
        <v>0.86849459034140342</v>
      </c>
      <c r="CN93" s="22">
        <f t="shared" si="66"/>
        <v>53.942859605538217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9.1730000000000018</v>
      </c>
      <c r="CT93" s="12">
        <f>IF('Données projet'!$A$140&gt;35,CT92+CS93-DB92,IF(A93&lt;'Données projet'!$A$140,$CQ$205^A93,IF(A93='Données projet'!$A$140,'Données projet'!$B$140,CT92+CS93-DB92)))</f>
        <v>343.4380000000005</v>
      </c>
      <c r="CU93" s="17">
        <f>CT93*VLOOKUP('Données projet'!$B$13,Paramètres!$A$1:$I$89,3,0)*VLOOKUP('Données projet'!$B$13,Paramètres!$A$1:$I$89,5,0)</f>
        <v>332.17323360000046</v>
      </c>
      <c r="CV93" s="13">
        <f t="shared" si="95"/>
        <v>77.880701672444999</v>
      </c>
      <c r="CW93" s="20">
        <f t="shared" si="67"/>
        <v>714.17727059950914</v>
      </c>
      <c r="CX93" s="59">
        <f t="shared" si="68"/>
        <v>1007.5106039328425</v>
      </c>
      <c r="CY93" s="59">
        <f ca="1">AVERAGE(OFFSET($CX$3,0,0,'Données projet'!$E$13+1,1))-AVERAGE(OFFSET($H$3,0,0,'Données projet'!$E$13+1,1))</f>
        <v>676.29219382388692</v>
      </c>
      <c r="CZ93" s="59">
        <f t="shared" si="96"/>
        <v>298.25577221580448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20.91725535637384</v>
      </c>
      <c r="DG93" s="21">
        <f>EXP(-LN(2)/25)*DG92+(1-EXP(-LN(2)/25))/(LN(2)/25)*Calculateur!DB93*Calculateur!DD93*VLOOKUP('Données projet'!$B$13,Paramètres!$A$1:$I$89,3,0)*0.475*44/12</f>
        <v>26.772753787716056</v>
      </c>
      <c r="DH93" s="21">
        <f>EXP(-LN(2)/2)*DH92+(1-EXP(-LN(2)/2))/(LN(2)/2)*DB93*DE93*VLOOKUP('Données projet'!$B$13,Paramètres!$A$1:$I$89,3,0)*0.475*44/12</f>
        <v>0.78038644349517428</v>
      </c>
      <c r="DI93" s="22">
        <f t="shared" si="69"/>
        <v>48.470395587585074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-1.1368683772161603E-13</v>
      </c>
      <c r="EK93" s="17">
        <f>EJ93*VLOOKUP('Données projet'!$B$15,Paramètres!$A$1:$I$89,3,0)*VLOOKUP('Données projet'!$B$15,Paramètres!$A$1:$I$89,5,0)</f>
        <v>-8.8675733422860506E-14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197.51452239559433</v>
      </c>
      <c r="EP93" s="59">
        <f t="shared" si="100"/>
        <v>196.65166921588821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18.184925194276722</v>
      </c>
      <c r="EW93" s="21">
        <f>EXP(-LN(2)/25)*EW92+(1-EXP(-LN(2)/25))/(LN(2)/25)*Calculateur!ER93*Calculateur!ET93*VLOOKUP('Données projet'!$B$15,Paramètres!$A$1:$I$89,3,0)*0.475*44/12</f>
        <v>15.160434053599406</v>
      </c>
      <c r="EX93" s="21">
        <f>EXP(-LN(2)/2)*EX92+(1-EXP(-LN(2)/2))/(LN(2)/2)*ER93*EU93*VLOOKUP('Données projet'!$B$15,Paramètres!$A$1:$I$89,3,0)*0.475*44/12</f>
        <v>2.6893651660753092E-2</v>
      </c>
      <c r="EY93" s="22">
        <f t="shared" si="75"/>
        <v>33.372252899536882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979.89225708741196</v>
      </c>
      <c r="S94" s="59">
        <f ca="1">AVERAGE(OFFSET($R$3,0,0,'Données projet'!$E$9+1,1))-AVERAGE(OFFSET($H$3,0,0,'Données projet'!$E$9+1,1))</f>
        <v>635.71275911100679</v>
      </c>
      <c r="T94" s="59">
        <f t="shared" si="88"/>
        <v>281.7776857269169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9.1730000000000018</v>
      </c>
      <c r="AI94" s="13">
        <f>IF('Données projet'!$A$62&gt;35,AI93+AH94-AQ93,IF(A94&lt;'Données projet'!$A$62,$AF$205^A94,IF(A94='Données projet'!$A$62,'Données projet'!$B$62,AI93+AH94-AQ93)))</f>
        <v>352.6110000000005</v>
      </c>
      <c r="AJ94" s="13">
        <f>AI94*VLOOKUP('Données projet'!$B$10,Paramètres!$A$1:$I$89,3,0)*VLOOKUP('Données projet'!$B$10,Paramètres!$A$1:$I$89,5,0)</f>
        <v>357.54755400000056</v>
      </c>
      <c r="AK94" s="13">
        <f t="shared" si="89"/>
        <v>83.114695969480493</v>
      </c>
      <c r="AL94" s="20">
        <f t="shared" si="58"/>
        <v>767.48675203017956</v>
      </c>
      <c r="AM94" s="59">
        <f t="shared" si="59"/>
        <v>1060.8200853635128</v>
      </c>
      <c r="AN94" s="59">
        <f ca="1">AVERAGE(OFFSET($AM$3,0,0,'Données projet'!$E$10+1,1))-AVERAGE(OFFSET($H$3,0,0,'Données projet'!$E$10+1,1))</f>
        <v>706.69239849991595</v>
      </c>
      <c r="AO94" s="59">
        <f t="shared" si="90"/>
        <v>310.59887275116529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21.499358837283662</v>
      </c>
      <c r="AV94" s="21">
        <f>EXP(-LN(2)/25)*AV93+(1-EXP(-LN(2)/25))/(LN(2)/25)*Calculateur!AQ94*Calculateur!AS94*VLOOKUP('Données projet'!$B$10,Paramètres!$A$1:$I$89,3,0)*0.475*44/12</f>
        <v>27.300682948157213</v>
      </c>
      <c r="AW94" s="21">
        <f>EXP(-LN(2)/2)*AW93+(1-EXP(-LN(2)/2))/(LN(2)/2)*AQ94*AT94*VLOOKUP('Données projet'!$B$10,Paramètres!$A$1:$I$89,3,0)*0.475*44/12</f>
        <v>0.57851734676124</v>
      </c>
      <c r="AX94" s="21">
        <f t="shared" si="60"/>
        <v>49.378559132202113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335.54462760000047</v>
      </c>
      <c r="BF94" s="13">
        <f t="shared" si="91"/>
        <v>78.578732798028639</v>
      </c>
      <c r="BG94" s="20">
        <f t="shared" si="61"/>
        <v>721.26485269323393</v>
      </c>
      <c r="BH94" s="59">
        <f t="shared" si="62"/>
        <v>1014.5981860265672</v>
      </c>
      <c r="BI94" s="59">
        <f ca="1">AVERAGE(OFFSET($BH$3,0,0,'Données projet'!$E$11+1,1))-AVERAGE(OFFSET($H$3,0,0,'Données projet'!$E$11+1,1))</f>
        <v>666.1523645983184</v>
      </c>
      <c r="BJ94" s="59">
        <f t="shared" si="92"/>
        <v>294.13851344047526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20.176321370373895</v>
      </c>
      <c r="BQ94" s="21">
        <f>EXP(-LN(2)/25)*BQ93+(1-EXP(-LN(2)/25))/(LN(2)/25)*Calculateur!BL94*Calculateur!BN94*VLOOKUP('Données projet'!$B$11,Paramètres!$A$1:$I$89,3,0)*0.475*44/12</f>
        <v>25.620640920578303</v>
      </c>
      <c r="BR94" s="21">
        <f>EXP(-LN(2)/2)*BR93+(1-EXP(-LN(2)/2))/(LN(2)/2)*BL94*BO94*VLOOKUP('Données projet'!$B$11,Paramètres!$A$1:$I$89,3,0)*0.475*44/12</f>
        <v>0.54291627926824049</v>
      </c>
      <c r="BS94" s="22">
        <f t="shared" si="63"/>
        <v>46.339878570220435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9.1730000000000018</v>
      </c>
      <c r="BY94" s="12">
        <f>IF('Données projet'!$A$114&gt;35,BY93+BX94-CG93,IF(A94&lt;'Données projet'!$A$114,$BV$205^A94,IF(A94='Données projet'!$A$114,'Données projet'!$B$114,BY93+BX94-CG93)))</f>
        <v>352.6110000000005</v>
      </c>
      <c r="BZ94" s="13">
        <f>BY94*VLOOKUP('Données projet'!$B$12,Paramètres!$A$1:$I$89,3,0)*VLOOKUP('Données projet'!$B$12,Paramètres!$A$1:$I$89,5,0)</f>
        <v>379.55048040000048</v>
      </c>
      <c r="CA94" s="13">
        <f t="shared" si="93"/>
        <v>87.618262199590845</v>
      </c>
      <c r="CB94" s="20">
        <f t="shared" si="64"/>
        <v>813.65222669428829</v>
      </c>
      <c r="CC94" s="59">
        <f t="shared" si="65"/>
        <v>1106.9855600276217</v>
      </c>
      <c r="CD94" s="59">
        <f ca="1">AVERAGE(OFFSET($CC$3,0,0,'Données projet'!$E$12+1,1))-AVERAGE(OFFSET($H$3,0,0,'Données projet'!$E$12+1,1))</f>
        <v>747.18304127457918</v>
      </c>
      <c r="CE94" s="59">
        <f t="shared" si="94"/>
        <v>327.03701004966723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22.822396304193425</v>
      </c>
      <c r="CL94" s="21">
        <f>EXP(-LN(2)/25)*CL93+(1-EXP(-LN(2)/25))/(LN(2)/25)*Calculateur!CG94*Calculateur!CI94*VLOOKUP('Données projet'!$B$12,Paramètres!$A$1:$I$89,3,0)*0.475*44/12</f>
        <v>28.980724975736106</v>
      </c>
      <c r="CM94" s="21">
        <f>EXP(-LN(2)/2)*CM93+(1-EXP(-LN(2)/2))/(LN(2)/2)*CG94*CJ94*VLOOKUP('Données projet'!$B$12,Paramètres!$A$1:$I$89,3,0)*0.475*44/12</f>
        <v>0.61411841425423896</v>
      </c>
      <c r="CN94" s="22">
        <f t="shared" si="66"/>
        <v>52.417239694183763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9.1730000000000018</v>
      </c>
      <c r="CT94" s="12">
        <f>IF('Données projet'!$A$140&gt;35,CT93+CS94-DB93,IF(A94&lt;'Données projet'!$A$140,$CQ$205^A94,IF(A94='Données projet'!$A$140,'Données projet'!$B$140,CT93+CS94-DB93)))</f>
        <v>352.6110000000005</v>
      </c>
      <c r="CU94" s="17">
        <f>CT94*VLOOKUP('Données projet'!$B$13,Paramètres!$A$1:$I$89,3,0)*VLOOKUP('Données projet'!$B$13,Paramètres!$A$1:$I$89,5,0)</f>
        <v>341.04535920000052</v>
      </c>
      <c r="CV94" s="13">
        <f t="shared" si="95"/>
        <v>79.715885647928317</v>
      </c>
      <c r="CW94" s="20">
        <f t="shared" si="67"/>
        <v>732.8258347768093</v>
      </c>
      <c r="CX94" s="59">
        <f t="shared" si="68"/>
        <v>1026.1591681101427</v>
      </c>
      <c r="CY94" s="59">
        <f ca="1">AVERAGE(OFFSET($CX$3,0,0,'Données projet'!$E$13+1,1))-AVERAGE(OFFSET($H$3,0,0,'Données projet'!$E$13+1,1))</f>
        <v>676.29219382388692</v>
      </c>
      <c r="CZ94" s="59">
        <f t="shared" si="96"/>
        <v>298.25577221580448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20.507080737101344</v>
      </c>
      <c r="DG94" s="21">
        <f>EXP(-LN(2)/25)*DG93+(1-EXP(-LN(2)/25))/(LN(2)/25)*Calculateur!DB94*Calculateur!DD94*VLOOKUP('Données projet'!$B$13,Paramètres!$A$1:$I$89,3,0)*0.475*44/12</f>
        <v>26.04065142747303</v>
      </c>
      <c r="DH94" s="21">
        <f>EXP(-LN(2)/2)*DH93+(1-EXP(-LN(2)/2))/(LN(2)/2)*DB94*DE94*VLOOKUP('Données projet'!$B$13,Paramètres!$A$1:$I$89,3,0)*0.475*44/12</f>
        <v>0.55181654614149023</v>
      </c>
      <c r="DI94" s="22">
        <f t="shared" si="69"/>
        <v>47.099548710715858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-1.1368683772161603E-13</v>
      </c>
      <c r="EK94" s="17">
        <f>EJ94*VLOOKUP('Données projet'!$B$15,Paramètres!$A$1:$I$89,3,0)*VLOOKUP('Données projet'!$B$15,Paramètres!$A$1:$I$89,5,0)</f>
        <v>-8.8675733422860506E-14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197.51452239559433</v>
      </c>
      <c r="EP94" s="59">
        <f t="shared" si="100"/>
        <v>196.65166921588821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17.828329902926111</v>
      </c>
      <c r="EW94" s="21">
        <f>EXP(-LN(2)/25)*EW93+(1-EXP(-LN(2)/25))/(LN(2)/25)*Calculateur!ER94*Calculateur!ET94*VLOOKUP('Données projet'!$B$15,Paramètres!$A$1:$I$89,3,0)*0.475*44/12</f>
        <v>14.745871187151153</v>
      </c>
      <c r="EX94" s="21">
        <f>EXP(-LN(2)/2)*EX93+(1-EXP(-LN(2)/2))/(LN(2)/2)*ER94*EU94*VLOOKUP('Données projet'!$B$15,Paramètres!$A$1:$I$89,3,0)*0.475*44/12</f>
        <v>1.9016683460187367E-2</v>
      </c>
      <c r="EY94" s="22">
        <f t="shared" si="75"/>
        <v>32.593217773537454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997.35187790867371</v>
      </c>
      <c r="S95" s="59">
        <f ca="1">AVERAGE(OFFSET($R$3,0,0,'Données projet'!$E$9+1,1))-AVERAGE(OFFSET($H$3,0,0,'Données projet'!$E$9+1,1))</f>
        <v>635.71275911100679</v>
      </c>
      <c r="T95" s="59">
        <f t="shared" si="88"/>
        <v>281.7776857269169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9.1730000000000018</v>
      </c>
      <c r="AI95" s="13">
        <f>IF('Données projet'!$A$62&gt;35,AI94+AH95-AQ94,IF(A95&lt;'Données projet'!$A$62,$AF$205^A95,IF(A95='Données projet'!$A$62,'Données projet'!$B$62,AI94+AH95-AQ94)))</f>
        <v>361.7840000000005</v>
      </c>
      <c r="AJ95" s="13">
        <f>AI95*VLOOKUP('Données projet'!$B$10,Paramètres!$A$1:$I$89,3,0)*VLOOKUP('Données projet'!$B$10,Paramètres!$A$1:$I$89,5,0)</f>
        <v>366.8489760000005</v>
      </c>
      <c r="AK95" s="13">
        <f t="shared" si="89"/>
        <v>85.022339897263734</v>
      </c>
      <c r="AL95" s="20">
        <f t="shared" si="58"/>
        <v>787.00920852106856</v>
      </c>
      <c r="AM95" s="59">
        <f t="shared" si="59"/>
        <v>1080.3425418544018</v>
      </c>
      <c r="AN95" s="59">
        <f ca="1">AVERAGE(OFFSET($AM$3,0,0,'Données projet'!$E$10+1,1))-AVERAGE(OFFSET($H$3,0,0,'Données projet'!$E$10+1,1))</f>
        <v>706.69239849991595</v>
      </c>
      <c r="AO95" s="59">
        <f t="shared" si="90"/>
        <v>310.59887275116529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21.077769523798587</v>
      </c>
      <c r="AV95" s="21">
        <f>EXP(-LN(2)/25)*AV94+(1-EXP(-LN(2)/25))/(LN(2)/25)*Calculateur!AQ95*Calculateur!AS95*VLOOKUP('Données projet'!$B$10,Paramètres!$A$1:$I$89,3,0)*0.475*44/12</f>
        <v>26.554144337259334</v>
      </c>
      <c r="AW95" s="21">
        <f>EXP(-LN(2)/2)*AW94+(1-EXP(-LN(2)/2))/(LN(2)/2)*AQ95*AT95*VLOOKUP('Données projet'!$B$10,Paramètres!$A$1:$I$89,3,0)*0.475*44/12</f>
        <v>0.40907353892892218</v>
      </c>
      <c r="AX95" s="21">
        <f t="shared" si="60"/>
        <v>48.040987399986847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344.27365440000045</v>
      </c>
      <c r="BF95" s="13">
        <f t="shared" si="91"/>
        <v>80.382267548731363</v>
      </c>
      <c r="BG95" s="20">
        <f t="shared" si="61"/>
        <v>739.60906406070796</v>
      </c>
      <c r="BH95" s="59">
        <f t="shared" si="62"/>
        <v>1032.9423973940413</v>
      </c>
      <c r="BI95" s="59">
        <f ca="1">AVERAGE(OFFSET($BH$3,0,0,'Données projet'!$E$11+1,1))-AVERAGE(OFFSET($H$3,0,0,'Données projet'!$E$11+1,1))</f>
        <v>666.1523645983184</v>
      </c>
      <c r="BJ95" s="59">
        <f t="shared" si="92"/>
        <v>294.13851344047526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19.780676014641749</v>
      </c>
      <c r="BQ95" s="21">
        <f>EXP(-LN(2)/25)*BQ94+(1-EXP(-LN(2)/25))/(LN(2)/25)*Calculateur!BL95*Calculateur!BN95*VLOOKUP('Données projet'!$B$11,Paramètres!$A$1:$I$89,3,0)*0.475*44/12</f>
        <v>24.920043147274139</v>
      </c>
      <c r="BR95" s="21">
        <f>EXP(-LN(2)/2)*BR94+(1-EXP(-LN(2)/2))/(LN(2)/2)*BL95*BO95*VLOOKUP('Données projet'!$B$11,Paramètres!$A$1:$I$89,3,0)*0.475*44/12</f>
        <v>0.38389978268714225</v>
      </c>
      <c r="BS95" s="22">
        <f t="shared" si="63"/>
        <v>45.084618944603029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9.1730000000000018</v>
      </c>
      <c r="BY95" s="12">
        <f>IF('Données projet'!$A$114&gt;35,BY94+BX95-CG94,IF(A95&lt;'Données projet'!$A$114,$BV$205^A95,IF(A95='Données projet'!$A$114,'Données projet'!$B$114,BY94+BX95-CG94)))</f>
        <v>361.7840000000005</v>
      </c>
      <c r="BZ95" s="13">
        <f>BY95*VLOOKUP('Données projet'!$B$12,Paramètres!$A$1:$I$89,3,0)*VLOOKUP('Données projet'!$B$12,Paramètres!$A$1:$I$89,5,0)</f>
        <v>389.4242976000005</v>
      </c>
      <c r="CA95" s="13">
        <f t="shared" si="93"/>
        <v>89.629271731639719</v>
      </c>
      <c r="CB95" s="20">
        <f t="shared" si="64"/>
        <v>834.3516332526068</v>
      </c>
      <c r="CC95" s="59">
        <f t="shared" si="65"/>
        <v>1127.6849665859402</v>
      </c>
      <c r="CD95" s="59">
        <f ca="1">AVERAGE(OFFSET($CC$3,0,0,'Données projet'!$E$12+1,1))-AVERAGE(OFFSET($H$3,0,0,'Données projet'!$E$12+1,1))</f>
        <v>747.18304127457918</v>
      </c>
      <c r="CE95" s="59">
        <f t="shared" si="94"/>
        <v>327.03701004966723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22.374863032955425</v>
      </c>
      <c r="CL95" s="21">
        <f>EXP(-LN(2)/25)*CL94+(1-EXP(-LN(2)/25))/(LN(2)/25)*Calculateur!CG95*Calculateur!CI95*VLOOKUP('Données projet'!$B$12,Paramètres!$A$1:$I$89,3,0)*0.475*44/12</f>
        <v>28.188245527244511</v>
      </c>
      <c r="CM95" s="21">
        <f>EXP(-LN(2)/2)*CM94+(1-EXP(-LN(2)/2))/(LN(2)/2)*CG95*CJ95*VLOOKUP('Données projet'!$B$12,Paramètres!$A$1:$I$89,3,0)*0.475*44/12</f>
        <v>0.43424729517070171</v>
      </c>
      <c r="CN95" s="22">
        <f t="shared" si="66"/>
        <v>50.997355855370635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9.1730000000000018</v>
      </c>
      <c r="CT95" s="12">
        <f>IF('Données projet'!$A$140&gt;35,CT94+CS95-DB94,IF(A95&lt;'Données projet'!$A$140,$CQ$205^A95,IF(A95='Données projet'!$A$140,'Données projet'!$B$140,CT94+CS95-DB94)))</f>
        <v>361.7840000000005</v>
      </c>
      <c r="CU95" s="17">
        <f>CT95*VLOOKUP('Données projet'!$B$13,Paramètres!$A$1:$I$89,3,0)*VLOOKUP('Données projet'!$B$13,Paramètres!$A$1:$I$89,5,0)</f>
        <v>349.91748480000052</v>
      </c>
      <c r="CV95" s="13">
        <f t="shared" si="95"/>
        <v>81.545520268260205</v>
      </c>
      <c r="CW95" s="20">
        <f t="shared" si="67"/>
        <v>751.4647338272207</v>
      </c>
      <c r="CX95" s="59">
        <f t="shared" si="68"/>
        <v>1044.798067160554</v>
      </c>
      <c r="CY95" s="59">
        <f ca="1">AVERAGE(OFFSET($CX$3,0,0,'Données projet'!$E$13+1,1))-AVERAGE(OFFSET($H$3,0,0,'Données projet'!$E$13+1,1))</f>
        <v>676.29219382388692</v>
      </c>
      <c r="CZ95" s="59">
        <f t="shared" si="96"/>
        <v>298.25577221580448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20.104949391930965</v>
      </c>
      <c r="DG95" s="21">
        <f>EXP(-LN(2)/25)*DG94+(1-EXP(-LN(2)/25))/(LN(2)/25)*Calculateur!DB95*Calculateur!DD95*VLOOKUP('Données projet'!$B$13,Paramètres!$A$1:$I$89,3,0)*0.475*44/12</f>
        <v>25.328568444770436</v>
      </c>
      <c r="DH95" s="21">
        <f>EXP(-LN(2)/2)*DH94+(1-EXP(-LN(2)/2))/(LN(2)/2)*DB95*DE95*VLOOKUP('Données projet'!$B$13,Paramètres!$A$1:$I$89,3,0)*0.475*44/12</f>
        <v>0.39019322174758714</v>
      </c>
      <c r="DI95" s="22">
        <f t="shared" si="69"/>
        <v>45.823711058448986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-1.1368683772161603E-13</v>
      </c>
      <c r="EK95" s="17">
        <f>EJ95*VLOOKUP('Données projet'!$B$15,Paramètres!$A$1:$I$89,3,0)*VLOOKUP('Données projet'!$B$15,Paramètres!$A$1:$I$89,5,0)</f>
        <v>-8.8675733422860506E-14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197.51452239559433</v>
      </c>
      <c r="EP95" s="59">
        <f t="shared" si="100"/>
        <v>196.65166921588821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17.478727227737231</v>
      </c>
      <c r="EW95" s="21">
        <f>EXP(-LN(2)/25)*EW94+(1-EXP(-LN(2)/25))/(LN(2)/25)*Calculateur!ER95*Calculateur!ET95*VLOOKUP('Données projet'!$B$15,Paramètres!$A$1:$I$89,3,0)*0.475*44/12</f>
        <v>14.342644564086841</v>
      </c>
      <c r="EX95" s="21">
        <f>EXP(-LN(2)/2)*EX94+(1-EXP(-LN(2)/2))/(LN(2)/2)*ER95*EU95*VLOOKUP('Données projet'!$B$15,Paramètres!$A$1:$I$89,3,0)*0.475*44/12</f>
        <v>1.3446825830376546E-2</v>
      </c>
      <c r="EY95" s="22">
        <f t="shared" si="75"/>
        <v>31.834818617654445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1014.8026443006772</v>
      </c>
      <c r="S96" s="59">
        <f ca="1">AVERAGE(OFFSET($R$3,0,0,'Données projet'!$E$9+1,1))-AVERAGE(OFFSET($H$3,0,0,'Données projet'!$E$9+1,1))</f>
        <v>635.71275911100679</v>
      </c>
      <c r="T96" s="59">
        <f t="shared" si="88"/>
        <v>281.7776857269169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9.1730000000000018</v>
      </c>
      <c r="AI96" s="13">
        <f>IF('Données projet'!$A$62&gt;35,AI95+AH96-AQ95,IF(A96&lt;'Données projet'!$A$62,$AF$205^A96,IF(A96='Données projet'!$A$62,'Données projet'!$B$62,AI95+AH96-AQ95)))</f>
        <v>370.95700000000051</v>
      </c>
      <c r="AJ96" s="13">
        <f>AI96*VLOOKUP('Données projet'!$B$10,Paramètres!$A$1:$I$89,3,0)*VLOOKUP('Données projet'!$B$10,Paramètres!$A$1:$I$89,5,0)</f>
        <v>376.15039800000056</v>
      </c>
      <c r="AK96" s="13">
        <f t="shared" si="89"/>
        <v>86.92436143722324</v>
      </c>
      <c r="AL96" s="20">
        <f t="shared" si="58"/>
        <v>806.52187268649811</v>
      </c>
      <c r="AM96" s="59">
        <f t="shared" si="59"/>
        <v>1099.8552060198315</v>
      </c>
      <c r="AN96" s="59">
        <f ca="1">AVERAGE(OFFSET($AM$3,0,0,'Données projet'!$E$10+1,1))-AVERAGE(OFFSET($H$3,0,0,'Données projet'!$E$10+1,1))</f>
        <v>706.69239849991595</v>
      </c>
      <c r="AO96" s="59">
        <f t="shared" si="90"/>
        <v>310.59887275116529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20.664447319606865</v>
      </c>
      <c r="AV96" s="21">
        <f>EXP(-LN(2)/25)*AV95+(1-EXP(-LN(2)/25))/(LN(2)/25)*Calculateur!AQ96*Calculateur!AS96*VLOOKUP('Données projet'!$B$10,Paramètres!$A$1:$I$89,3,0)*0.475*44/12</f>
        <v>25.828019863935218</v>
      </c>
      <c r="AW96" s="21">
        <f>EXP(-LN(2)/2)*AW95+(1-EXP(-LN(2)/2))/(LN(2)/2)*AQ96*AT96*VLOOKUP('Données projet'!$B$10,Paramètres!$A$1:$I$89,3,0)*0.475*44/12</f>
        <v>0.28925867338062</v>
      </c>
      <c r="AX96" s="21">
        <f t="shared" si="60"/>
        <v>46.781725856922705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353.0026812000005</v>
      </c>
      <c r="BF96" s="13">
        <f t="shared" si="91"/>
        <v>82.180486751981036</v>
      </c>
      <c r="BG96" s="20">
        <f t="shared" si="61"/>
        <v>757.94401751636781</v>
      </c>
      <c r="BH96" s="59">
        <f t="shared" si="62"/>
        <v>1051.2773508497012</v>
      </c>
      <c r="BI96" s="59">
        <f ca="1">AVERAGE(OFFSET($BH$3,0,0,'Données projet'!$E$11+1,1))-AVERAGE(OFFSET($H$3,0,0,'Données projet'!$E$11+1,1))</f>
        <v>666.1523645983184</v>
      </c>
      <c r="BJ96" s="59">
        <f t="shared" si="92"/>
        <v>294.13851344047526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19.39278902301567</v>
      </c>
      <c r="BQ96" s="21">
        <f>EXP(-LN(2)/25)*BQ95+(1-EXP(-LN(2)/25))/(LN(2)/25)*Calculateur!BL96*Calculateur!BN96*VLOOKUP('Données projet'!$B$11,Paramètres!$A$1:$I$89,3,0)*0.475*44/12</f>
        <v>24.238603256923813</v>
      </c>
      <c r="BR96" s="21">
        <f>EXP(-LN(2)/2)*BR95+(1-EXP(-LN(2)/2))/(LN(2)/2)*BL96*BO96*VLOOKUP('Données projet'!$B$11,Paramètres!$A$1:$I$89,3,0)*0.475*44/12</f>
        <v>0.27145813963412024</v>
      </c>
      <c r="BS96" s="22">
        <f t="shared" si="63"/>
        <v>43.902850419573603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9.1730000000000018</v>
      </c>
      <c r="BY96" s="12">
        <f>IF('Données projet'!$A$114&gt;35,BY95+BX96-CG95,IF(A96&lt;'Données projet'!$A$114,$BV$205^A96,IF(A96='Données projet'!$A$114,'Données projet'!$B$114,BY95+BX96-CG95)))</f>
        <v>370.95700000000051</v>
      </c>
      <c r="BZ96" s="13">
        <f>BY96*VLOOKUP('Données projet'!$B$12,Paramètres!$A$1:$I$89,3,0)*VLOOKUP('Données projet'!$B$12,Paramètres!$A$1:$I$89,5,0)</f>
        <v>399.29811480000052</v>
      </c>
      <c r="CA96" s="13">
        <f t="shared" si="93"/>
        <v>91.6343542270222</v>
      </c>
      <c r="CB96" s="20">
        <f t="shared" si="64"/>
        <v>855.04071688873125</v>
      </c>
      <c r="CC96" s="59">
        <f t="shared" si="65"/>
        <v>1148.3740502220646</v>
      </c>
      <c r="CD96" s="59">
        <f ca="1">AVERAGE(OFFSET($CC$3,0,0,'Données projet'!$E$12+1,1))-AVERAGE(OFFSET($H$3,0,0,'Données projet'!$E$12+1,1))</f>
        <v>747.18304127457918</v>
      </c>
      <c r="CE96" s="59">
        <f t="shared" si="94"/>
        <v>327.03701004966723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21.936105616198059</v>
      </c>
      <c r="CL96" s="21">
        <f>EXP(-LN(2)/25)*CL95+(1-EXP(-LN(2)/25))/(LN(2)/25)*Calculateur!CG96*Calculateur!CI96*VLOOKUP('Données projet'!$B$12,Paramètres!$A$1:$I$89,3,0)*0.475*44/12</f>
        <v>27.417436470946605</v>
      </c>
      <c r="CM96" s="21">
        <f>EXP(-LN(2)/2)*CM95+(1-EXP(-LN(2)/2))/(LN(2)/2)*CG96*CJ96*VLOOKUP('Données projet'!$B$12,Paramètres!$A$1:$I$89,3,0)*0.475*44/12</f>
        <v>0.30705920712711948</v>
      </c>
      <c r="CN96" s="22">
        <f t="shared" si="66"/>
        <v>49.660601294271778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9.1730000000000018</v>
      </c>
      <c r="CT96" s="12">
        <f>IF('Données projet'!$A$140&gt;35,CT95+CS96-DB95,IF(A96&lt;'Données projet'!$A$140,$CQ$205^A96,IF(A96='Données projet'!$A$140,'Données projet'!$B$140,CT95+CS96-DB95)))</f>
        <v>370.95700000000051</v>
      </c>
      <c r="CU96" s="17">
        <f>CT96*VLOOKUP('Données projet'!$B$13,Paramètres!$A$1:$I$89,3,0)*VLOOKUP('Données projet'!$B$13,Paramètres!$A$1:$I$89,5,0)</f>
        <v>358.78961040000047</v>
      </c>
      <c r="CV96" s="13">
        <f t="shared" si="95"/>
        <v>83.369762417145594</v>
      </c>
      <c r="CW96" s="20">
        <f t="shared" si="67"/>
        <v>770.09424098986267</v>
      </c>
      <c r="CX96" s="59">
        <f t="shared" si="68"/>
        <v>1063.427574323196</v>
      </c>
      <c r="CY96" s="59">
        <f ca="1">AVERAGE(OFFSET($CX$3,0,0,'Données projet'!$E$13+1,1))-AVERAGE(OFFSET($H$3,0,0,'Données projet'!$E$13+1,1))</f>
        <v>676.29219382388692</v>
      </c>
      <c r="CZ96" s="59">
        <f t="shared" si="96"/>
        <v>298.25577221580448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19.710703597163477</v>
      </c>
      <c r="DG96" s="21">
        <f>EXP(-LN(2)/25)*DG95+(1-EXP(-LN(2)/25))/(LN(2)/25)*Calculateur!DB96*Calculateur!DD96*VLOOKUP('Données projet'!$B$13,Paramètres!$A$1:$I$89,3,0)*0.475*44/12</f>
        <v>24.635957408676664</v>
      </c>
      <c r="DH96" s="21">
        <f>EXP(-LN(2)/2)*DH95+(1-EXP(-LN(2)/2))/(LN(2)/2)*DB96*DE96*VLOOKUP('Données projet'!$B$13,Paramètres!$A$1:$I$89,3,0)*0.475*44/12</f>
        <v>0.27590827307074511</v>
      </c>
      <c r="DI96" s="22">
        <f t="shared" si="69"/>
        <v>44.622569278910888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-1.1368683772161603E-13</v>
      </c>
      <c r="EK96" s="17">
        <f>EJ96*VLOOKUP('Données projet'!$B$15,Paramètres!$A$1:$I$89,3,0)*VLOOKUP('Données projet'!$B$15,Paramètres!$A$1:$I$89,5,0)</f>
        <v>-8.8675733422860506E-14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197.51452239559433</v>
      </c>
      <c r="EP96" s="59">
        <f t="shared" si="100"/>
        <v>196.65166921588821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17.135980047772229</v>
      </c>
      <c r="EW96" s="21">
        <f>EXP(-LN(2)/25)*EW95+(1-EXP(-LN(2)/25))/(LN(2)/25)*Calculateur!ER96*Calculateur!ET96*VLOOKUP('Données projet'!$B$15,Paramètres!$A$1:$I$89,3,0)*0.475*44/12</f>
        <v>13.95044419423499</v>
      </c>
      <c r="EX96" s="21">
        <f>EXP(-LN(2)/2)*EX95+(1-EXP(-LN(2)/2))/(LN(2)/2)*ER96*EU96*VLOOKUP('Données projet'!$B$15,Paramètres!$A$1:$I$89,3,0)*0.475*44/12</f>
        <v>9.5083417300936834E-3</v>
      </c>
      <c r="EY96" s="22">
        <f t="shared" si="75"/>
        <v>31.095932583737312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1032.2448004000205</v>
      </c>
      <c r="S97" s="59">
        <f ca="1">AVERAGE(OFFSET($R$3,0,0,'Données projet'!$E$9+1,1))-AVERAGE(OFFSET($H$3,0,0,'Données projet'!$E$9+1,1))</f>
        <v>635.71275911100679</v>
      </c>
      <c r="T97" s="59">
        <f t="shared" si="88"/>
        <v>281.7776857269169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9.1730000000000018</v>
      </c>
      <c r="AH97" s="12">
        <f t="array" ref="AH97">INDEX(AG:AG,MIN(IF(ISNUMBER(AG97:AG293),ROW(AG97:AG293),"")))</f>
        <v>9.1730000000000018</v>
      </c>
      <c r="AI97" s="13">
        <f>IF('Données projet'!$A$62&gt;35,AI96+AH97-AQ96,IF(A97&lt;'Données projet'!$A$62,$AF$205^A97,IF(A97='Données projet'!$A$62,'Données projet'!$B$62,AI96+AH97-AQ96)))</f>
        <v>380.13000000000051</v>
      </c>
      <c r="AJ97" s="13">
        <f>AI97*VLOOKUP('Données projet'!$B$10,Paramètres!$A$1:$I$89,3,0)*VLOOKUP('Données projet'!$B$10,Paramètres!$A$1:$I$89,5,0)</f>
        <v>385.45182000000051</v>
      </c>
      <c r="AK97" s="13">
        <f t="shared" si="89"/>
        <v>88.820915611280114</v>
      </c>
      <c r="AL97" s="20">
        <f t="shared" si="58"/>
        <v>826.02501452298031</v>
      </c>
      <c r="AM97" s="59">
        <f t="shared" si="59"/>
        <v>1119.3583478563137</v>
      </c>
      <c r="AN97" s="59">
        <f ca="1">AVERAGE(OFFSET($AM$3,0,0,'Données projet'!$E$10+1,1))-AVERAGE(OFFSET($H$3,0,0,'Données projet'!$E$10+1,1))</f>
        <v>706.69239849991595</v>
      </c>
      <c r="AO97" s="59">
        <f t="shared" si="90"/>
        <v>310.59887275116529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67.350000000000023</v>
      </c>
      <c r="AR97" s="16">
        <f>IF(ISNA(VLOOKUP(A97,'Données projet'!$A$61:$I$81,5,0)),0%,VLOOKUP(A97,'Données projet'!$A$61:$I$81,5,0)*VLOOKUP('Données projet'!$B$10,Paramètres!$A$1:$I$89,7,0))</f>
        <v>0.15049999999999999</v>
      </c>
      <c r="AS97" s="16">
        <f>IF(ISNA(VLOOKUP(A97,'Données projet'!$A$61:$I$81,6,0)),0%,VLOOKUP(A97,'Données projet'!$A$61:$I$81,6,0)*VLOOKUP('Données projet'!$B$10,Paramètres!$A$1:$I$89,7,0))</f>
        <v>8.6000000000000007E-2</v>
      </c>
      <c r="AT97" s="16">
        <f>IF(ISNA(VLOOKUP(A97,'Données projet'!$A$61:$I$81,7,0)),0%,VLOOKUP(A97,'Données projet'!$A$61:$I$81,7,0))</f>
        <v>0.1</v>
      </c>
      <c r="AU97" s="21">
        <f>EXP(-LN(2)/35)*AU96+(1-EXP(-LN(2)/35))/(LN(2)/35)*AQ97*AR97*VLOOKUP('Données projet'!$B$10,Paramètres!$A$1:$I$89,3,0)*0.475*44/12</f>
        <v>31.62134471313977</v>
      </c>
      <c r="AV97" s="21">
        <f>EXP(-LN(2)/25)*AV96+(1-EXP(-LN(2)/25))/(LN(2)/25)*Calculateur!AQ97*Calculateur!AS97*VLOOKUP('Données projet'!$B$10,Paramètres!$A$1:$I$89,3,0)*0.475*44/12</f>
        <v>31.588824232182965</v>
      </c>
      <c r="AW97" s="21">
        <f>EXP(-LN(2)/2)*AW96+(1-EXP(-LN(2)/2))/(LN(2)/2)*AQ97*AT97*VLOOKUP('Données projet'!$B$10,Paramètres!$A$1:$I$89,3,0)*0.475*44/12</f>
        <v>6.6481556921098957</v>
      </c>
      <c r="AX97" s="21">
        <f t="shared" si="60"/>
        <v>69.858324637432631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361.73170800000048</v>
      </c>
      <c r="BF97" s="13">
        <f t="shared" si="91"/>
        <v>83.973536969416998</v>
      </c>
      <c r="BG97" s="20">
        <f t="shared" si="61"/>
        <v>776.26996832173552</v>
      </c>
      <c r="BH97" s="59">
        <f t="shared" si="62"/>
        <v>1069.6033016550689</v>
      </c>
      <c r="BI97" s="59">
        <f ca="1">AVERAGE(OFFSET($BH$3,0,0,'Données projet'!$E$11+1,1))-AVERAGE(OFFSET($H$3,0,0,'Données projet'!$E$11+1,1))</f>
        <v>666.1523645983184</v>
      </c>
      <c r="BJ97" s="59">
        <f t="shared" si="92"/>
        <v>294.13851344047526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29.67541580771578</v>
      </c>
      <c r="BQ97" s="21">
        <f>EXP(-LN(2)/25)*BQ96+(1-EXP(-LN(2)/25))/(LN(2)/25)*Calculateur!BL97*Calculateur!BN97*VLOOKUP('Données projet'!$B$11,Paramètres!$A$1:$I$89,3,0)*0.475*44/12</f>
        <v>29.644896587125547</v>
      </c>
      <c r="BR97" s="21">
        <f>EXP(-LN(2)/2)*BR96+(1-EXP(-LN(2)/2))/(LN(2)/2)*BL97*BO97*VLOOKUP('Données projet'!$B$11,Paramètres!$A$1:$I$89,3,0)*0.475*44/12</f>
        <v>6.2390384187492867</v>
      </c>
      <c r="BS97" s="22">
        <f t="shared" si="63"/>
        <v>65.559350813590612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9.1730000000000018</v>
      </c>
      <c r="BX97" s="12">
        <f t="array" ref="BX97">INDEX(BW:BW,MIN(IF(ISNUMBER(BW97:BW293),ROW(BW97:BW293),"")))</f>
        <v>9.1730000000000018</v>
      </c>
      <c r="BY97" s="12">
        <f>IF('Données projet'!$A$114&gt;35,BY96+BX97-CG96,IF(A97&lt;'Données projet'!$A$114,$BV$205^A97,IF(A97='Données projet'!$A$114,'Données projet'!$B$114,BY96+BX97-CG96)))</f>
        <v>380.13000000000051</v>
      </c>
      <c r="BZ97" s="13">
        <f>BY97*VLOOKUP('Données projet'!$B$12,Paramètres!$A$1:$I$89,3,0)*VLOOKUP('Données projet'!$B$12,Paramètres!$A$1:$I$89,5,0)</f>
        <v>409.17193200000054</v>
      </c>
      <c r="CA97" s="13">
        <f t="shared" si="93"/>
        <v>93.633673107515506</v>
      </c>
      <c r="CB97" s="20">
        <f t="shared" si="64"/>
        <v>875.71976222892374</v>
      </c>
      <c r="CC97" s="59">
        <f t="shared" si="65"/>
        <v>1169.0530955622571</v>
      </c>
      <c r="CD97" s="59">
        <f ca="1">AVERAGE(OFFSET($CC$3,0,0,'Données projet'!$E$12+1,1))-AVERAGE(OFFSET($H$3,0,0,'Données projet'!$E$12+1,1))</f>
        <v>747.18304127457918</v>
      </c>
      <c r="CE97" s="59">
        <f t="shared" si="94"/>
        <v>327.03701004966723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67.350000000000023</v>
      </c>
      <c r="CH97" s="16">
        <f>IF(ISNA(VLOOKUP(A97,'Données projet'!$A$113:$I$133,5,0)),0%,VLOOKUP(A97,'Données projet'!$A$113:$I$133,5,0)*VLOOKUP('Données projet'!$B$12,Paramètres!$A$1:$I$89,7,0))</f>
        <v>0.15049999999999999</v>
      </c>
      <c r="CI97" s="16">
        <f>IF(ISNA(VLOOKUP(A97,'Données projet'!$A$113:$I$133,6,0)),0%,VLOOKUP(A97,'Données projet'!$A$113:$I$133,6,0)*VLOOKUP('Données projet'!$B$12,Paramètres!$A$1:$I$89,7,0))</f>
        <v>8.6000000000000007E-2</v>
      </c>
      <c r="CJ97" s="16">
        <f>IF(ISNA(VLOOKUP(A97,'Données projet'!$A$113:$I$133,7,0)),0%,VLOOKUP(A97,'Données projet'!$A$113:$I$133,7,0))</f>
        <v>0.1</v>
      </c>
      <c r="CK97" s="21">
        <f>EXP(-LN(2)/35)*CK96+(1-EXP(-LN(2)/35))/(LN(2)/35)*CG97*CH97*VLOOKUP('Données projet'!$B$12,Paramètres!$A$1:$I$89,3,0)*0.475*44/12</f>
        <v>33.567273618563753</v>
      </c>
      <c r="CL97" s="21">
        <f>EXP(-LN(2)/25)*CL96+(1-EXP(-LN(2)/25))/(LN(2)/25)*Calculateur!CG97*Calculateur!CI97*VLOOKUP('Données projet'!$B$12,Paramètres!$A$1:$I$89,3,0)*0.475*44/12</f>
        <v>33.532751877240372</v>
      </c>
      <c r="CM97" s="21">
        <f>EXP(-LN(2)/2)*CM96+(1-EXP(-LN(2)/2))/(LN(2)/2)*CG97*CJ97*VLOOKUP('Données projet'!$B$12,Paramètres!$A$1:$I$89,3,0)*0.475*44/12</f>
        <v>7.0572729654705029</v>
      </c>
      <c r="CN97" s="22">
        <f t="shared" si="66"/>
        <v>74.157298461274621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9.1730000000000018</v>
      </c>
      <c r="CS97" s="12">
        <f t="array" ref="CS97">INDEX(CR:CR,MIN(IF(ISNUMBER(CR97:CR293),ROW(CR97:CR293),"")))</f>
        <v>9.1730000000000018</v>
      </c>
      <c r="CT97" s="12">
        <f>IF('Données projet'!$A$140&gt;35,CT96+CS97-DB96,IF(A97&lt;'Données projet'!$A$140,$CQ$205^A97,IF(A97='Données projet'!$A$140,'Données projet'!$B$140,CT96+CS97-DB96)))</f>
        <v>380.13000000000051</v>
      </c>
      <c r="CU97" s="17">
        <f>CT97*VLOOKUP('Données projet'!$B$13,Paramètres!$A$1:$I$89,3,0)*VLOOKUP('Données projet'!$B$13,Paramètres!$A$1:$I$89,5,0)</f>
        <v>367.66173600000047</v>
      </c>
      <c r="CV97" s="13">
        <f t="shared" si="95"/>
        <v>85.188760777191661</v>
      </c>
      <c r="CW97" s="20">
        <f t="shared" si="67"/>
        <v>788.7146152202763</v>
      </c>
      <c r="CX97" s="59">
        <f t="shared" si="68"/>
        <v>1082.0479485536096</v>
      </c>
      <c r="CY97" s="59">
        <f ca="1">AVERAGE(OFFSET($CX$3,0,0,'Données projet'!$E$13+1,1))-AVERAGE(OFFSET($H$3,0,0,'Données projet'!$E$13+1,1))</f>
        <v>676.29219382388692</v>
      </c>
      <c r="CZ97" s="59">
        <f t="shared" si="96"/>
        <v>298.25577221580448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67.350000000000023</v>
      </c>
      <c r="DC97" s="16">
        <f>IF(ISNA(VLOOKUP(A97,'Données projet'!$A$139:$I$159,5,0)),0%,VLOOKUP(A97,'Données projet'!$A$139:$I$159,5,0)*VLOOKUP('Données projet'!$B$13,Paramètres!$A$1:$I$89,7,0))</f>
        <v>0.15049999999999999</v>
      </c>
      <c r="DD97" s="16">
        <f>IF(ISNA(VLOOKUP(A97,'Données projet'!$A$139:$I$159,6,0)),0%,VLOOKUP(A97,'Données projet'!$A$139:$I$159,6,0)*VLOOKUP('Données projet'!$B$13,Paramètres!$A$1:$I$89,7,0))</f>
        <v>8.6000000000000007E-2</v>
      </c>
      <c r="DE97" s="16">
        <f>IF(ISNA(VLOOKUP(A97,'Données projet'!$A$139:$I$159,7,0)),0%,VLOOKUP(A97,'Données projet'!$A$139:$I$159,7,0))</f>
        <v>0.1</v>
      </c>
      <c r="DF97" s="21">
        <f>EXP(-LN(2)/35)*DF96+(1-EXP(-LN(2)/35))/(LN(2)/35)*DB97*DC97*VLOOKUP('Données projet'!$B$13,Paramètres!$A$1:$I$89,3,0)*0.475*44/12</f>
        <v>30.161898034071783</v>
      </c>
      <c r="DG97" s="21">
        <f>EXP(-LN(2)/25)*DG96+(1-EXP(-LN(2)/25))/(LN(2)/25)*Calculateur!DB97*Calculateur!DD97*VLOOKUP('Données projet'!$B$13,Paramètres!$A$1:$I$89,3,0)*0.475*44/12</f>
        <v>30.130878498389901</v>
      </c>
      <c r="DH97" s="21">
        <f>EXP(-LN(2)/2)*DH96+(1-EXP(-LN(2)/2))/(LN(2)/2)*DB97*DE97*VLOOKUP('Données projet'!$B$13,Paramètres!$A$1:$I$89,3,0)*0.475*44/12</f>
        <v>6.3413177370894376</v>
      </c>
      <c r="DI97" s="22">
        <f t="shared" si="69"/>
        <v>66.634094269551127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-1.1368683772161603E-13</v>
      </c>
      <c r="EK97" s="17">
        <f>EJ97*VLOOKUP('Données projet'!$B$15,Paramètres!$A$1:$I$89,3,0)*VLOOKUP('Données projet'!$B$15,Paramètres!$A$1:$I$89,5,0)</f>
        <v>-8.8675733422860506E-14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197.51452239559433</v>
      </c>
      <c r="EP97" s="59">
        <f t="shared" si="100"/>
        <v>196.65166921588821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16.799953930951204</v>
      </c>
      <c r="EW97" s="21">
        <f>EXP(-LN(2)/25)*EW96+(1-EXP(-LN(2)/25))/(LN(2)/25)*Calculateur!ER97*Calculateur!ET97*VLOOKUP('Données projet'!$B$15,Paramètres!$A$1:$I$89,3,0)*0.475*44/12</f>
        <v>13.568968564121658</v>
      </c>
      <c r="EX97" s="21">
        <f>EXP(-LN(2)/2)*EX96+(1-EXP(-LN(2)/2))/(LN(2)/2)*ER97*EU97*VLOOKUP('Données projet'!$B$15,Paramètres!$A$1:$I$89,3,0)*0.475*44/12</f>
        <v>6.723412915188273E-3</v>
      </c>
      <c r="EY97" s="22">
        <f t="shared" si="75"/>
        <v>30.375645907988051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921.03042005872226</v>
      </c>
      <c r="S98" s="59">
        <f ca="1">AVERAGE(OFFSET($R$3,0,0,'Données projet'!$E$9+1,1))-AVERAGE(OFFSET($H$3,0,0,'Données projet'!$E$9+1,1))</f>
        <v>635.71275911100679</v>
      </c>
      <c r="T98" s="59">
        <f t="shared" si="88"/>
        <v>281.7776857269169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8.9420000000000019</v>
      </c>
      <c r="AI98" s="13">
        <f>IF('Données projet'!$A$62&gt;35,AI97+AH98-AQ97,IF(A98&lt;'Données projet'!$A$62,$AF$205^A98,IF(A98='Données projet'!$A$62,'Données projet'!$B$62,AI97+AH98-AQ97)))</f>
        <v>321.72200000000049</v>
      </c>
      <c r="AJ98" s="13">
        <f>AI98*VLOOKUP('Données projet'!$B$10,Paramètres!$A$1:$I$89,3,0)*VLOOKUP('Données projet'!$B$10,Paramètres!$A$1:$I$89,5,0)</f>
        <v>326.22610800000052</v>
      </c>
      <c r="AK98" s="13">
        <f t="shared" si="89"/>
        <v>76.647360081996098</v>
      </c>
      <c r="AL98" s="20">
        <f t="shared" si="58"/>
        <v>701.67129024281076</v>
      </c>
      <c r="AM98" s="59">
        <f t="shared" si="59"/>
        <v>995.00462357614401</v>
      </c>
      <c r="AN98" s="59">
        <f ca="1">AVERAGE(OFFSET($AM$3,0,0,'Données projet'!$E$10+1,1))-AVERAGE(OFFSET($H$3,0,0,'Données projet'!$E$10+1,1))</f>
        <v>706.69239849991595</v>
      </c>
      <c r="AO98" s="59">
        <f t="shared" si="90"/>
        <v>310.59887275116529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31.001269430430931</v>
      </c>
      <c r="AV98" s="21">
        <f>EXP(-LN(2)/25)*AV97+(1-EXP(-LN(2)/25))/(LN(2)/25)*Calculateur!AQ98*Calculateur!AS98*VLOOKUP('Données projet'!$B$10,Paramètres!$A$1:$I$89,3,0)*0.475*44/12</f>
        <v>30.725026172369851</v>
      </c>
      <c r="AW98" s="21">
        <f>EXP(-LN(2)/2)*AW97+(1-EXP(-LN(2)/2))/(LN(2)/2)*AQ98*AT98*VLOOKUP('Données projet'!$B$10,Paramètres!$A$1:$I$89,3,0)*0.475*44/12</f>
        <v>4.7009559722748531</v>
      </c>
      <c r="AX98" s="21">
        <f t="shared" si="60"/>
        <v>66.42725157507563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306.15065520000047</v>
      </c>
      <c r="BF98" s="13">
        <f t="shared" si="91"/>
        <v>72.464350104451199</v>
      </c>
      <c r="BG98" s="20">
        <f t="shared" si="61"/>
        <v>659.42113423858666</v>
      </c>
      <c r="BH98" s="59">
        <f t="shared" si="62"/>
        <v>952.75446757192003</v>
      </c>
      <c r="BI98" s="59">
        <f ca="1">AVERAGE(OFFSET($BH$3,0,0,'Données projet'!$E$11+1,1))-AVERAGE(OFFSET($H$3,0,0,'Données projet'!$E$11+1,1))</f>
        <v>666.1523645983184</v>
      </c>
      <c r="BJ98" s="59">
        <f t="shared" si="92"/>
        <v>294.13851344047526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29.093499003942867</v>
      </c>
      <c r="BQ98" s="21">
        <f>EXP(-LN(2)/25)*BQ97+(1-EXP(-LN(2)/25))/(LN(2)/25)*Calculateur!BL98*Calculateur!BN98*VLOOKUP('Données projet'!$B$11,Paramètres!$A$1:$I$89,3,0)*0.475*44/12</f>
        <v>28.834255330993241</v>
      </c>
      <c r="BR98" s="21">
        <f>EXP(-LN(2)/2)*BR97+(1-EXP(-LN(2)/2))/(LN(2)/2)*BL98*BO98*VLOOKUP('Données projet'!$B$11,Paramètres!$A$1:$I$89,3,0)*0.475*44/12</f>
        <v>4.4116663739810154</v>
      </c>
      <c r="BS98" s="22">
        <f t="shared" si="63"/>
        <v>62.339420708917125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8.9420000000000019</v>
      </c>
      <c r="BY98" s="12">
        <f>IF('Données projet'!$A$114&gt;35,BY97+BX98-CG97,IF(A98&lt;'Données projet'!$A$114,$BV$205^A98,IF(A98='Données projet'!$A$114,'Données projet'!$B$114,BY97+BX98-CG97)))</f>
        <v>321.72200000000049</v>
      </c>
      <c r="BZ98" s="13">
        <f>BY98*VLOOKUP('Données projet'!$B$12,Paramètres!$A$1:$I$89,3,0)*VLOOKUP('Données projet'!$B$12,Paramètres!$A$1:$I$89,5,0)</f>
        <v>346.30156080000052</v>
      </c>
      <c r="CA98" s="13">
        <f t="shared" si="93"/>
        <v>80.800493994910113</v>
      </c>
      <c r="CB98" s="20">
        <f t="shared" si="64"/>
        <v>743.86941210113582</v>
      </c>
      <c r="CC98" s="59">
        <f t="shared" si="65"/>
        <v>1037.2027454344691</v>
      </c>
      <c r="CD98" s="59">
        <f ca="1">AVERAGE(OFFSET($CC$3,0,0,'Données projet'!$E$12+1,1))-AVERAGE(OFFSET($H$3,0,0,'Données projet'!$E$12+1,1))</f>
        <v>747.18304127457918</v>
      </c>
      <c r="CE98" s="59">
        <f t="shared" si="94"/>
        <v>327.03701004966723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32.909039856918987</v>
      </c>
      <c r="CL98" s="21">
        <f>EXP(-LN(2)/25)*CL97+(1-EXP(-LN(2)/25))/(LN(2)/25)*Calculateur!CG98*Calculateur!CI98*VLOOKUP('Données projet'!$B$12,Paramètres!$A$1:$I$89,3,0)*0.475*44/12</f>
        <v>32.615797013746452</v>
      </c>
      <c r="CM98" s="21">
        <f>EXP(-LN(2)/2)*CM97+(1-EXP(-LN(2)/2))/(LN(2)/2)*CG98*CJ98*VLOOKUP('Données projet'!$B$12,Paramètres!$A$1:$I$89,3,0)*0.475*44/12</f>
        <v>4.990245570568689</v>
      </c>
      <c r="CN98" s="22">
        <f t="shared" si="66"/>
        <v>70.515082441234128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8.9420000000000019</v>
      </c>
      <c r="CT98" s="12">
        <f>IF('Données projet'!$A$140&gt;35,CT97+CS98-DB97,IF(A98&lt;'Données projet'!$A$140,$CQ$205^A98,IF(A98='Données projet'!$A$140,'Données projet'!$B$140,CT97+CS98-DB97)))</f>
        <v>321.72200000000049</v>
      </c>
      <c r="CU98" s="17">
        <f>CT98*VLOOKUP('Données projet'!$B$13,Paramètres!$A$1:$I$89,3,0)*VLOOKUP('Données projet'!$B$13,Paramètres!$A$1:$I$89,5,0)</f>
        <v>311.16951840000047</v>
      </c>
      <c r="CV98" s="13">
        <f t="shared" si="95"/>
        <v>73.51301860931504</v>
      </c>
      <c r="CW98" s="20">
        <f t="shared" si="67"/>
        <v>669.98875195789117</v>
      </c>
      <c r="CX98" s="59">
        <f t="shared" si="68"/>
        <v>963.32208529122454</v>
      </c>
      <c r="CY98" s="59">
        <f ca="1">AVERAGE(OFFSET($CX$3,0,0,'Données projet'!$E$13+1,1))-AVERAGE(OFFSET($H$3,0,0,'Données projet'!$E$13+1,1))</f>
        <v>676.29219382388692</v>
      </c>
      <c r="CZ98" s="59">
        <f t="shared" si="96"/>
        <v>298.25577221580448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29.570441610564888</v>
      </c>
      <c r="DG98" s="21">
        <f>EXP(-LN(2)/25)*DG97+(1-EXP(-LN(2)/25))/(LN(2)/25)*Calculateur!DB98*Calculateur!DD98*VLOOKUP('Données projet'!$B$13,Paramètres!$A$1:$I$89,3,0)*0.475*44/12</f>
        <v>29.306948041337392</v>
      </c>
      <c r="DH98" s="21">
        <f>EXP(-LN(2)/2)*DH97+(1-EXP(-LN(2)/2))/(LN(2)/2)*DB98*DE98*VLOOKUP('Données projet'!$B$13,Paramètres!$A$1:$I$89,3,0)*0.475*44/12</f>
        <v>4.4839887735544739</v>
      </c>
      <c r="DI98" s="22">
        <f t="shared" si="69"/>
        <v>63.361378425456749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-1.1368683772161603E-13</v>
      </c>
      <c r="EK98" s="17">
        <f>EJ98*VLOOKUP('Données projet'!$B$15,Paramètres!$A$1:$I$89,3,0)*VLOOKUP('Données projet'!$B$15,Paramètres!$A$1:$I$89,5,0)</f>
        <v>-8.8675733422860506E-14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197.51452239559433</v>
      </c>
      <c r="EP98" s="59">
        <f t="shared" si="100"/>
        <v>196.65166921588821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16.470517081325347</v>
      </c>
      <c r="EW98" s="21">
        <f>EXP(-LN(2)/25)*EW97+(1-EXP(-LN(2)/25))/(LN(2)/25)*Calculateur!ER98*Calculateur!ET98*VLOOKUP('Données projet'!$B$15,Paramètres!$A$1:$I$89,3,0)*0.475*44/12</f>
        <v>13.197924405174707</v>
      </c>
      <c r="EX98" s="21">
        <f>EXP(-LN(2)/2)*EX97+(1-EXP(-LN(2)/2))/(LN(2)/2)*ER98*EU98*VLOOKUP('Données projet'!$B$15,Paramètres!$A$1:$I$89,3,0)*0.475*44/12</f>
        <v>4.7541708650468417E-3</v>
      </c>
      <c r="EY98" s="22">
        <f t="shared" si="75"/>
        <v>29.673195657365103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938.08148045240114</v>
      </c>
      <c r="S99" s="59">
        <f ca="1">AVERAGE(OFFSET($R$3,0,0,'Données projet'!$E$9+1,1))-AVERAGE(OFFSET($H$3,0,0,'Données projet'!$E$9+1,1))</f>
        <v>635.71275911100679</v>
      </c>
      <c r="T99" s="59">
        <f t="shared" si="88"/>
        <v>281.7776857269169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8.9420000000000019</v>
      </c>
      <c r="AI99" s="13">
        <f>IF('Données projet'!$A$62&gt;35,AI98+AH99-AQ98,IF(A99&lt;'Données projet'!$A$62,$AF$205^A99,IF(A99='Données projet'!$A$62,'Données projet'!$B$62,AI98+AH99-AQ98)))</f>
        <v>330.6640000000005</v>
      </c>
      <c r="AJ99" s="13">
        <f>AI99*VLOOKUP('Données projet'!$B$10,Paramètres!$A$1:$I$89,3,0)*VLOOKUP('Données projet'!$B$10,Paramètres!$A$1:$I$89,5,0)</f>
        <v>335.29329600000057</v>
      </c>
      <c r="AK99" s="13">
        <f t="shared" si="89"/>
        <v>78.526724041362712</v>
      </c>
      <c r="AL99" s="20">
        <f t="shared" si="58"/>
        <v>720.73653490537436</v>
      </c>
      <c r="AM99" s="59">
        <f t="shared" si="59"/>
        <v>1014.0698682387076</v>
      </c>
      <c r="AN99" s="59">
        <f ca="1">AVERAGE(OFFSET($AM$3,0,0,'Données projet'!$E$10+1,1))-AVERAGE(OFFSET($H$3,0,0,'Données projet'!$E$10+1,1))</f>
        <v>706.69239849991595</v>
      </c>
      <c r="AO99" s="59">
        <f t="shared" si="90"/>
        <v>310.59887275116529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30.393353445807435</v>
      </c>
      <c r="AV99" s="21">
        <f>EXP(-LN(2)/25)*AV98+(1-EXP(-LN(2)/25))/(LN(2)/25)*Calculateur!AQ99*Calculateur!AS99*VLOOKUP('Données projet'!$B$10,Paramètres!$A$1:$I$89,3,0)*0.475*44/12</f>
        <v>29.884848715927493</v>
      </c>
      <c r="AW99" s="21">
        <f>EXP(-LN(2)/2)*AW98+(1-EXP(-LN(2)/2))/(LN(2)/2)*AQ99*AT99*VLOOKUP('Données projet'!$B$10,Paramètres!$A$1:$I$89,3,0)*0.475*44/12</f>
        <v>3.3240778460549487</v>
      </c>
      <c r="AX99" s="21">
        <f t="shared" si="60"/>
        <v>63.602280007789872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314.65986240000052</v>
      </c>
      <c r="BF99" s="13">
        <f t="shared" si="91"/>
        <v>74.241148258745596</v>
      </c>
      <c r="BG99" s="20">
        <f t="shared" si="61"/>
        <v>677.3359268973162</v>
      </c>
      <c r="BH99" s="59">
        <f t="shared" si="62"/>
        <v>970.66926023064957</v>
      </c>
      <c r="BI99" s="59">
        <f ca="1">AVERAGE(OFFSET($BH$3,0,0,'Données projet'!$E$11+1,1))-AVERAGE(OFFSET($H$3,0,0,'Données projet'!$E$11+1,1))</f>
        <v>666.1523645983184</v>
      </c>
      <c r="BJ99" s="59">
        <f t="shared" si="92"/>
        <v>294.13851344047526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28.522993233757738</v>
      </c>
      <c r="BQ99" s="21">
        <f>EXP(-LN(2)/25)*BQ98+(1-EXP(-LN(2)/25))/(LN(2)/25)*Calculateur!BL99*Calculateur!BN99*VLOOKUP('Données projet'!$B$11,Paramètres!$A$1:$I$89,3,0)*0.475*44/12</f>
        <v>28.045781102639644</v>
      </c>
      <c r="BR99" s="21">
        <f>EXP(-LN(2)/2)*BR98+(1-EXP(-LN(2)/2))/(LN(2)/2)*BL99*BO99*VLOOKUP('Données projet'!$B$11,Paramètres!$A$1:$I$89,3,0)*0.475*44/12</f>
        <v>3.1195192093746438</v>
      </c>
      <c r="BS99" s="22">
        <f t="shared" si="63"/>
        <v>59.688293545772027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8.9420000000000019</v>
      </c>
      <c r="BY99" s="12">
        <f>IF('Données projet'!$A$114&gt;35,BY98+BX99-CG98,IF(A99&lt;'Données projet'!$A$114,$BV$205^A99,IF(A99='Données projet'!$A$114,'Données projet'!$B$114,BY98+BX99-CG98)))</f>
        <v>330.6640000000005</v>
      </c>
      <c r="BZ99" s="13">
        <f>BY99*VLOOKUP('Données projet'!$B$12,Paramètres!$A$1:$I$89,3,0)*VLOOKUP('Données projet'!$B$12,Paramètres!$A$1:$I$89,5,0)</f>
        <v>355.9267296000005</v>
      </c>
      <c r="CA99" s="13">
        <f t="shared" si="93"/>
        <v>82.781691209668736</v>
      </c>
      <c r="CB99" s="20">
        <f t="shared" si="64"/>
        <v>764.0838329101739</v>
      </c>
      <c r="CC99" s="59">
        <f t="shared" si="65"/>
        <v>1057.4171662435072</v>
      </c>
      <c r="CD99" s="59">
        <f ca="1">AVERAGE(OFFSET($CC$3,0,0,'Données projet'!$E$12+1,1))-AVERAGE(OFFSET($H$3,0,0,'Données projet'!$E$12+1,1))</f>
        <v>747.18304127457918</v>
      </c>
      <c r="CE99" s="59">
        <f t="shared" si="94"/>
        <v>327.03701004966723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32.263713657857117</v>
      </c>
      <c r="CL99" s="21">
        <f>EXP(-LN(2)/25)*CL98+(1-EXP(-LN(2)/25))/(LN(2)/25)*Calculateur!CG99*Calculateur!CI99*VLOOKUP('Données projet'!$B$12,Paramètres!$A$1:$I$89,3,0)*0.475*44/12</f>
        <v>31.723916329215335</v>
      </c>
      <c r="CM99" s="21">
        <f>EXP(-LN(2)/2)*CM98+(1-EXP(-LN(2)/2))/(LN(2)/2)*CG99*CJ99*VLOOKUP('Données projet'!$B$12,Paramètres!$A$1:$I$89,3,0)*0.475*44/12</f>
        <v>3.5286364827352523</v>
      </c>
      <c r="CN99" s="22">
        <f t="shared" si="66"/>
        <v>67.516266469807704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8.9420000000000019</v>
      </c>
      <c r="CT99" s="12">
        <f>IF('Données projet'!$A$140&gt;35,CT98+CS99-DB98,IF(A99&lt;'Données projet'!$A$140,$CQ$205^A99,IF(A99='Données projet'!$A$140,'Données projet'!$B$140,CT98+CS99-DB98)))</f>
        <v>330.6640000000005</v>
      </c>
      <c r="CU99" s="17">
        <f>CT99*VLOOKUP('Données projet'!$B$13,Paramètres!$A$1:$I$89,3,0)*VLOOKUP('Données projet'!$B$13,Paramètres!$A$1:$I$89,5,0)</f>
        <v>319.81822080000046</v>
      </c>
      <c r="CV99" s="13">
        <f t="shared" si="95"/>
        <v>75.315529714339334</v>
      </c>
      <c r="CW99" s="20">
        <f t="shared" si="67"/>
        <v>688.19128214580849</v>
      </c>
      <c r="CX99" s="59">
        <f t="shared" si="68"/>
        <v>981.52461547914186</v>
      </c>
      <c r="CY99" s="59">
        <f ca="1">AVERAGE(OFFSET($CX$3,0,0,'Données projet'!$E$13+1,1))-AVERAGE(OFFSET($H$3,0,0,'Données projet'!$E$13+1,1))</f>
        <v>676.29219382388692</v>
      </c>
      <c r="CZ99" s="59">
        <f t="shared" si="96"/>
        <v>298.25577221580448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28.990583286770168</v>
      </c>
      <c r="DG99" s="21">
        <f>EXP(-LN(2)/25)*DG98+(1-EXP(-LN(2)/25))/(LN(2)/25)*Calculateur!DB99*Calculateur!DD99*VLOOKUP('Données projet'!$B$13,Paramètres!$A$1:$I$89,3,0)*0.475*44/12</f>
        <v>28.505548005961607</v>
      </c>
      <c r="DH99" s="21">
        <f>EXP(-LN(2)/2)*DH98+(1-EXP(-LN(2)/2))/(LN(2)/2)*DB99*DE99*VLOOKUP('Données projet'!$B$13,Paramètres!$A$1:$I$89,3,0)*0.475*44/12</f>
        <v>3.1706588685447192</v>
      </c>
      <c r="DI99" s="22">
        <f t="shared" si="69"/>
        <v>60.666790161276495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-1.1368683772161603E-13</v>
      </c>
      <c r="EK99" s="17">
        <f>EJ99*VLOOKUP('Données projet'!$B$15,Paramètres!$A$1:$I$89,3,0)*VLOOKUP('Données projet'!$B$15,Paramètres!$A$1:$I$89,5,0)</f>
        <v>-8.8675733422860506E-14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197.51452239559433</v>
      </c>
      <c r="EP99" s="59">
        <f t="shared" si="100"/>
        <v>196.65166921588821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16.147540287384015</v>
      </c>
      <c r="EW99" s="21">
        <f>EXP(-LN(2)/25)*EW98+(1-EXP(-LN(2)/25))/(LN(2)/25)*Calculateur!ER99*Calculateur!ET99*VLOOKUP('Données projet'!$B$15,Paramètres!$A$1:$I$89,3,0)*0.475*44/12</f>
        <v>12.837026468266524</v>
      </c>
      <c r="EX99" s="21">
        <f>EXP(-LN(2)/2)*EX98+(1-EXP(-LN(2)/2))/(LN(2)/2)*ER99*EU99*VLOOKUP('Données projet'!$B$15,Paramètres!$A$1:$I$89,3,0)*0.475*44/12</f>
        <v>3.3617064575941365E-3</v>
      </c>
      <c r="EY99" s="22">
        <f t="shared" si="75"/>
        <v>28.987928462108133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955.12323782530461</v>
      </c>
      <c r="S100" s="59">
        <f ca="1">AVERAGE(OFFSET($R$3,0,0,'Données projet'!$E$9+1,1))-AVERAGE(OFFSET($H$3,0,0,'Données projet'!$E$9+1,1))</f>
        <v>635.71275911100679</v>
      </c>
      <c r="T100" s="59">
        <f t="shared" si="88"/>
        <v>281.7776857269169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8.9420000000000019</v>
      </c>
      <c r="AI100" s="13">
        <f>IF('Données projet'!$A$62&gt;35,AI99+AH100-AQ99,IF(A100&lt;'Données projet'!$A$62,$AF$205^A100,IF(A100='Données projet'!$A$62,'Données projet'!$B$62,AI99+AH100-AQ99)))</f>
        <v>339.60600000000051</v>
      </c>
      <c r="AJ100" s="13">
        <f>AI100*VLOOKUP('Données projet'!$B$10,Paramètres!$A$1:$I$89,3,0)*VLOOKUP('Données projet'!$B$10,Paramètres!$A$1:$I$89,5,0)</f>
        <v>344.36048400000055</v>
      </c>
      <c r="AK100" s="13">
        <f t="shared" si="89"/>
        <v>80.400180766145681</v>
      </c>
      <c r="AL100" s="20">
        <f t="shared" si="58"/>
        <v>739.79149113437143</v>
      </c>
      <c r="AM100" s="59">
        <f t="shared" si="59"/>
        <v>1033.1248244677047</v>
      </c>
      <c r="AN100" s="59">
        <f ca="1">AVERAGE(OFFSET($AM$3,0,0,'Données projet'!$E$10+1,1))-AVERAGE(OFFSET($H$3,0,0,'Données projet'!$E$10+1,1))</f>
        <v>706.69239849991595</v>
      </c>
      <c r="AO100" s="59">
        <f t="shared" si="90"/>
        <v>310.59887275116529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29.797358322850265</v>
      </c>
      <c r="AV100" s="21">
        <f>EXP(-LN(2)/25)*AV99+(1-EXP(-LN(2)/25))/(LN(2)/25)*Calculateur!AQ100*Calculateur!AS100*VLOOKUP('Données projet'!$B$10,Paramètres!$A$1:$I$89,3,0)*0.475*44/12</f>
        <v>29.067645956214566</v>
      </c>
      <c r="AW100" s="21">
        <f>EXP(-LN(2)/2)*AW99+(1-EXP(-LN(2)/2))/(LN(2)/2)*AQ100*AT100*VLOOKUP('Données projet'!$B$10,Paramètres!$A$1:$I$89,3,0)*0.475*44/12</f>
        <v>2.350477986137427</v>
      </c>
      <c r="AX100" s="21">
        <f t="shared" si="60"/>
        <v>61.215482265202262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323.16906960000051</v>
      </c>
      <c r="BF100" s="13">
        <f t="shared" si="91"/>
        <v>76.012361564265504</v>
      </c>
      <c r="BG100" s="20">
        <f t="shared" si="61"/>
        <v>695.24099261109666</v>
      </c>
      <c r="BH100" s="59">
        <f t="shared" si="62"/>
        <v>988.57432594443003</v>
      </c>
      <c r="BI100" s="59">
        <f ca="1">AVERAGE(OFFSET($BH$3,0,0,'Données projet'!$E$11+1,1))-AVERAGE(OFFSET($H$3,0,0,'Données projet'!$E$11+1,1))</f>
        <v>666.1523645983184</v>
      </c>
      <c r="BJ100" s="59">
        <f t="shared" si="92"/>
        <v>294.13851344047526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27.96367473375178</v>
      </c>
      <c r="BQ100" s="21">
        <f>EXP(-LN(2)/25)*BQ99+(1-EXP(-LN(2)/25))/(LN(2)/25)*Calculateur!BL100*Calculateur!BN100*VLOOKUP('Données projet'!$B$11,Paramètres!$A$1:$I$89,3,0)*0.475*44/12</f>
        <v>27.278867743524433</v>
      </c>
      <c r="BR100" s="21">
        <f>EXP(-LN(2)/2)*BR99+(1-EXP(-LN(2)/2))/(LN(2)/2)*BL100*BO100*VLOOKUP('Données projet'!$B$11,Paramètres!$A$1:$I$89,3,0)*0.475*44/12</f>
        <v>2.2058331869905081</v>
      </c>
      <c r="BS100" s="22">
        <f t="shared" si="63"/>
        <v>57.448375664266727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8.9420000000000019</v>
      </c>
      <c r="BY100" s="12">
        <f>IF('Données projet'!$A$114&gt;35,BY99+BX100-CG99,IF(A100&lt;'Données projet'!$A$114,$BV$205^A100,IF(A100='Données projet'!$A$114,'Données projet'!$B$114,BY99+BX100-CG99)))</f>
        <v>339.60600000000051</v>
      </c>
      <c r="BZ100" s="13">
        <f>BY100*VLOOKUP('Données projet'!$B$12,Paramètres!$A$1:$I$89,3,0)*VLOOKUP('Données projet'!$B$12,Paramètres!$A$1:$I$89,5,0)</f>
        <v>365.55189840000054</v>
      </c>
      <c r="CA100" s="13">
        <f t="shared" si="93"/>
        <v>84.756661106591608</v>
      </c>
      <c r="CB100" s="20">
        <f t="shared" si="64"/>
        <v>784.28740780731459</v>
      </c>
      <c r="CC100" s="59">
        <f t="shared" si="65"/>
        <v>1077.6207411406479</v>
      </c>
      <c r="CD100" s="59">
        <f ca="1">AVERAGE(OFFSET($CC$3,0,0,'Données projet'!$E$12+1,1))-AVERAGE(OFFSET($H$3,0,0,'Données projet'!$E$12+1,1))</f>
        <v>747.18304127457918</v>
      </c>
      <c r="CE100" s="59">
        <f t="shared" si="94"/>
        <v>327.03701004966723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31.631041911948738</v>
      </c>
      <c r="CL100" s="21">
        <f>EXP(-LN(2)/25)*CL99+(1-EXP(-LN(2)/25))/(LN(2)/25)*Calculateur!CG100*Calculateur!CI100*VLOOKUP('Données projet'!$B$12,Paramètres!$A$1:$I$89,3,0)*0.475*44/12</f>
        <v>30.856424168904688</v>
      </c>
      <c r="CM100" s="21">
        <f>EXP(-LN(2)/2)*CM99+(1-EXP(-LN(2)/2))/(LN(2)/2)*CG100*CJ100*VLOOKUP('Données projet'!$B$12,Paramètres!$A$1:$I$89,3,0)*0.475*44/12</f>
        <v>2.4951227852843449</v>
      </c>
      <c r="CN100" s="22">
        <f t="shared" si="66"/>
        <v>64.982588866137775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8.9420000000000019</v>
      </c>
      <c r="CT100" s="12">
        <f>IF('Données projet'!$A$140&gt;35,CT99+CS100-DB99,IF(A100&lt;'Données projet'!$A$140,$CQ$205^A100,IF(A100='Données projet'!$A$140,'Données projet'!$B$140,CT99+CS100-DB99)))</f>
        <v>339.60600000000051</v>
      </c>
      <c r="CU100" s="17">
        <f>CT100*VLOOKUP('Données projet'!$B$13,Paramètres!$A$1:$I$89,3,0)*VLOOKUP('Données projet'!$B$13,Paramètres!$A$1:$I$89,5,0)</f>
        <v>328.46692320000051</v>
      </c>
      <c r="CV100" s="13">
        <f t="shared" si="95"/>
        <v>77.112375149399028</v>
      </c>
      <c r="CW100" s="20">
        <f t="shared" si="67"/>
        <v>706.38394462520421</v>
      </c>
      <c r="CX100" s="59">
        <f t="shared" si="68"/>
        <v>999.71727795853758</v>
      </c>
      <c r="CY100" s="59">
        <f ca="1">AVERAGE(OFFSET($CX$3,0,0,'Données projet'!$E$13+1,1))-AVERAGE(OFFSET($H$3,0,0,'Données projet'!$E$13+1,1))</f>
        <v>676.29219382388692</v>
      </c>
      <c r="CZ100" s="59">
        <f t="shared" si="96"/>
        <v>298.25577221580448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28.422095631026405</v>
      </c>
      <c r="DG100" s="21">
        <f>EXP(-LN(2)/25)*DG99+(1-EXP(-LN(2)/25))/(LN(2)/25)*Calculateur!DB100*Calculateur!DD100*VLOOKUP('Données projet'!$B$13,Paramètres!$A$1:$I$89,3,0)*0.475*44/12</f>
        <v>27.726062296696966</v>
      </c>
      <c r="DH100" s="21">
        <f>EXP(-LN(2)/2)*DH99+(1-EXP(-LN(2)/2))/(LN(2)/2)*DB100*DE100*VLOOKUP('Données projet'!$B$13,Paramètres!$A$1:$I$89,3,0)*0.475*44/12</f>
        <v>2.2419943867772374</v>
      </c>
      <c r="DI100" s="22">
        <f t="shared" si="69"/>
        <v>58.390152314500611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-1.1368683772161603E-13</v>
      </c>
      <c r="EK100" s="17">
        <f>EJ100*VLOOKUP('Données projet'!$B$15,Paramètres!$A$1:$I$89,3,0)*VLOOKUP('Données projet'!$B$15,Paramètres!$A$1:$I$89,5,0)</f>
        <v>-8.8675733422860506E-14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197.51452239559433</v>
      </c>
      <c r="EP100" s="59">
        <f t="shared" si="100"/>
        <v>196.65166921588821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15.830896871375479</v>
      </c>
      <c r="EW100" s="21">
        <f>EXP(-LN(2)/25)*EW99+(1-EXP(-LN(2)/25))/(LN(2)/25)*Calculateur!ER100*Calculateur!ET100*VLOOKUP('Données projet'!$B$15,Paramètres!$A$1:$I$89,3,0)*0.475*44/12</f>
        <v>12.485997304421893</v>
      </c>
      <c r="EX100" s="21">
        <f>EXP(-LN(2)/2)*EX99+(1-EXP(-LN(2)/2))/(LN(2)/2)*ER100*EU100*VLOOKUP('Données projet'!$B$15,Paramètres!$A$1:$I$89,3,0)*0.475*44/12</f>
        <v>2.3770854325234209E-3</v>
      </c>
      <c r="EY100" s="22">
        <f t="shared" si="75"/>
        <v>28.319271261229897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972.1559652885428</v>
      </c>
      <c r="S101" s="59">
        <f ca="1">AVERAGE(OFFSET($R$3,0,0,'Données projet'!$E$9+1,1))-AVERAGE(OFFSET($H$3,0,0,'Données projet'!$E$9+1,1))</f>
        <v>635.71275911100679</v>
      </c>
      <c r="T101" s="59">
        <f t="shared" si="88"/>
        <v>281.7776857269169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8.9420000000000019</v>
      </c>
      <c r="AI101" s="13">
        <f>IF('Données projet'!$A$62&gt;35,AI100+AH101-AQ100,IF(A101&lt;'Données projet'!$A$62,$AF$205^A101,IF(A101='Données projet'!$A$62,'Données projet'!$B$62,AI100+AH101-AQ100)))</f>
        <v>348.54800000000051</v>
      </c>
      <c r="AJ101" s="13">
        <f>AI101*VLOOKUP('Données projet'!$B$10,Paramètres!$A$1:$I$89,3,0)*VLOOKUP('Données projet'!$B$10,Paramètres!$A$1:$I$89,5,0)</f>
        <v>353.42767200000054</v>
      </c>
      <c r="AK101" s="13">
        <f t="shared" si="89"/>
        <v>82.26790367650959</v>
      </c>
      <c r="AL101" s="20">
        <f t="shared" si="58"/>
        <v>758.83646096992186</v>
      </c>
      <c r="AM101" s="59">
        <f t="shared" si="59"/>
        <v>1052.1697943032552</v>
      </c>
      <c r="AN101" s="59">
        <f ca="1">AVERAGE(OFFSET($AM$3,0,0,'Données projet'!$E$10+1,1))-AVERAGE(OFFSET($H$3,0,0,'Données projet'!$E$10+1,1))</f>
        <v>706.69239849991595</v>
      </c>
      <c r="AO101" s="59">
        <f t="shared" si="90"/>
        <v>310.59887275116529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29.213050300733155</v>
      </c>
      <c r="AV101" s="21">
        <f>EXP(-LN(2)/25)*AV100+(1-EXP(-LN(2)/25))/(LN(2)/25)*Calculateur!AQ101*Calculateur!AS101*VLOOKUP('Données projet'!$B$10,Paramètres!$A$1:$I$89,3,0)*0.475*44/12</f>
        <v>28.272789648940812</v>
      </c>
      <c r="AW101" s="21">
        <f>EXP(-LN(2)/2)*AW100+(1-EXP(-LN(2)/2))/(LN(2)/2)*AQ101*AT101*VLOOKUP('Données projet'!$B$10,Paramètres!$A$1:$I$89,3,0)*0.475*44/12</f>
        <v>1.6620389230274746</v>
      </c>
      <c r="AX101" s="21">
        <f t="shared" si="60"/>
        <v>59.14787887270144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331.6782768000005</v>
      </c>
      <c r="BF101" s="13">
        <f t="shared" si="91"/>
        <v>77.778153976814764</v>
      </c>
      <c r="BG101" s="20">
        <f t="shared" si="61"/>
        <v>713.13661693628671</v>
      </c>
      <c r="BH101" s="59">
        <f t="shared" si="62"/>
        <v>1006.4699502696201</v>
      </c>
      <c r="BI101" s="59">
        <f ca="1">AVERAGE(OFFSET($BH$3,0,0,'Données projet'!$E$11+1,1))-AVERAGE(OFFSET($H$3,0,0,'Données projet'!$E$11+1,1))</f>
        <v>666.1523645983184</v>
      </c>
      <c r="BJ101" s="59">
        <f t="shared" si="92"/>
        <v>294.13851344047526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27.415324128380341</v>
      </c>
      <c r="BQ101" s="21">
        <f>EXP(-LN(2)/25)*BQ100+(1-EXP(-LN(2)/25))/(LN(2)/25)*Calculateur!BL101*Calculateur!BN101*VLOOKUP('Données projet'!$B$11,Paramètres!$A$1:$I$89,3,0)*0.475*44/12</f>
        <v>26.532925670544451</v>
      </c>
      <c r="BR101" s="21">
        <f>EXP(-LN(2)/2)*BR100+(1-EXP(-LN(2)/2))/(LN(2)/2)*BL101*BO101*VLOOKUP('Données projet'!$B$11,Paramètres!$A$1:$I$89,3,0)*0.475*44/12</f>
        <v>1.5597596046873221</v>
      </c>
      <c r="BS101" s="22">
        <f t="shared" si="63"/>
        <v>55.508009403612114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8.9420000000000019</v>
      </c>
      <c r="BY101" s="12">
        <f>IF('Données projet'!$A$114&gt;35,BY100+BX101-CG100,IF(A101&lt;'Données projet'!$A$114,$BV$205^A101,IF(A101='Données projet'!$A$114,'Données projet'!$B$114,BY100+BX101-CG100)))</f>
        <v>348.54800000000051</v>
      </c>
      <c r="BZ101" s="13">
        <f>BY101*VLOOKUP('Données projet'!$B$12,Paramètres!$A$1:$I$89,3,0)*VLOOKUP('Données projet'!$B$12,Paramètres!$A$1:$I$89,5,0)</f>
        <v>375.17706720000052</v>
      </c>
      <c r="CA101" s="13">
        <f t="shared" si="93"/>
        <v>86.72558650260747</v>
      </c>
      <c r="CB101" s="20">
        <f t="shared" si="64"/>
        <v>804.48045519870891</v>
      </c>
      <c r="CC101" s="59">
        <f t="shared" si="65"/>
        <v>1097.8137885320423</v>
      </c>
      <c r="CD101" s="59">
        <f ca="1">AVERAGE(OFFSET($CC$3,0,0,'Données projet'!$E$12+1,1))-AVERAGE(OFFSET($H$3,0,0,'Données projet'!$E$12+1,1))</f>
        <v>747.18304127457918</v>
      </c>
      <c r="CE101" s="59">
        <f t="shared" si="94"/>
        <v>327.03701004966723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31.010776473085961</v>
      </c>
      <c r="CL101" s="21">
        <f>EXP(-LN(2)/25)*CL100+(1-EXP(-LN(2)/25))/(LN(2)/25)*Calculateur!CG101*Calculateur!CI101*VLOOKUP('Données projet'!$B$12,Paramètres!$A$1:$I$89,3,0)*0.475*44/12</f>
        <v>30.012653627337166</v>
      </c>
      <c r="CM101" s="21">
        <f>EXP(-LN(2)/2)*CM100+(1-EXP(-LN(2)/2))/(LN(2)/2)*CG101*CJ101*VLOOKUP('Données projet'!$B$12,Paramètres!$A$1:$I$89,3,0)*0.475*44/12</f>
        <v>1.7643182413676264</v>
      </c>
      <c r="CN101" s="22">
        <f t="shared" si="66"/>
        <v>62.787748341790753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8.9420000000000019</v>
      </c>
      <c r="CT101" s="12">
        <f>IF('Données projet'!$A$140&gt;35,CT100+CS101-DB100,IF(A101&lt;'Données projet'!$A$140,$CQ$205^A101,IF(A101='Données projet'!$A$140,'Données projet'!$B$140,CT100+CS101-DB100)))</f>
        <v>348.54800000000051</v>
      </c>
      <c r="CU101" s="17">
        <f>CT101*VLOOKUP('Données projet'!$B$13,Paramètres!$A$1:$I$89,3,0)*VLOOKUP('Données projet'!$B$13,Paramètres!$A$1:$I$89,5,0)</f>
        <v>337.1156256000005</v>
      </c>
      <c r="CV101" s="13">
        <f t="shared" si="95"/>
        <v>78.903721242985981</v>
      </c>
      <c r="CW101" s="20">
        <f t="shared" si="67"/>
        <v>724.56702908486795</v>
      </c>
      <c r="CX101" s="59">
        <f t="shared" si="68"/>
        <v>1017.9003624182012</v>
      </c>
      <c r="CY101" s="59">
        <f ca="1">AVERAGE(OFFSET($CX$3,0,0,'Données projet'!$E$13+1,1))-AVERAGE(OFFSET($H$3,0,0,'Données projet'!$E$13+1,1))</f>
        <v>676.29219382388692</v>
      </c>
      <c r="CZ101" s="59">
        <f t="shared" si="96"/>
        <v>298.25577221580448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27.864755671468547</v>
      </c>
      <c r="DG101" s="21">
        <f>EXP(-LN(2)/25)*DG100+(1-EXP(-LN(2)/25))/(LN(2)/25)*Calculateur!DB101*Calculateur!DD101*VLOOKUP('Données projet'!$B$13,Paramètres!$A$1:$I$89,3,0)*0.475*44/12</f>
        <v>26.96789166514354</v>
      </c>
      <c r="DH101" s="21">
        <f>EXP(-LN(2)/2)*DH100+(1-EXP(-LN(2)/2))/(LN(2)/2)*DB101*DE101*VLOOKUP('Données projet'!$B$13,Paramètres!$A$1:$I$89,3,0)*0.475*44/12</f>
        <v>1.5853294342723598</v>
      </c>
      <c r="DI101" s="22">
        <f t="shared" si="69"/>
        <v>56.417976770884444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-1.1368683772161603E-13</v>
      </c>
      <c r="EK101" s="17">
        <f>EJ101*VLOOKUP('Données projet'!$B$15,Paramètres!$A$1:$I$89,3,0)*VLOOKUP('Données projet'!$B$15,Paramètres!$A$1:$I$89,5,0)</f>
        <v>-8.8675733422860506E-14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197.51452239559433</v>
      </c>
      <c r="EP101" s="59">
        <f t="shared" si="100"/>
        <v>196.65166921588821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15.520462639621458</v>
      </c>
      <c r="EW101" s="21">
        <f>EXP(-LN(2)/25)*EW100+(1-EXP(-LN(2)/25))/(LN(2)/25)*Calculateur!ER101*Calculateur!ET101*VLOOKUP('Données projet'!$B$15,Paramètres!$A$1:$I$89,3,0)*0.475*44/12</f>
        <v>12.144567051522415</v>
      </c>
      <c r="EX101" s="21">
        <f>EXP(-LN(2)/2)*EX100+(1-EXP(-LN(2)/2))/(LN(2)/2)*ER101*EU101*VLOOKUP('Données projet'!$B$15,Paramètres!$A$1:$I$89,3,0)*0.475*44/12</f>
        <v>1.6808532287970683E-3</v>
      </c>
      <c r="EY101" s="22">
        <f t="shared" si="75"/>
        <v>27.66671054437267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989.17992114153458</v>
      </c>
      <c r="S102" s="59">
        <f ca="1">AVERAGE(OFFSET($R$3,0,0,'Données projet'!$E$9+1,1))-AVERAGE(OFFSET($H$3,0,0,'Données projet'!$E$9+1,1))</f>
        <v>635.71275911100679</v>
      </c>
      <c r="T102" s="59">
        <f t="shared" si="88"/>
        <v>281.7776857269169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8.9420000000000019</v>
      </c>
      <c r="AI102" s="13">
        <f>IF('Données projet'!$A$62&gt;35,AI101+AH102-AQ101,IF(A102&lt;'Données projet'!$A$62,$AF$205^A102,IF(A102='Données projet'!$A$62,'Données projet'!$B$62,AI101+AH102-AQ101)))</f>
        <v>357.49000000000052</v>
      </c>
      <c r="AJ102" s="13">
        <f>AI102*VLOOKUP('Données projet'!$B$10,Paramètres!$A$1:$I$89,3,0)*VLOOKUP('Données projet'!$B$10,Paramètres!$A$1:$I$89,5,0)</f>
        <v>362.49486000000059</v>
      </c>
      <c r="AK102" s="13">
        <f t="shared" si="89"/>
        <v>84.130056787487845</v>
      </c>
      <c r="AL102" s="20">
        <f t="shared" si="58"/>
        <v>777.87173007154217</v>
      </c>
      <c r="AM102" s="59">
        <f t="shared" si="59"/>
        <v>1071.2050634048755</v>
      </c>
      <c r="AN102" s="59">
        <f ca="1">AVERAGE(OFFSET($AM$3,0,0,'Données projet'!$E$10+1,1))-AVERAGE(OFFSET($H$3,0,0,'Données projet'!$E$10+1,1))</f>
        <v>706.69239849991595</v>
      </c>
      <c r="AO102" s="59">
        <f t="shared" si="90"/>
        <v>310.59887275116529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28.640200202537059</v>
      </c>
      <c r="AV102" s="21">
        <f>EXP(-LN(2)/25)*AV101+(1-EXP(-LN(2)/25))/(LN(2)/25)*Calculateur!AQ102*Calculateur!AS102*VLOOKUP('Données projet'!$B$10,Paramètres!$A$1:$I$89,3,0)*0.475*44/12</f>
        <v>27.499668729189136</v>
      </c>
      <c r="AW102" s="21">
        <f>EXP(-LN(2)/2)*AW101+(1-EXP(-LN(2)/2))/(LN(2)/2)*AQ102*AT102*VLOOKUP('Données projet'!$B$10,Paramètres!$A$1:$I$89,3,0)*0.475*44/12</f>
        <v>1.1752389930687137</v>
      </c>
      <c r="AX102" s="21">
        <f t="shared" si="60"/>
        <v>57.315107924794916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340.1874840000005</v>
      </c>
      <c r="BF102" s="13">
        <f t="shared" si="91"/>
        <v>79.538680560348226</v>
      </c>
      <c r="BG102" s="20">
        <f t="shared" si="61"/>
        <v>731.02306994260732</v>
      </c>
      <c r="BH102" s="59">
        <f t="shared" si="62"/>
        <v>1024.3564032759407</v>
      </c>
      <c r="BI102" s="59">
        <f ca="1">AVERAGE(OFFSET($BH$3,0,0,'Données projet'!$E$11+1,1))-AVERAGE(OFFSET($H$3,0,0,'Données projet'!$E$11+1,1))</f>
        <v>666.1523645983184</v>
      </c>
      <c r="BJ102" s="59">
        <f t="shared" si="92"/>
        <v>294.13851344047526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26.877726343919392</v>
      </c>
      <c r="BQ102" s="21">
        <f>EXP(-LN(2)/25)*BQ101+(1-EXP(-LN(2)/25))/(LN(2)/25)*Calculateur!BL102*Calculateur!BN102*VLOOKUP('Données projet'!$B$11,Paramètres!$A$1:$I$89,3,0)*0.475*44/12</f>
        <v>25.807381422777492</v>
      </c>
      <c r="BR102" s="21">
        <f>EXP(-LN(2)/2)*BR101+(1-EXP(-LN(2)/2))/(LN(2)/2)*BL102*BO102*VLOOKUP('Données projet'!$B$11,Paramètres!$A$1:$I$89,3,0)*0.475*44/12</f>
        <v>1.1029165934952543</v>
      </c>
      <c r="BS102" s="22">
        <f t="shared" si="63"/>
        <v>53.788024360192139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8.9420000000000019</v>
      </c>
      <c r="BY102" s="12">
        <f>IF('Données projet'!$A$114&gt;35,BY101+BX102-CG101,IF(A102&lt;'Données projet'!$A$114,$BV$205^A102,IF(A102='Données projet'!$A$114,'Données projet'!$B$114,BY101+BX102-CG101)))</f>
        <v>357.49000000000052</v>
      </c>
      <c r="BZ102" s="13">
        <f>BY102*VLOOKUP('Données projet'!$B$12,Paramètres!$A$1:$I$89,3,0)*VLOOKUP('Données projet'!$B$12,Paramètres!$A$1:$I$89,5,0)</f>
        <v>384.80223600000056</v>
      </c>
      <c r="CA102" s="13">
        <f t="shared" si="93"/>
        <v>88.688640299897202</v>
      </c>
      <c r="CB102" s="20">
        <f t="shared" si="64"/>
        <v>824.66327622232177</v>
      </c>
      <c r="CC102" s="59">
        <f t="shared" si="65"/>
        <v>1117.9966095556551</v>
      </c>
      <c r="CD102" s="59">
        <f ca="1">AVERAGE(OFFSET($CC$3,0,0,'Données projet'!$E$12+1,1))-AVERAGE(OFFSET($H$3,0,0,'Données projet'!$E$12+1,1))</f>
        <v>747.18304127457918</v>
      </c>
      <c r="CE102" s="59">
        <f t="shared" si="94"/>
        <v>327.03701004966723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30.402674061154723</v>
      </c>
      <c r="CL102" s="21">
        <f>EXP(-LN(2)/25)*CL101+(1-EXP(-LN(2)/25))/(LN(2)/25)*Calculateur!CG102*Calculateur!CI102*VLOOKUP('Données projet'!$B$12,Paramètres!$A$1:$I$89,3,0)*0.475*44/12</f>
        <v>29.191956035600771</v>
      </c>
      <c r="CM102" s="21">
        <f>EXP(-LN(2)/2)*CM101+(1-EXP(-LN(2)/2))/(LN(2)/2)*CG102*CJ102*VLOOKUP('Données projet'!$B$12,Paramètres!$A$1:$I$89,3,0)*0.475*44/12</f>
        <v>1.2475613926421727</v>
      </c>
      <c r="CN102" s="22">
        <f t="shared" si="66"/>
        <v>60.842191489397671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8.9420000000000019</v>
      </c>
      <c r="CT102" s="12">
        <f>IF('Données projet'!$A$140&gt;35,CT101+CS102-DB101,IF(A102&lt;'Données projet'!$A$140,$CQ$205^A102,IF(A102='Données projet'!$A$140,'Données projet'!$B$140,CT101+CS102-DB101)))</f>
        <v>357.49000000000052</v>
      </c>
      <c r="CU102" s="17">
        <f>CT102*VLOOKUP('Données projet'!$B$13,Paramètres!$A$1:$I$89,3,0)*VLOOKUP('Données projet'!$B$13,Paramètres!$A$1:$I$89,5,0)</f>
        <v>345.76432800000049</v>
      </c>
      <c r="CV102" s="13">
        <f t="shared" si="95"/>
        <v>80.689725303064279</v>
      </c>
      <c r="CW102" s="20">
        <f t="shared" si="67"/>
        <v>742.74080950283769</v>
      </c>
      <c r="CX102" s="59">
        <f t="shared" si="68"/>
        <v>1036.0741428361709</v>
      </c>
      <c r="CY102" s="59">
        <f ca="1">AVERAGE(OFFSET($CX$3,0,0,'Données projet'!$E$13+1,1))-AVERAGE(OFFSET($H$3,0,0,'Données projet'!$E$13+1,1))</f>
        <v>676.29219382388692</v>
      </c>
      <c r="CZ102" s="59">
        <f t="shared" si="96"/>
        <v>298.25577221580448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27.318344808573812</v>
      </c>
      <c r="DG102" s="21">
        <f>EXP(-LN(2)/25)*DG101+(1-EXP(-LN(2)/25))/(LN(2)/25)*Calculateur!DB102*Calculateur!DD102*VLOOKUP('Données projet'!$B$13,Paramètres!$A$1:$I$89,3,0)*0.475*44/12</f>
        <v>26.230453249380403</v>
      </c>
      <c r="DH102" s="21">
        <f>EXP(-LN(2)/2)*DH101+(1-EXP(-LN(2)/2))/(LN(2)/2)*DB102*DE102*VLOOKUP('Données projet'!$B$13,Paramètres!$A$1:$I$89,3,0)*0.475*44/12</f>
        <v>1.1209971933886187</v>
      </c>
      <c r="DI102" s="22">
        <f t="shared" si="69"/>
        <v>54.669795251342833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-1.1368683772161603E-13</v>
      </c>
      <c r="EK102" s="17">
        <f>EJ102*VLOOKUP('Données projet'!$B$15,Paramètres!$A$1:$I$89,3,0)*VLOOKUP('Données projet'!$B$15,Paramètres!$A$1:$I$89,5,0)</f>
        <v>-8.8675733422860506E-14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197.51452239559433</v>
      </c>
      <c r="EP102" s="59">
        <f t="shared" si="100"/>
        <v>196.65166921588821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15.216115833805947</v>
      </c>
      <c r="EW102" s="21">
        <f>EXP(-LN(2)/25)*EW101+(1-EXP(-LN(2)/25))/(LN(2)/25)*Calculateur!ER102*Calculateur!ET102*VLOOKUP('Données projet'!$B$15,Paramètres!$A$1:$I$89,3,0)*0.475*44/12</f>
        <v>11.81247322684351</v>
      </c>
      <c r="EX102" s="21">
        <f>EXP(-LN(2)/2)*EX101+(1-EXP(-LN(2)/2))/(LN(2)/2)*ER102*EU102*VLOOKUP('Données projet'!$B$15,Paramètres!$A$1:$I$89,3,0)*0.475*44/12</f>
        <v>1.1885427162617104E-3</v>
      </c>
      <c r="EY102" s="22">
        <f t="shared" si="75"/>
        <v>27.029777603365719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1006.1953500254065</v>
      </c>
      <c r="S103" s="59">
        <f ca="1">AVERAGE(OFFSET($R$3,0,0,'Données projet'!$E$9+1,1))-AVERAGE(OFFSET($H$3,0,0,'Données projet'!$E$9+1,1))</f>
        <v>635.71275911100679</v>
      </c>
      <c r="T103" s="59">
        <f t="shared" si="88"/>
        <v>281.7776857269169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8.9420000000000019</v>
      </c>
      <c r="AI103" s="13">
        <f>IF('Données projet'!$A$62&gt;35,AI102+AH103-AQ102,IF(A103&lt;'Données projet'!$A$62,$AF$205^A103,IF(A103='Données projet'!$A$62,'Données projet'!$B$62,AI102+AH103-AQ102)))</f>
        <v>366.43200000000053</v>
      </c>
      <c r="AJ103" s="13">
        <f>AI103*VLOOKUP('Données projet'!$B$10,Paramètres!$A$1:$I$89,3,0)*VLOOKUP('Données projet'!$B$10,Paramètres!$A$1:$I$89,5,0)</f>
        <v>371.56204800000057</v>
      </c>
      <c r="AK103" s="13">
        <f t="shared" si="89"/>
        <v>85.986795441367093</v>
      </c>
      <c r="AL103" s="20">
        <f t="shared" si="58"/>
        <v>796.89756899371525</v>
      </c>
      <c r="AM103" s="59">
        <f t="shared" si="59"/>
        <v>1090.2309023270486</v>
      </c>
      <c r="AN103" s="59">
        <f ca="1">AVERAGE(OFFSET($AM$3,0,0,'Données projet'!$E$10+1,1))-AVERAGE(OFFSET($H$3,0,0,'Données projet'!$E$10+1,1))</f>
        <v>706.69239849991595</v>
      </c>
      <c r="AO103" s="59">
        <f t="shared" si="90"/>
        <v>310.59887275116529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28.078583345362532</v>
      </c>
      <c r="AV103" s="21">
        <f>EXP(-LN(2)/25)*AV102+(1-EXP(-LN(2)/25))/(LN(2)/25)*Calculateur!AQ103*Calculateur!AS103*VLOOKUP('Données projet'!$B$10,Paramètres!$A$1:$I$89,3,0)*0.475*44/12</f>
        <v>26.747688841644731</v>
      </c>
      <c r="AW103" s="21">
        <f>EXP(-LN(2)/2)*AW102+(1-EXP(-LN(2)/2))/(LN(2)/2)*AQ103*AT103*VLOOKUP('Données projet'!$B$10,Paramètres!$A$1:$I$89,3,0)*0.475*44/12</f>
        <v>0.8310194615137374</v>
      </c>
      <c r="AX103" s="21">
        <f t="shared" si="60"/>
        <v>55.657291648521003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348.69669120000049</v>
      </c>
      <c r="BF103" s="13">
        <f t="shared" si="91"/>
        <v>81.294088179387458</v>
      </c>
      <c r="BG103" s="20">
        <f t="shared" si="61"/>
        <v>748.90060741910065</v>
      </c>
      <c r="BH103" s="59">
        <f t="shared" si="62"/>
        <v>1042.2339407524339</v>
      </c>
      <c r="BI103" s="59">
        <f ca="1">AVERAGE(OFFSET($BH$3,0,0,'Données projet'!$E$11+1,1))-AVERAGE(OFFSET($H$3,0,0,'Données projet'!$E$11+1,1))</f>
        <v>666.1523645983184</v>
      </c>
      <c r="BJ103" s="59">
        <f t="shared" si="92"/>
        <v>294.13851344047526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26.35067052410945</v>
      </c>
      <c r="BQ103" s="21">
        <f>EXP(-LN(2)/25)*BQ102+(1-EXP(-LN(2)/25))/(LN(2)/25)*Calculateur!BL103*Calculateur!BN103*VLOOKUP('Données projet'!$B$11,Paramètres!$A$1:$I$89,3,0)*0.475*44/12</f>
        <v>25.101677220620438</v>
      </c>
      <c r="BR103" s="21">
        <f>EXP(-LN(2)/2)*BR102+(1-EXP(-LN(2)/2))/(LN(2)/2)*BL103*BO103*VLOOKUP('Données projet'!$B$11,Paramètres!$A$1:$I$89,3,0)*0.475*44/12</f>
        <v>0.77987980234366117</v>
      </c>
      <c r="BS103" s="22">
        <f t="shared" si="63"/>
        <v>52.232227547073556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8.9420000000000019</v>
      </c>
      <c r="BY103" s="12">
        <f>IF('Données projet'!$A$114&gt;35,BY102+BX103-CG102,IF(A103&lt;'Données projet'!$A$114,$BV$205^A103,IF(A103='Données projet'!$A$114,'Données projet'!$B$114,BY102+BX103-CG102)))</f>
        <v>366.43200000000053</v>
      </c>
      <c r="BZ103" s="13">
        <f>BY103*VLOOKUP('Données projet'!$B$12,Paramètres!$A$1:$I$89,3,0)*VLOOKUP('Données projet'!$B$12,Paramètres!$A$1:$I$89,5,0)</f>
        <v>394.42740480000055</v>
      </c>
      <c r="CA103" s="13">
        <f t="shared" si="93"/>
        <v>90.645986257962804</v>
      </c>
      <c r="CB103" s="20">
        <f t="shared" si="64"/>
        <v>844.83615609261949</v>
      </c>
      <c r="CC103" s="59">
        <f t="shared" si="65"/>
        <v>1138.1694894259529</v>
      </c>
      <c r="CD103" s="59">
        <f ca="1">AVERAGE(OFFSET($CC$3,0,0,'Données projet'!$E$12+1,1))-AVERAGE(OFFSET($H$3,0,0,'Données projet'!$E$12+1,1))</f>
        <v>747.18304127457918</v>
      </c>
      <c r="CE103" s="59">
        <f t="shared" si="94"/>
        <v>327.03701004966723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29.806496166615609</v>
      </c>
      <c r="CL103" s="21">
        <f>EXP(-LN(2)/25)*CL102+(1-EXP(-LN(2)/25))/(LN(2)/25)*Calculateur!CG103*Calculateur!CI103*VLOOKUP('Données projet'!$B$12,Paramètres!$A$1:$I$89,3,0)*0.475*44/12</f>
        <v>28.39370046266902</v>
      </c>
      <c r="CM103" s="21">
        <f>EXP(-LN(2)/2)*CM102+(1-EXP(-LN(2)/2))/(LN(2)/2)*CG103*CJ103*VLOOKUP('Données projet'!$B$12,Paramètres!$A$1:$I$89,3,0)*0.475*44/12</f>
        <v>0.88215912068381341</v>
      </c>
      <c r="CN103" s="22">
        <f t="shared" si="66"/>
        <v>59.08235574996845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8.9420000000000019</v>
      </c>
      <c r="CT103" s="12">
        <f>IF('Données projet'!$A$140&gt;35,CT102+CS103-DB102,IF(A103&lt;'Données projet'!$A$140,$CQ$205^A103,IF(A103='Données projet'!$A$140,'Données projet'!$B$140,CT102+CS103-DB102)))</f>
        <v>366.43200000000053</v>
      </c>
      <c r="CU103" s="17">
        <f>CT103*VLOOKUP('Données projet'!$B$13,Paramètres!$A$1:$I$89,3,0)*VLOOKUP('Données projet'!$B$13,Paramètres!$A$1:$I$89,5,0)</f>
        <v>354.41303040000054</v>
      </c>
      <c r="CV103" s="13">
        <f t="shared" si="95"/>
        <v>82.470536319506934</v>
      </c>
      <c r="CW103" s="20">
        <f t="shared" si="67"/>
        <v>760.90554536980881</v>
      </c>
      <c r="CX103" s="59">
        <f t="shared" si="68"/>
        <v>1054.2388787031421</v>
      </c>
      <c r="CY103" s="59">
        <f ca="1">AVERAGE(OFFSET($CX$3,0,0,'Données projet'!$E$13+1,1))-AVERAGE(OFFSET($H$3,0,0,'Données projet'!$E$13+1,1))</f>
        <v>676.29219382388692</v>
      </c>
      <c r="CZ103" s="59">
        <f t="shared" si="96"/>
        <v>298.25577221580448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26.782648729422725</v>
      </c>
      <c r="DG103" s="21">
        <f>EXP(-LN(2)/25)*DG102+(1-EXP(-LN(2)/25))/(LN(2)/25)*Calculateur!DB103*Calculateur!DD103*VLOOKUP('Données projet'!$B$13,Paramètres!$A$1:$I$89,3,0)*0.475*44/12</f>
        <v>25.513180125876509</v>
      </c>
      <c r="DH103" s="21">
        <f>EXP(-LN(2)/2)*DH102+(1-EXP(-LN(2)/2))/(LN(2)/2)*DB103*DE103*VLOOKUP('Données projet'!$B$13,Paramètres!$A$1:$I$89,3,0)*0.475*44/12</f>
        <v>0.79266471713617992</v>
      </c>
      <c r="DI103" s="22">
        <f t="shared" si="69"/>
        <v>53.088493572435411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-1.1368683772161603E-13</v>
      </c>
      <c r="EK103" s="17">
        <f>EJ103*VLOOKUP('Données projet'!$B$15,Paramètres!$A$1:$I$89,3,0)*VLOOKUP('Données projet'!$B$15,Paramètres!$A$1:$I$89,5,0)</f>
        <v>-8.8675733422860506E-14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197.51452239559433</v>
      </c>
      <c r="EP103" s="59">
        <f t="shared" si="100"/>
        <v>196.65166921588821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14.917737083219256</v>
      </c>
      <c r="EW103" s="21">
        <f>EXP(-LN(2)/25)*EW102+(1-EXP(-LN(2)/25))/(LN(2)/25)*Calculateur!ER103*Calculateur!ET103*VLOOKUP('Données projet'!$B$15,Paramètres!$A$1:$I$89,3,0)*0.475*44/12</f>
        <v>11.489460525264505</v>
      </c>
      <c r="EX103" s="21">
        <f>EXP(-LN(2)/2)*EX102+(1-EXP(-LN(2)/2))/(LN(2)/2)*ER103*EU103*VLOOKUP('Données projet'!$B$15,Paramètres!$A$1:$I$89,3,0)*0.475*44/12</f>
        <v>8.4042661439853413E-4</v>
      </c>
      <c r="EY103" s="22">
        <f t="shared" si="75"/>
        <v>26.408038035098162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1023.2024839606354</v>
      </c>
      <c r="S104" s="59">
        <f ca="1">AVERAGE(OFFSET($R$3,0,0,'Données projet'!$E$9+1,1))-AVERAGE(OFFSET($H$3,0,0,'Données projet'!$E$9+1,1))</f>
        <v>635.71275911100679</v>
      </c>
      <c r="T104" s="59">
        <f t="shared" si="88"/>
        <v>281.7776857269169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8.9420000000000019</v>
      </c>
      <c r="AI104" s="13">
        <f>IF('Données projet'!$A$62&gt;35,AI103+AH104-AQ103,IF(A104&lt;'Données projet'!$A$62,$AF$205^A104,IF(A104='Données projet'!$A$62,'Données projet'!$B$62,AI103+AH104-AQ103)))</f>
        <v>375.37400000000054</v>
      </c>
      <c r="AJ104" s="13">
        <f>AI104*VLOOKUP('Données projet'!$B$10,Paramètres!$A$1:$I$89,3,0)*VLOOKUP('Données projet'!$B$10,Paramètres!$A$1:$I$89,5,0)</f>
        <v>380.62923600000056</v>
      </c>
      <c r="AK104" s="13">
        <f t="shared" si="89"/>
        <v>87.83826696657087</v>
      </c>
      <c r="AL104" s="20">
        <f t="shared" si="58"/>
        <v>815.91423433344517</v>
      </c>
      <c r="AM104" s="59">
        <f t="shared" si="59"/>
        <v>1109.2475676667784</v>
      </c>
      <c r="AN104" s="59">
        <f ca="1">AVERAGE(OFFSET($AM$3,0,0,'Données projet'!$E$10+1,1))-AVERAGE(OFFSET($H$3,0,0,'Données projet'!$E$10+1,1))</f>
        <v>706.69239849991595</v>
      </c>
      <c r="AO104" s="59">
        <f t="shared" si="90"/>
        <v>310.59887275116529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27.527979452204736</v>
      </c>
      <c r="AV104" s="21">
        <f>EXP(-LN(2)/25)*AV103+(1-EXP(-LN(2)/25))/(LN(2)/25)*Calculateur!AQ104*Calculateur!AS104*VLOOKUP('Données projet'!$B$10,Paramètres!$A$1:$I$89,3,0)*0.475*44/12</f>
        <v>26.016271883670132</v>
      </c>
      <c r="AW104" s="21">
        <f>EXP(-LN(2)/2)*AW103+(1-EXP(-LN(2)/2))/(LN(2)/2)*AQ104*AT104*VLOOKUP('Données projet'!$B$10,Paramètres!$A$1:$I$89,3,0)*0.475*44/12</f>
        <v>0.58761949653435686</v>
      </c>
      <c r="AX104" s="21">
        <f t="shared" si="60"/>
        <v>54.131870832409227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357.20589840000048</v>
      </c>
      <c r="BF104" s="13">
        <f t="shared" si="91"/>
        <v>83.044516121944824</v>
      </c>
      <c r="BG104" s="20">
        <f t="shared" si="61"/>
        <v>766.76947195905461</v>
      </c>
      <c r="BH104" s="59">
        <f t="shared" si="62"/>
        <v>1060.102805292388</v>
      </c>
      <c r="BI104" s="59">
        <f ca="1">AVERAGE(OFFSET($BH$3,0,0,'Données projet'!$E$11+1,1))-AVERAGE(OFFSET($H$3,0,0,'Données projet'!$E$11+1,1))</f>
        <v>666.1523645983184</v>
      </c>
      <c r="BJ104" s="59">
        <f t="shared" si="92"/>
        <v>294.13851344047526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25.833949947453675</v>
      </c>
      <c r="BQ104" s="21">
        <f>EXP(-LN(2)/25)*BQ103+(1-EXP(-LN(2)/25))/(LN(2)/25)*Calculateur!BL104*Calculateur!BN104*VLOOKUP('Données projet'!$B$11,Paramètres!$A$1:$I$89,3,0)*0.475*44/12</f>
        <v>24.415270536982739</v>
      </c>
      <c r="BR104" s="21">
        <f>EXP(-LN(2)/2)*BR103+(1-EXP(-LN(2)/2))/(LN(2)/2)*BL104*BO104*VLOOKUP('Données projet'!$B$11,Paramètres!$A$1:$I$89,3,0)*0.475*44/12</f>
        <v>0.55145829674762714</v>
      </c>
      <c r="BS104" s="22">
        <f t="shared" si="63"/>
        <v>50.80067878118404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8.9420000000000019</v>
      </c>
      <c r="BY104" s="12">
        <f>IF('Données projet'!$A$114&gt;35,BY103+BX104-CG103,IF(A104&lt;'Données projet'!$A$114,$BV$205^A104,IF(A104='Données projet'!$A$114,'Données projet'!$B$114,BY103+BX104-CG103)))</f>
        <v>375.37400000000054</v>
      </c>
      <c r="BZ104" s="13">
        <f>BY104*VLOOKUP('Données projet'!$B$12,Paramètres!$A$1:$I$89,3,0)*VLOOKUP('Données projet'!$B$12,Paramètres!$A$1:$I$89,5,0)</f>
        <v>404.05257360000053</v>
      </c>
      <c r="CA104" s="13">
        <f t="shared" si="93"/>
        <v>92.597779688211872</v>
      </c>
      <c r="CB104" s="20">
        <f t="shared" si="64"/>
        <v>864.99936531030323</v>
      </c>
      <c r="CC104" s="59">
        <f t="shared" si="65"/>
        <v>1158.3326986436366</v>
      </c>
      <c r="CD104" s="59">
        <f ca="1">AVERAGE(OFFSET($CC$3,0,0,'Données projet'!$E$12+1,1))-AVERAGE(OFFSET($H$3,0,0,'Données projet'!$E$12+1,1))</f>
        <v>747.18304127457918</v>
      </c>
      <c r="CE104" s="59">
        <f t="shared" si="94"/>
        <v>327.03701004966723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29.222008956955797</v>
      </c>
      <c r="CL104" s="21">
        <f>EXP(-LN(2)/25)*CL103+(1-EXP(-LN(2)/25))/(LN(2)/25)*Calculateur!CG104*Calculateur!CI104*VLOOKUP('Données projet'!$B$12,Paramètres!$A$1:$I$89,3,0)*0.475*44/12</f>
        <v>27.617273230357522</v>
      </c>
      <c r="CM104" s="21">
        <f>EXP(-LN(2)/2)*CM103+(1-EXP(-LN(2)/2))/(LN(2)/2)*CG104*CJ104*VLOOKUP('Données projet'!$B$12,Paramètres!$A$1:$I$89,3,0)*0.475*44/12</f>
        <v>0.62378069632108646</v>
      </c>
      <c r="CN104" s="22">
        <f t="shared" si="66"/>
        <v>57.4630628836344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8.9420000000000019</v>
      </c>
      <c r="CT104" s="12">
        <f>IF('Données projet'!$A$140&gt;35,CT103+CS104-DB103,IF(A104&lt;'Données projet'!$A$140,$CQ$205^A104,IF(A104='Données projet'!$A$140,'Données projet'!$B$140,CT103+CS104-DB103)))</f>
        <v>375.37400000000054</v>
      </c>
      <c r="CU104" s="17">
        <f>CT104*VLOOKUP('Données projet'!$B$13,Paramètres!$A$1:$I$89,3,0)*VLOOKUP('Données projet'!$B$13,Paramètres!$A$1:$I$89,5,0)</f>
        <v>363.06173280000053</v>
      </c>
      <c r="CV104" s="13">
        <f t="shared" si="95"/>
        <v>84.246295596034003</v>
      </c>
      <c r="CW104" s="20">
        <f t="shared" si="67"/>
        <v>779.06148278976013</v>
      </c>
      <c r="CX104" s="59">
        <f t="shared" si="68"/>
        <v>1072.3948161230935</v>
      </c>
      <c r="CY104" s="59">
        <f ca="1">AVERAGE(OFFSET($CX$3,0,0,'Données projet'!$E$13+1,1))-AVERAGE(OFFSET($H$3,0,0,'Données projet'!$E$13+1,1))</f>
        <v>676.29219382388692</v>
      </c>
      <c r="CZ104" s="59">
        <f t="shared" si="96"/>
        <v>298.25577221580448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26.257457323641443</v>
      </c>
      <c r="DG104" s="21">
        <f>EXP(-LN(2)/25)*DG103+(1-EXP(-LN(2)/25))/(LN(2)/25)*Calculateur!DB104*Calculateur!DD104*VLOOKUP('Données projet'!$B$13,Paramètres!$A$1:$I$89,3,0)*0.475*44/12</f>
        <v>24.815520873654584</v>
      </c>
      <c r="DH104" s="21">
        <f>EXP(-LN(2)/2)*DH103+(1-EXP(-LN(2)/2))/(LN(2)/2)*DB104*DE104*VLOOKUP('Données projet'!$B$13,Paramètres!$A$1:$I$89,3,0)*0.475*44/12</f>
        <v>0.56049859669430935</v>
      </c>
      <c r="DI104" s="22">
        <f t="shared" si="69"/>
        <v>51.633476793990333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-1.1368683772161603E-13</v>
      </c>
      <c r="EK104" s="17">
        <f>EJ104*VLOOKUP('Données projet'!$B$15,Paramètres!$A$1:$I$89,3,0)*VLOOKUP('Données projet'!$B$15,Paramètres!$A$1:$I$89,5,0)</f>
        <v>-8.8675733422860506E-14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197.51452239559433</v>
      </c>
      <c r="EP104" s="59">
        <f t="shared" si="100"/>
        <v>196.65166921588821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14.625209357938504</v>
      </c>
      <c r="EW104" s="21">
        <f>EXP(-LN(2)/25)*EW103+(1-EXP(-LN(2)/25))/(LN(2)/25)*Calculateur!ER104*Calculateur!ET104*VLOOKUP('Données projet'!$B$15,Paramètres!$A$1:$I$89,3,0)*0.475*44/12</f>
        <v>11.175280622996677</v>
      </c>
      <c r="EX104" s="21">
        <f>EXP(-LN(2)/2)*EX103+(1-EXP(-LN(2)/2))/(LN(2)/2)*ER104*EU104*VLOOKUP('Données projet'!$B$15,Paramètres!$A$1:$I$89,3,0)*0.475*44/12</f>
        <v>5.9427135813085522E-4</v>
      </c>
      <c r="EY104" s="22">
        <f t="shared" si="75"/>
        <v>25.801084252293315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1040.2015432830319</v>
      </c>
      <c r="S105" s="59">
        <f ca="1">AVERAGE(OFFSET($R$3,0,0,'Données projet'!$E$9+1,1))-AVERAGE(OFFSET($H$3,0,0,'Données projet'!$E$9+1,1))</f>
        <v>635.71275911100679</v>
      </c>
      <c r="T105" s="59">
        <f t="shared" si="88"/>
        <v>281.7776857269169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8.9420000000000019</v>
      </c>
      <c r="AI105" s="13">
        <f>IF('Données projet'!$A$62&gt;35,AI104+AH105-AQ104,IF(A105&lt;'Données projet'!$A$62,$AF$205^A105,IF(A105='Données projet'!$A$62,'Données projet'!$B$62,AI104+AH105-AQ104)))</f>
        <v>384.31600000000054</v>
      </c>
      <c r="AJ105" s="13">
        <f>AI105*VLOOKUP('Données projet'!$B$10,Paramètres!$A$1:$I$89,3,0)*VLOOKUP('Données projet'!$B$10,Paramètres!$A$1:$I$89,5,0)</f>
        <v>389.6964240000006</v>
      </c>
      <c r="AK105" s="13">
        <f t="shared" si="89"/>
        <v>89.684611271990661</v>
      </c>
      <c r="AL105" s="20">
        <f t="shared" si="58"/>
        <v>834.9219697653848</v>
      </c>
      <c r="AM105" s="59">
        <f t="shared" si="59"/>
        <v>1128.2553030987181</v>
      </c>
      <c r="AN105" s="59">
        <f ca="1">AVERAGE(OFFSET($AM$3,0,0,'Données projet'!$E$10+1,1))-AVERAGE(OFFSET($H$3,0,0,'Données projet'!$E$10+1,1))</f>
        <v>706.69239849991595</v>
      </c>
      <c r="AO105" s="59">
        <f t="shared" si="90"/>
        <v>310.59887275116529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26.988172565556553</v>
      </c>
      <c r="AV105" s="21">
        <f>EXP(-LN(2)/25)*AV104+(1-EXP(-LN(2)/25))/(LN(2)/25)*Calculateur!AQ105*Calculateur!AS105*VLOOKUP('Données projet'!$B$10,Paramètres!$A$1:$I$89,3,0)*0.475*44/12</f>
        <v>25.304855560874895</v>
      </c>
      <c r="AW105" s="21">
        <f>EXP(-LN(2)/2)*AW104+(1-EXP(-LN(2)/2))/(LN(2)/2)*AQ105*AT105*VLOOKUP('Données projet'!$B$10,Paramètres!$A$1:$I$89,3,0)*0.475*44/12</f>
        <v>0.4155097307568687</v>
      </c>
      <c r="AX105" s="21">
        <f t="shared" si="60"/>
        <v>52.708537857188318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365.71510560000053</v>
      </c>
      <c r="BF105" s="13">
        <f t="shared" si="91"/>
        <v>84.790096661420279</v>
      </c>
      <c r="BG105" s="20">
        <f t="shared" si="61"/>
        <v>784.62989393864109</v>
      </c>
      <c r="BH105" s="59">
        <f t="shared" si="62"/>
        <v>1077.9632272719743</v>
      </c>
      <c r="BI105" s="59">
        <f ca="1">AVERAGE(OFFSET($BH$3,0,0,'Données projet'!$E$11+1,1))-AVERAGE(OFFSET($H$3,0,0,'Données projet'!$E$11+1,1))</f>
        <v>666.1523645983184</v>
      </c>
      <c r="BJ105" s="59">
        <f t="shared" si="92"/>
        <v>294.13851344047526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25.327361946137685</v>
      </c>
      <c r="BQ105" s="21">
        <f>EXP(-LN(2)/25)*BQ104+(1-EXP(-LN(2)/25))/(LN(2)/25)*Calculateur!BL105*Calculateur!BN105*VLOOKUP('Données projet'!$B$11,Paramètres!$A$1:$I$89,3,0)*0.475*44/12</f>
        <v>23.74763368020567</v>
      </c>
      <c r="BR105" s="21">
        <f>EXP(-LN(2)/2)*BR104+(1-EXP(-LN(2)/2))/(LN(2)/2)*BL105*BO105*VLOOKUP('Données projet'!$B$11,Paramètres!$A$1:$I$89,3,0)*0.475*44/12</f>
        <v>0.38993990117183058</v>
      </c>
      <c r="BS105" s="22">
        <f t="shared" si="63"/>
        <v>49.464935527515181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8.9420000000000019</v>
      </c>
      <c r="BY105" s="12">
        <f>IF('Données projet'!$A$114&gt;35,BY104+BX105-CG104,IF(A105&lt;'Données projet'!$A$114,$BV$205^A105,IF(A105='Données projet'!$A$114,'Données projet'!$B$114,BY104+BX105-CG104)))</f>
        <v>384.31600000000054</v>
      </c>
      <c r="BZ105" s="13">
        <f>BY105*VLOOKUP('Données projet'!$B$12,Paramètres!$A$1:$I$89,3,0)*VLOOKUP('Données projet'!$B$12,Paramètres!$A$1:$I$89,5,0)</f>
        <v>413.67774240000057</v>
      </c>
      <c r="CA105" s="13">
        <f t="shared" si="93"/>
        <v>94.54416808049325</v>
      </c>
      <c r="CB105" s="20">
        <f t="shared" si="64"/>
        <v>885.15316075352678</v>
      </c>
      <c r="CC105" s="59">
        <f t="shared" si="65"/>
        <v>1178.4864940868601</v>
      </c>
      <c r="CD105" s="59">
        <f ca="1">AVERAGE(OFFSET($CC$3,0,0,'Données projet'!$E$12+1,1))-AVERAGE(OFFSET($H$3,0,0,'Données projet'!$E$12+1,1))</f>
        <v>747.18304127457918</v>
      </c>
      <c r="CE105" s="59">
        <f t="shared" si="94"/>
        <v>327.03701004966723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28.648983184975418</v>
      </c>
      <c r="CL105" s="21">
        <f>EXP(-LN(2)/25)*CL104+(1-EXP(-LN(2)/25))/(LN(2)/25)*Calculateur!CG105*Calculateur!CI105*VLOOKUP('Données projet'!$B$12,Paramètres!$A$1:$I$89,3,0)*0.475*44/12</f>
        <v>26.862077441544116</v>
      </c>
      <c r="CM105" s="21">
        <f>EXP(-LN(2)/2)*CM104+(1-EXP(-LN(2)/2))/(LN(2)/2)*CG105*CJ105*VLOOKUP('Données projet'!$B$12,Paramètres!$A$1:$I$89,3,0)*0.475*44/12</f>
        <v>0.44107956034190676</v>
      </c>
      <c r="CN105" s="22">
        <f t="shared" si="66"/>
        <v>55.952140186861442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8.9420000000000019</v>
      </c>
      <c r="CT105" s="12">
        <f>IF('Données projet'!$A$140&gt;35,CT104+CS105-DB104,IF(A105&lt;'Données projet'!$A$140,$CQ$205^A105,IF(A105='Données projet'!$A$140,'Données projet'!$B$140,CT104+CS105-DB104)))</f>
        <v>384.31600000000054</v>
      </c>
      <c r="CU105" s="17">
        <f>CT105*VLOOKUP('Données projet'!$B$13,Paramètres!$A$1:$I$89,3,0)*VLOOKUP('Données projet'!$B$13,Paramètres!$A$1:$I$89,5,0)</f>
        <v>371.71043520000052</v>
      </c>
      <c r="CV105" s="13">
        <f t="shared" si="95"/>
        <v>86.017137320241147</v>
      </c>
      <c r="CW105" s="20">
        <f t="shared" si="67"/>
        <v>797.20885547275418</v>
      </c>
      <c r="CX105" s="59">
        <f t="shared" si="68"/>
        <v>1090.5421888060876</v>
      </c>
      <c r="CY105" s="59">
        <f ca="1">AVERAGE(OFFSET($CX$3,0,0,'Données projet'!$E$13+1,1))-AVERAGE(OFFSET($H$3,0,0,'Données projet'!$E$13+1,1))</f>
        <v>676.29219382388692</v>
      </c>
      <c r="CZ105" s="59">
        <f t="shared" si="96"/>
        <v>298.25577221580448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25.742564600992406</v>
      </c>
      <c r="DG105" s="21">
        <f>EXP(-LN(2)/25)*DG104+(1-EXP(-LN(2)/25))/(LN(2)/25)*Calculateur!DB105*Calculateur!DD105*VLOOKUP('Données projet'!$B$13,Paramètres!$A$1:$I$89,3,0)*0.475*44/12</f>
        <v>24.136939150372974</v>
      </c>
      <c r="DH105" s="21">
        <f>EXP(-LN(2)/2)*DH104+(1-EXP(-LN(2)/2))/(LN(2)/2)*DB105*DE105*VLOOKUP('Données projet'!$B$13,Paramètres!$A$1:$I$89,3,0)*0.475*44/12</f>
        <v>0.39633235856808996</v>
      </c>
      <c r="DI105" s="22">
        <f t="shared" si="69"/>
        <v>50.275836109933465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-1.1368683772161603E-13</v>
      </c>
      <c r="EK105" s="17">
        <f>EJ105*VLOOKUP('Données projet'!$B$15,Paramètres!$A$1:$I$89,3,0)*VLOOKUP('Données projet'!$B$15,Paramètres!$A$1:$I$89,5,0)</f>
        <v>-8.8675733422860506E-14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197.51452239559433</v>
      </c>
      <c r="EP105" s="59">
        <f t="shared" si="100"/>
        <v>196.65166921588821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14.338417922926212</v>
      </c>
      <c r="EW105" s="21">
        <f>EXP(-LN(2)/25)*EW104+(1-EXP(-LN(2)/25))/(LN(2)/25)*Calculateur!ER105*Calculateur!ET105*VLOOKUP('Données projet'!$B$15,Paramètres!$A$1:$I$89,3,0)*0.475*44/12</f>
        <v>10.869691986678367</v>
      </c>
      <c r="EX105" s="21">
        <f>EXP(-LN(2)/2)*EX104+(1-EXP(-LN(2)/2))/(LN(2)/2)*ER105*EU105*VLOOKUP('Données projet'!$B$15,Paramètres!$A$1:$I$89,3,0)*0.475*44/12</f>
        <v>4.2021330719926707E-4</v>
      </c>
      <c r="EY105" s="22">
        <f t="shared" si="75"/>
        <v>25.208530122911778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1057.1927374901622</v>
      </c>
      <c r="S106" s="59">
        <f ca="1">AVERAGE(OFFSET($R$3,0,0,'Données projet'!$E$9+1,1))-AVERAGE(OFFSET($H$3,0,0,'Données projet'!$E$9+1,1))</f>
        <v>635.71275911100679</v>
      </c>
      <c r="T106" s="59">
        <f t="shared" si="88"/>
        <v>281.7776857269169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8.9420000000000019</v>
      </c>
      <c r="AI106" s="13">
        <f>IF('Données projet'!$A$62&gt;35,AI105+AH106-AQ105,IF(A106&lt;'Données projet'!$A$62,$AF$205^A106,IF(A106='Données projet'!$A$62,'Données projet'!$B$62,AI105+AH106-AQ105)))</f>
        <v>393.25800000000055</v>
      </c>
      <c r="AJ106" s="13">
        <f>AI106*VLOOKUP('Données projet'!$B$10,Paramètres!$A$1:$I$89,3,0)*VLOOKUP('Données projet'!$B$10,Paramètres!$A$1:$I$89,5,0)</f>
        <v>398.76361200000059</v>
      </c>
      <c r="AK106" s="13">
        <f t="shared" si="89"/>
        <v>91.525961384445637</v>
      </c>
      <c r="AL106" s="20">
        <f t="shared" si="58"/>
        <v>853.92100697791045</v>
      </c>
      <c r="AM106" s="59">
        <f t="shared" si="59"/>
        <v>1147.2543403112438</v>
      </c>
      <c r="AN106" s="59">
        <f ca="1">AVERAGE(OFFSET($AM$3,0,0,'Données projet'!$E$10+1,1))-AVERAGE(OFFSET($H$3,0,0,'Données projet'!$E$10+1,1))</f>
        <v>706.69239849991595</v>
      </c>
      <c r="AO106" s="59">
        <f t="shared" si="90"/>
        <v>310.59887275116529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26.458950962705849</v>
      </c>
      <c r="AV106" s="21">
        <f>EXP(-LN(2)/25)*AV105+(1-EXP(-LN(2)/25))/(LN(2)/25)*Calculateur!AQ106*Calculateur!AS106*VLOOKUP('Données projet'!$B$10,Paramètres!$A$1:$I$89,3,0)*0.475*44/12</f>
        <v>24.612892954838252</v>
      </c>
      <c r="AW106" s="21">
        <f>EXP(-LN(2)/2)*AW105+(1-EXP(-LN(2)/2))/(LN(2)/2)*AQ106*AT106*VLOOKUP('Données projet'!$B$10,Paramètres!$A$1:$I$89,3,0)*0.475*44/12</f>
        <v>0.29380974826717843</v>
      </c>
      <c r="AX106" s="21">
        <f t="shared" si="60"/>
        <v>51.36565366581128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374.22431280000052</v>
      </c>
      <c r="BF106" s="13">
        <f t="shared" si="91"/>
        <v>86.530955564728501</v>
      </c>
      <c r="BG106" s="20">
        <f t="shared" si="61"/>
        <v>802.48209240190306</v>
      </c>
      <c r="BH106" s="59">
        <f t="shared" si="62"/>
        <v>1095.8154257352364</v>
      </c>
      <c r="BI106" s="59">
        <f ca="1">AVERAGE(OFFSET($BH$3,0,0,'Données projet'!$E$11+1,1))-AVERAGE(OFFSET($H$3,0,0,'Données projet'!$E$11+1,1))</f>
        <v>666.1523645983184</v>
      </c>
      <c r="BJ106" s="59">
        <f t="shared" si="92"/>
        <v>294.13851344047526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24.830707826539332</v>
      </c>
      <c r="BQ106" s="21">
        <f>EXP(-LN(2)/25)*BQ105+(1-EXP(-LN(2)/25))/(LN(2)/25)*Calculateur!BL106*Calculateur!BN106*VLOOKUP('Données projet'!$B$11,Paramètres!$A$1:$I$89,3,0)*0.475*44/12</f>
        <v>23.098253388386667</v>
      </c>
      <c r="BR106" s="21">
        <f>EXP(-LN(2)/2)*BR105+(1-EXP(-LN(2)/2))/(LN(2)/2)*BL106*BO106*VLOOKUP('Données projet'!$B$11,Paramètres!$A$1:$I$89,3,0)*0.475*44/12</f>
        <v>0.27572914837381357</v>
      </c>
      <c r="BS106" s="22">
        <f t="shared" si="63"/>
        <v>48.204690363299811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8.9420000000000019</v>
      </c>
      <c r="BY106" s="12">
        <f>IF('Données projet'!$A$114&gt;35,BY105+BX106-CG105,IF(A106&lt;'Données projet'!$A$114,$BV$205^A106,IF(A106='Données projet'!$A$114,'Données projet'!$B$114,BY105+BX106-CG105)))</f>
        <v>393.25800000000055</v>
      </c>
      <c r="BZ106" s="13">
        <f>BY106*VLOOKUP('Données projet'!$B$12,Paramètres!$A$1:$I$89,3,0)*VLOOKUP('Données projet'!$B$12,Paramètres!$A$1:$I$89,5,0)</f>
        <v>423.30291120000055</v>
      </c>
      <c r="CA106" s="13">
        <f t="shared" si="93"/>
        <v>96.485291669678588</v>
      </c>
      <c r="CB106" s="20">
        <f t="shared" si="64"/>
        <v>905.2977866646911</v>
      </c>
      <c r="CC106" s="59">
        <f t="shared" si="65"/>
        <v>1198.6311199980244</v>
      </c>
      <c r="CD106" s="59">
        <f ca="1">AVERAGE(OFFSET($CC$3,0,0,'Données projet'!$E$12+1,1))-AVERAGE(OFFSET($H$3,0,0,'Données projet'!$E$12+1,1))</f>
        <v>747.18304127457918</v>
      </c>
      <c r="CE106" s="59">
        <f t="shared" si="94"/>
        <v>327.03701004966723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28.087194098872363</v>
      </c>
      <c r="CL106" s="21">
        <f>EXP(-LN(2)/25)*CL105+(1-EXP(-LN(2)/25))/(LN(2)/25)*Calculateur!CG106*Calculateur!CI106*VLOOKUP('Données projet'!$B$12,Paramètres!$A$1:$I$89,3,0)*0.475*44/12</f>
        <v>26.127532521289833</v>
      </c>
      <c r="CM106" s="21">
        <f>EXP(-LN(2)/2)*CM105+(1-EXP(-LN(2)/2))/(LN(2)/2)*CG106*CJ106*VLOOKUP('Données projet'!$B$12,Paramètres!$A$1:$I$89,3,0)*0.475*44/12</f>
        <v>0.31189034816054328</v>
      </c>
      <c r="CN106" s="22">
        <f t="shared" si="66"/>
        <v>54.526616968322742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8.9420000000000019</v>
      </c>
      <c r="CT106" s="12">
        <f>IF('Données projet'!$A$140&gt;35,CT105+CS106-DB105,IF(A106&lt;'Données projet'!$A$140,$CQ$205^A106,IF(A106='Données projet'!$A$140,'Données projet'!$B$140,CT105+CS106-DB105)))</f>
        <v>393.25800000000055</v>
      </c>
      <c r="CU106" s="17">
        <f>CT106*VLOOKUP('Données projet'!$B$13,Paramètres!$A$1:$I$89,3,0)*VLOOKUP('Données projet'!$B$13,Paramètres!$A$1:$I$89,5,0)</f>
        <v>380.35913760000057</v>
      </c>
      <c r="CV106" s="13">
        <f t="shared" si="95"/>
        <v>87.783189079080117</v>
      </c>
      <c r="CW106" s="20">
        <f t="shared" si="67"/>
        <v>815.34788563273207</v>
      </c>
      <c r="CX106" s="59">
        <f t="shared" si="68"/>
        <v>1108.6812189660654</v>
      </c>
      <c r="CY106" s="59">
        <f ca="1">AVERAGE(OFFSET($CX$3,0,0,'Données projet'!$E$13+1,1))-AVERAGE(OFFSET($H$3,0,0,'Données projet'!$E$13+1,1))</f>
        <v>676.29219382388692</v>
      </c>
      <c r="CZ106" s="59">
        <f t="shared" si="96"/>
        <v>298.25577221580448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25.237768610580964</v>
      </c>
      <c r="DG106" s="21">
        <f>EXP(-LN(2)/25)*DG105+(1-EXP(-LN(2)/25))/(LN(2)/25)*Calculateur!DB106*Calculateur!DD106*VLOOKUP('Données projet'!$B$13,Paramètres!$A$1:$I$89,3,0)*0.475*44/12</f>
        <v>23.476913279999561</v>
      </c>
      <c r="DH106" s="21">
        <f>EXP(-LN(2)/2)*DH105+(1-EXP(-LN(2)/2))/(LN(2)/2)*DB106*DE106*VLOOKUP('Données projet'!$B$13,Paramètres!$A$1:$I$89,3,0)*0.475*44/12</f>
        <v>0.28024929834715467</v>
      </c>
      <c r="DI106" s="22">
        <f t="shared" si="69"/>
        <v>48.99493118892768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-1.1368683772161603E-13</v>
      </c>
      <c r="EK106" s="17">
        <f>EJ106*VLOOKUP('Données projet'!$B$15,Paramètres!$A$1:$I$89,3,0)*VLOOKUP('Données projet'!$B$15,Paramètres!$A$1:$I$89,5,0)</f>
        <v>-8.8675733422860506E-14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197.51452239559433</v>
      </c>
      <c r="EP106" s="59">
        <f t="shared" si="100"/>
        <v>196.65166921588821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14.057250293029009</v>
      </c>
      <c r="EW106" s="21">
        <f>EXP(-LN(2)/25)*EW105+(1-EXP(-LN(2)/25))/(LN(2)/25)*Calculateur!ER106*Calculateur!ET106*VLOOKUP('Données projet'!$B$15,Paramètres!$A$1:$I$89,3,0)*0.475*44/12</f>
        <v>10.572459687690388</v>
      </c>
      <c r="EX106" s="21">
        <f>EXP(-LN(2)/2)*EX105+(1-EXP(-LN(2)/2))/(LN(2)/2)*ER106*EU106*VLOOKUP('Données projet'!$B$15,Paramètres!$A$1:$I$89,3,0)*0.475*44/12</f>
        <v>2.9713567906542761E-4</v>
      </c>
      <c r="EY106" s="22">
        <f t="shared" si="75"/>
        <v>24.630007116398463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1074.176266008609</v>
      </c>
      <c r="S107" s="59">
        <f ca="1">AVERAGE(OFFSET($R$3,0,0,'Données projet'!$E$9+1,1))-AVERAGE(OFFSET($H$3,0,0,'Données projet'!$E$9+1,1))</f>
        <v>635.71275911100679</v>
      </c>
      <c r="T107" s="59">
        <f t="shared" si="88"/>
        <v>281.7776857269169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8.9420000000000019</v>
      </c>
      <c r="AH107" s="12">
        <f t="array" ref="AH107">INDEX(AG:AG,MIN(IF(ISNUMBER(AG107:AG303),ROW(AG107:AG303),"")))</f>
        <v>8.9420000000000019</v>
      </c>
      <c r="AI107" s="13">
        <f>IF('Données projet'!$A$62&gt;35,AI106+AH107-AQ106,IF(A107&lt;'Données projet'!$A$62,$AF$205^A107,IF(A107='Données projet'!$A$62,'Données projet'!$B$62,AI106+AH107-AQ106)))</f>
        <v>402.20000000000056</v>
      </c>
      <c r="AJ107" s="13">
        <f>AI107*VLOOKUP('Données projet'!$B$10,Paramètres!$A$1:$I$89,3,0)*VLOOKUP('Données projet'!$B$10,Paramètres!$A$1:$I$89,5,0)</f>
        <v>407.83080000000058</v>
      </c>
      <c r="AK107" s="13">
        <f t="shared" si="89"/>
        <v>93.362443935880506</v>
      </c>
      <c r="AL107" s="20">
        <f t="shared" si="58"/>
        <v>872.91156652165955</v>
      </c>
      <c r="AM107" s="59">
        <f t="shared" si="59"/>
        <v>1166.2448998549928</v>
      </c>
      <c r="AN107" s="59">
        <f ca="1">AVERAGE(OFFSET($AM$3,0,0,'Données projet'!$E$10+1,1))-AVERAGE(OFFSET($H$3,0,0,'Données projet'!$E$10+1,1))</f>
        <v>706.69239849991595</v>
      </c>
      <c r="AO107" s="59">
        <f t="shared" si="90"/>
        <v>310.59887275116529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66.089999999999975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37.089656501151985</v>
      </c>
      <c r="AV107" s="21">
        <f>EXP(-LN(2)/25)*AV106+(1-EXP(-LN(2)/25))/(LN(2)/25)*Calculateur!AQ107*Calculateur!AS107*VLOOKUP('Données projet'!$B$10,Paramètres!$A$1:$I$89,3,0)*0.475*44/12</f>
        <v>30.285937476393563</v>
      </c>
      <c r="AW107" s="21">
        <f>EXP(-LN(2)/2)*AW106+(1-EXP(-LN(2)/2))/(LN(2)/2)*AQ107*AT107*VLOOKUP('Données projet'!$B$10,Paramètres!$A$1:$I$89,3,0)*0.475*44/12</f>
        <v>6.5308250153062213</v>
      </c>
      <c r="AX107" s="21">
        <f t="shared" si="60"/>
        <v>73.906418992851769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382.73352000000051</v>
      </c>
      <c r="BF107" s="13">
        <f t="shared" si="91"/>
        <v>88.267212552908205</v>
      </c>
      <c r="BG107" s="20">
        <f t="shared" si="61"/>
        <v>820.3262758629827</v>
      </c>
      <c r="BH107" s="59">
        <f t="shared" si="62"/>
        <v>1113.6596091963161</v>
      </c>
      <c r="BI107" s="59">
        <f ca="1">AVERAGE(OFFSET($BH$3,0,0,'Données projet'!$E$11+1,1))-AVERAGE(OFFSET($H$3,0,0,'Données projet'!$E$11+1,1))</f>
        <v>666.1523645983184</v>
      </c>
      <c r="BJ107" s="59">
        <f t="shared" si="92"/>
        <v>294.13851344047526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34.807216101081096</v>
      </c>
      <c r="BQ107" s="21">
        <f>EXP(-LN(2)/25)*BQ106+(1-EXP(-LN(2)/25))/(LN(2)/25)*Calculateur!BL107*Calculateur!BN107*VLOOKUP('Données projet'!$B$11,Paramètres!$A$1:$I$89,3,0)*0.475*44/12</f>
        <v>28.422187477846265</v>
      </c>
      <c r="BR107" s="21">
        <f>EXP(-LN(2)/2)*BR106+(1-EXP(-LN(2)/2))/(LN(2)/2)*BL107*BO107*VLOOKUP('Données projet'!$B$11,Paramètres!$A$1:$I$89,3,0)*0.475*44/12</f>
        <v>6.128928091287376</v>
      </c>
      <c r="BS107" s="22">
        <f t="shared" si="63"/>
        <v>69.358331670214739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8.9420000000000019</v>
      </c>
      <c r="BX107" s="12">
        <f t="array" ref="BX107">INDEX(BW:BW,MIN(IF(ISNUMBER(BW107:BW303),ROW(BW107:BW303),"")))</f>
        <v>8.9420000000000019</v>
      </c>
      <c r="BY107" s="12">
        <f>IF('Données projet'!$A$114&gt;35,BY106+BX107-CG106,IF(A107&lt;'Données projet'!$A$114,$BV$205^A107,IF(A107='Données projet'!$A$114,'Données projet'!$B$114,BY106+BX107-CG106)))</f>
        <v>402.20000000000056</v>
      </c>
      <c r="BZ107" s="13">
        <f>BY107*VLOOKUP('Données projet'!$B$12,Paramètres!$A$1:$I$89,3,0)*VLOOKUP('Données projet'!$B$12,Paramètres!$A$1:$I$89,5,0)</f>
        <v>432.92808000000059</v>
      </c>
      <c r="CA107" s="13">
        <f t="shared" si="93"/>
        <v>98.421283949259092</v>
      </c>
      <c r="CB107" s="20">
        <f t="shared" si="64"/>
        <v>925.43347554496052</v>
      </c>
      <c r="CC107" s="59">
        <f t="shared" si="65"/>
        <v>1218.7668088782939</v>
      </c>
      <c r="CD107" s="59">
        <f ca="1">AVERAGE(OFFSET($CC$3,0,0,'Données projet'!$E$12+1,1))-AVERAGE(OFFSET($H$3,0,0,'Données projet'!$E$12+1,1))</f>
        <v>747.18304127457918</v>
      </c>
      <c r="CE107" s="59">
        <f t="shared" si="94"/>
        <v>327.03701004966723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66.089999999999975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39.372096901222882</v>
      </c>
      <c r="CL107" s="21">
        <f>EXP(-LN(2)/25)*CL106+(1-EXP(-LN(2)/25))/(LN(2)/25)*Calculateur!CG107*Calculateur!CI107*VLOOKUP('Données projet'!$B$12,Paramètres!$A$1:$I$89,3,0)*0.475*44/12</f>
        <v>32.149687474940855</v>
      </c>
      <c r="CM107" s="21">
        <f>EXP(-LN(2)/2)*CM106+(1-EXP(-LN(2)/2))/(LN(2)/2)*CG107*CJ107*VLOOKUP('Données projet'!$B$12,Paramètres!$A$1:$I$89,3,0)*0.475*44/12</f>
        <v>6.9327219393250648</v>
      </c>
      <c r="CN107" s="22">
        <f t="shared" si="66"/>
        <v>78.4545063154888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8.9420000000000019</v>
      </c>
      <c r="CS107" s="12">
        <f t="array" ref="CS107">INDEX(CR:CR,MIN(IF(ISNUMBER(CR107:CR303),ROW(CR107:CR303),"")))</f>
        <v>8.9420000000000019</v>
      </c>
      <c r="CT107" s="12">
        <f>IF('Données projet'!$A$140&gt;35,CT106+CS107-DB106,IF(A107&lt;'Données projet'!$A$140,$CQ$205^A107,IF(A107='Données projet'!$A$140,'Données projet'!$B$140,CT106+CS107-DB106)))</f>
        <v>402.20000000000056</v>
      </c>
      <c r="CU107" s="17">
        <f>CT107*VLOOKUP('Données projet'!$B$13,Paramètres!$A$1:$I$89,3,0)*VLOOKUP('Données projet'!$B$13,Paramètres!$A$1:$I$89,5,0)</f>
        <v>389.00784000000056</v>
      </c>
      <c r="CV107" s="13">
        <f t="shared" si="95"/>
        <v>89.544572326133732</v>
      </c>
      <c r="CW107" s="20">
        <f t="shared" si="67"/>
        <v>833.47878480135057</v>
      </c>
      <c r="CX107" s="59">
        <f t="shared" si="68"/>
        <v>1126.8121181346839</v>
      </c>
      <c r="CY107" s="59">
        <f ca="1">AVERAGE(OFFSET($CX$3,0,0,'Données projet'!$E$13+1,1))-AVERAGE(OFFSET($H$3,0,0,'Données projet'!$E$13+1,1))</f>
        <v>676.29219382388692</v>
      </c>
      <c r="CZ107" s="59">
        <f t="shared" si="96"/>
        <v>298.25577221580448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66.089999999999975</v>
      </c>
      <c r="DC107" s="16">
        <f>IF(ISNA(VLOOKUP(A107,'Données projet'!$A$139:$I$159,5,0)),0%,VLOOKUP(A107,'Données projet'!$A$139:$I$159,5,0)*VLOOKUP('Données projet'!$B$13,Paramètres!$A$1:$I$89,7,0))</f>
        <v>0.15049999999999999</v>
      </c>
      <c r="DD107" s="16">
        <f>IF(ISNA(VLOOKUP(A107,'Données projet'!$A$139:$I$159,6,0)),0%,VLOOKUP(A107,'Données projet'!$A$139:$I$159,6,0)*VLOOKUP('Données projet'!$B$13,Paramètres!$A$1:$I$89,7,0))</f>
        <v>8.6000000000000007E-2</v>
      </c>
      <c r="DE107" s="16">
        <f>IF(ISNA(VLOOKUP(A107,'Données projet'!$A$139:$I$159,7,0)),0%,VLOOKUP(A107,'Données projet'!$A$139:$I$159,7,0))</f>
        <v>0.1</v>
      </c>
      <c r="DF107" s="21">
        <f>EXP(-LN(2)/35)*DF106+(1-EXP(-LN(2)/35))/(LN(2)/35)*DB107*DC107*VLOOKUP('Données projet'!$B$13,Paramètres!$A$1:$I$89,3,0)*0.475*44/12</f>
        <v>35.37782620109882</v>
      </c>
      <c r="DG107" s="21">
        <f>EXP(-LN(2)/25)*DG106+(1-EXP(-LN(2)/25))/(LN(2)/25)*Calculateur!DB107*Calculateur!DD107*VLOOKUP('Données projet'!$B$13,Paramètres!$A$1:$I$89,3,0)*0.475*44/12</f>
        <v>28.888124977483088</v>
      </c>
      <c r="DH107" s="21">
        <f>EXP(-LN(2)/2)*DH106+(1-EXP(-LN(2)/2))/(LN(2)/2)*DB107*DE107*VLOOKUP('Données projet'!$B$13,Paramètres!$A$1:$I$89,3,0)*0.475*44/12</f>
        <v>6.2294023222920885</v>
      </c>
      <c r="DI107" s="22">
        <f t="shared" si="69"/>
        <v>70.495353500873989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-1.1368683772161603E-13</v>
      </c>
      <c r="EK107" s="17">
        <f>EJ107*VLOOKUP('Données projet'!$B$15,Paramètres!$A$1:$I$89,3,0)*VLOOKUP('Données projet'!$B$15,Paramètres!$A$1:$I$89,5,0)</f>
        <v>-8.8675733422860506E-14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197.51452239559433</v>
      </c>
      <c r="EP107" s="59">
        <f t="shared" si="100"/>
        <v>196.65166921588821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13.781596188858769</v>
      </c>
      <c r="EW107" s="21">
        <f>EXP(-LN(2)/25)*EW106+(1-EXP(-LN(2)/25))/(LN(2)/25)*Calculateur!ER107*Calculateur!ET107*VLOOKUP('Données projet'!$B$15,Paramètres!$A$1:$I$89,3,0)*0.475*44/12</f>
        <v>10.283355221549003</v>
      </c>
      <c r="EX107" s="21">
        <f>EXP(-LN(2)/2)*EX106+(1-EXP(-LN(2)/2))/(LN(2)/2)*ER107*EU107*VLOOKUP('Données projet'!$B$15,Paramètres!$A$1:$I$89,3,0)*0.475*44/12</f>
        <v>2.1010665359963353E-4</v>
      </c>
      <c r="EY107" s="22">
        <f t="shared" si="75"/>
        <v>24.065161517061373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965.31308488743571</v>
      </c>
      <c r="S108" s="59">
        <f ca="1">AVERAGE(OFFSET($R$3,0,0,'Données projet'!$E$9+1,1))-AVERAGE(OFFSET($H$3,0,0,'Données projet'!$E$9+1,1))</f>
        <v>635.71275911100679</v>
      </c>
      <c r="T108" s="59">
        <f t="shared" si="88"/>
        <v>281.7776857269169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8.8449999999999989</v>
      </c>
      <c r="AI108" s="13">
        <f>IF('Données projet'!$A$62&gt;35,AI107+AH108-AQ107,IF(A108&lt;'Données projet'!$A$62,$AF$205^A108,IF(A108='Données projet'!$A$62,'Données projet'!$B$62,AI107+AH108-AQ107)))</f>
        <v>344.95500000000055</v>
      </c>
      <c r="AJ108" s="13">
        <f>AI108*VLOOKUP('Données projet'!$B$10,Paramètres!$A$1:$I$89,3,0)*VLOOKUP('Données projet'!$B$10,Paramètres!$A$1:$I$89,5,0)</f>
        <v>349.78437000000059</v>
      </c>
      <c r="AK108" s="13">
        <f t="shared" si="89"/>
        <v>81.518109189230415</v>
      </c>
      <c r="AL108" s="20">
        <f t="shared" si="58"/>
        <v>751.18515125457725</v>
      </c>
      <c r="AM108" s="59">
        <f t="shared" si="59"/>
        <v>1044.5184845879105</v>
      </c>
      <c r="AN108" s="59">
        <f ca="1">AVERAGE(OFFSET($AM$3,0,0,'Données projet'!$E$10+1,1))-AVERAGE(OFFSET($H$3,0,0,'Données projet'!$E$10+1,1))</f>
        <v>706.69239849991595</v>
      </c>
      <c r="AO108" s="59">
        <f t="shared" si="90"/>
        <v>310.59887275116529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36.362350959621075</v>
      </c>
      <c r="AV108" s="21">
        <f>EXP(-LN(2)/25)*AV107+(1-EXP(-LN(2)/25))/(LN(2)/25)*Calculateur!AQ108*Calculateur!AS108*VLOOKUP('Données projet'!$B$10,Paramètres!$A$1:$I$89,3,0)*0.475*44/12</f>
        <v>29.457766923433351</v>
      </c>
      <c r="AW108" s="21">
        <f>EXP(-LN(2)/2)*AW107+(1-EXP(-LN(2)/2))/(LN(2)/2)*AQ108*AT108*VLOOKUP('Données projet'!$B$10,Paramètres!$A$1:$I$89,3,0)*0.475*44/12</f>
        <v>4.6179906550657677</v>
      </c>
      <c r="AX108" s="21">
        <f t="shared" si="60"/>
        <v>70.43810853812019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328.25917800000053</v>
      </c>
      <c r="BF108" s="13">
        <f t="shared" si="91"/>
        <v>77.069279330976201</v>
      </c>
      <c r="BG108" s="20">
        <f t="shared" si="61"/>
        <v>705.94706318478438</v>
      </c>
      <c r="BH108" s="59">
        <f t="shared" si="62"/>
        <v>999.28039651811764</v>
      </c>
      <c r="BI108" s="59">
        <f ca="1">AVERAGE(OFFSET($BH$3,0,0,'Données projet'!$E$11+1,1))-AVERAGE(OFFSET($H$3,0,0,'Données projet'!$E$11+1,1))</f>
        <v>666.1523645983184</v>
      </c>
      <c r="BJ108" s="59">
        <f t="shared" si="92"/>
        <v>294.13851344047526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34.124667823644401</v>
      </c>
      <c r="BQ108" s="21">
        <f>EXP(-LN(2)/25)*BQ107+(1-EXP(-LN(2)/25))/(LN(2)/25)*Calculateur!BL108*Calculateur!BN108*VLOOKUP('Données projet'!$B$11,Paramètres!$A$1:$I$89,3,0)*0.475*44/12</f>
        <v>27.644981266606678</v>
      </c>
      <c r="BR108" s="21">
        <f>EXP(-LN(2)/2)*BR107+(1-EXP(-LN(2)/2))/(LN(2)/2)*BL108*BO108*VLOOKUP('Données projet'!$B$11,Paramètres!$A$1:$I$89,3,0)*0.475*44/12</f>
        <v>4.3338066147540273</v>
      </c>
      <c r="BS108" s="22">
        <f t="shared" si="63"/>
        <v>66.103455705005103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8.8449999999999989</v>
      </c>
      <c r="BY108" s="12">
        <f>IF('Données projet'!$A$114&gt;35,BY107+BX108-CG107,IF(A108&lt;'Données projet'!$A$114,$BV$205^A108,IF(A108='Données projet'!$A$114,'Données projet'!$B$114,BY107+BX108-CG107)))</f>
        <v>344.95500000000055</v>
      </c>
      <c r="BZ108" s="13">
        <f>BY108*VLOOKUP('Données projet'!$B$12,Paramètres!$A$1:$I$89,3,0)*VLOOKUP('Données projet'!$B$12,Paramètres!$A$1:$I$89,5,0)</f>
        <v>371.3095620000006</v>
      </c>
      <c r="CA108" s="13">
        <f t="shared" si="93"/>
        <v>85.935164433249753</v>
      </c>
      <c r="CB108" s="20">
        <f t="shared" si="64"/>
        <v>796.36789853791095</v>
      </c>
      <c r="CC108" s="59">
        <f t="shared" si="65"/>
        <v>1089.7012318712443</v>
      </c>
      <c r="CD108" s="59">
        <f ca="1">AVERAGE(OFFSET($CC$3,0,0,'Données projet'!$E$12+1,1))-AVERAGE(OFFSET($H$3,0,0,'Données projet'!$E$12+1,1))</f>
        <v>747.18304127457918</v>
      </c>
      <c r="CE108" s="59">
        <f t="shared" si="94"/>
        <v>327.03701004966723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38.600034095597763</v>
      </c>
      <c r="CL108" s="21">
        <f>EXP(-LN(2)/25)*CL107+(1-EXP(-LN(2)/25))/(LN(2)/25)*Calculateur!CG108*Calculateur!CI108*VLOOKUP('Données projet'!$B$12,Paramètres!$A$1:$I$89,3,0)*0.475*44/12</f>
        <v>31.270552580260013</v>
      </c>
      <c r="CM108" s="21">
        <f>EXP(-LN(2)/2)*CM107+(1-EXP(-LN(2)/2))/(LN(2)/2)*CG108*CJ108*VLOOKUP('Données projet'!$B$12,Paramètres!$A$1:$I$89,3,0)*0.475*44/12</f>
        <v>4.9021746953775063</v>
      </c>
      <c r="CN108" s="22">
        <f t="shared" si="66"/>
        <v>74.772761371235291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8.8449999999999989</v>
      </c>
      <c r="CT108" s="12">
        <f>IF('Données projet'!$A$140&gt;35,CT107+CS108-DB107,IF(A108&lt;'Données projet'!$A$140,$CQ$205^A108,IF(A108='Données projet'!$A$140,'Données projet'!$B$140,CT107+CS108-DB107)))</f>
        <v>344.95500000000055</v>
      </c>
      <c r="CU108" s="17">
        <f>CT108*VLOOKUP('Données projet'!$B$13,Paramètres!$A$1:$I$89,3,0)*VLOOKUP('Données projet'!$B$13,Paramètres!$A$1:$I$89,5,0)</f>
        <v>333.64047600000055</v>
      </c>
      <c r="CV108" s="13">
        <f t="shared" si="95"/>
        <v>78.184588111230951</v>
      </c>
      <c r="CW108" s="20">
        <f t="shared" si="67"/>
        <v>717.26198666039488</v>
      </c>
      <c r="CX108" s="59">
        <f t="shared" si="68"/>
        <v>1010.5953199937283</v>
      </c>
      <c r="CY108" s="59">
        <f ca="1">AVERAGE(OFFSET($CX$3,0,0,'Données projet'!$E$13+1,1))-AVERAGE(OFFSET($H$3,0,0,'Données projet'!$E$13+1,1))</f>
        <v>676.29219382388692</v>
      </c>
      <c r="CZ108" s="59">
        <f t="shared" si="96"/>
        <v>298.25577221580448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34.684088607638571</v>
      </c>
      <c r="DG108" s="21">
        <f>EXP(-LN(2)/25)*DG107+(1-EXP(-LN(2)/25))/(LN(2)/25)*Calculateur!DB108*Calculateur!DD108*VLOOKUP('Données projet'!$B$13,Paramètres!$A$1:$I$89,3,0)*0.475*44/12</f>
        <v>28.098177680813343</v>
      </c>
      <c r="DH108" s="21">
        <f>EXP(-LN(2)/2)*DH107+(1-EXP(-LN(2)/2))/(LN(2)/2)*DB108*DE108*VLOOKUP('Données projet'!$B$13,Paramètres!$A$1:$I$89,3,0)*0.475*44/12</f>
        <v>4.404852624831963</v>
      </c>
      <c r="DI108" s="22">
        <f t="shared" si="69"/>
        <v>67.187118913283882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-1.1368683772161603E-13</v>
      </c>
      <c r="EK108" s="17">
        <f>EJ108*VLOOKUP('Données projet'!$B$15,Paramètres!$A$1:$I$89,3,0)*VLOOKUP('Données projet'!$B$15,Paramètres!$A$1:$I$89,5,0)</f>
        <v>-8.8675733422860506E-14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197.51452239559433</v>
      </c>
      <c r="EP108" s="59">
        <f t="shared" si="100"/>
        <v>196.65166921588821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13.511347493538906</v>
      </c>
      <c r="EW108" s="21">
        <f>EXP(-LN(2)/25)*EW107+(1-EXP(-LN(2)/25))/(LN(2)/25)*Calculateur!ER108*Calculateur!ET108*VLOOKUP('Données projet'!$B$15,Paramètres!$A$1:$I$89,3,0)*0.475*44/12</f>
        <v>10.002156332237599</v>
      </c>
      <c r="EX108" s="21">
        <f>EXP(-LN(2)/2)*EX107+(1-EXP(-LN(2)/2))/(LN(2)/2)*ER108*EU108*VLOOKUP('Données projet'!$B$15,Paramètres!$A$1:$I$89,3,0)*0.475*44/12</f>
        <v>1.485678395327138E-4</v>
      </c>
      <c r="EY108" s="22">
        <f t="shared" si="75"/>
        <v>23.513652393616034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982.15587342047434</v>
      </c>
      <c r="S109" s="59">
        <f ca="1">AVERAGE(OFFSET($R$3,0,0,'Données projet'!$E$9+1,1))-AVERAGE(OFFSET($H$3,0,0,'Données projet'!$E$9+1,1))</f>
        <v>635.71275911100679</v>
      </c>
      <c r="T109" s="59">
        <f t="shared" si="88"/>
        <v>281.7776857269169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8.8449999999999989</v>
      </c>
      <c r="AI109" s="13">
        <f>IF('Données projet'!$A$62&gt;35,AI108+AH109-AQ108,IF(A109&lt;'Données projet'!$A$62,$AF$205^A109,IF(A109='Données projet'!$A$62,'Données projet'!$B$62,AI108+AH109-AQ108)))</f>
        <v>353.80000000000052</v>
      </c>
      <c r="AJ109" s="13">
        <f>AI109*VLOOKUP('Données projet'!$B$10,Paramètres!$A$1:$I$89,3,0)*VLOOKUP('Données projet'!$B$10,Paramètres!$A$1:$I$89,5,0)</f>
        <v>358.75320000000056</v>
      </c>
      <c r="AK109" s="13">
        <f t="shared" si="89"/>
        <v>83.362286707455894</v>
      </c>
      <c r="AL109" s="20">
        <f t="shared" si="58"/>
        <v>770.01780601548671</v>
      </c>
      <c r="AM109" s="59">
        <f t="shared" si="59"/>
        <v>1063.35113934882</v>
      </c>
      <c r="AN109" s="59">
        <f ca="1">AVERAGE(OFFSET($AM$3,0,0,'Données projet'!$E$10+1,1))-AVERAGE(OFFSET($H$3,0,0,'Données projet'!$E$10+1,1))</f>
        <v>706.69239849991595</v>
      </c>
      <c r="AO109" s="59">
        <f t="shared" si="90"/>
        <v>310.59887275116529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35.649307436147012</v>
      </c>
      <c r="AV109" s="21">
        <f>EXP(-LN(2)/25)*AV108+(1-EXP(-LN(2)/25))/(LN(2)/25)*Calculateur!AQ109*Calculateur!AS109*VLOOKUP('Données projet'!$B$10,Paramètres!$A$1:$I$89,3,0)*0.475*44/12</f>
        <v>28.652242737795429</v>
      </c>
      <c r="AW109" s="21">
        <f>EXP(-LN(2)/2)*AW108+(1-EXP(-LN(2)/2))/(LN(2)/2)*AQ109*AT109*VLOOKUP('Données projet'!$B$10,Paramètres!$A$1:$I$89,3,0)*0.475*44/12</f>
        <v>3.2654125076531111</v>
      </c>
      <c r="AX109" s="21">
        <f t="shared" si="60"/>
        <v>67.566962681595555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336.67608000000052</v>
      </c>
      <c r="BF109" s="13">
        <f t="shared" si="91"/>
        <v>78.81281133511159</v>
      </c>
      <c r="BG109" s="20">
        <f t="shared" si="61"/>
        <v>723.64315240865346</v>
      </c>
      <c r="BH109" s="59">
        <f t="shared" si="62"/>
        <v>1016.9764857419868</v>
      </c>
      <c r="BI109" s="59">
        <f ca="1">AVERAGE(OFFSET($BH$3,0,0,'Données projet'!$E$11+1,1))-AVERAGE(OFFSET($H$3,0,0,'Données projet'!$E$11+1,1))</f>
        <v>666.1523645983184</v>
      </c>
      <c r="BJ109" s="59">
        <f t="shared" si="92"/>
        <v>294.13851344047526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33.455503901614897</v>
      </c>
      <c r="BQ109" s="21">
        <f>EXP(-LN(2)/25)*BQ108+(1-EXP(-LN(2)/25))/(LN(2)/25)*Calculateur!BL109*Calculateur!BN109*VLOOKUP('Données projet'!$B$11,Paramètres!$A$1:$I$89,3,0)*0.475*44/12</f>
        <v>26.889027800084936</v>
      </c>
      <c r="BR109" s="21">
        <f>EXP(-LN(2)/2)*BR108+(1-EXP(-LN(2)/2))/(LN(2)/2)*BL109*BO109*VLOOKUP('Données projet'!$B$11,Paramètres!$A$1:$I$89,3,0)*0.475*44/12</f>
        <v>3.0644640456436885</v>
      </c>
      <c r="BS109" s="22">
        <f t="shared" si="63"/>
        <v>63.408995747343525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8.8449999999999989</v>
      </c>
      <c r="BY109" s="12">
        <f>IF('Données projet'!$A$114&gt;35,BY108+BX109-CG108,IF(A109&lt;'Données projet'!$A$114,$BV$205^A109,IF(A109='Données projet'!$A$114,'Données projet'!$B$114,BY108+BX109-CG108)))</f>
        <v>353.80000000000052</v>
      </c>
      <c r="BZ109" s="13">
        <f>BY109*VLOOKUP('Données projet'!$B$12,Paramètres!$A$1:$I$89,3,0)*VLOOKUP('Données projet'!$B$12,Paramètres!$A$1:$I$89,5,0)</f>
        <v>380.83032000000054</v>
      </c>
      <c r="CA109" s="13">
        <f t="shared" si="93"/>
        <v>87.879268631065798</v>
      </c>
      <c r="CB109" s="20">
        <f t="shared" si="64"/>
        <v>816.33586686577382</v>
      </c>
      <c r="CC109" s="59">
        <f t="shared" si="65"/>
        <v>1109.6692001991071</v>
      </c>
      <c r="CD109" s="59">
        <f ca="1">AVERAGE(OFFSET($CC$3,0,0,'Données projet'!$E$12+1,1))-AVERAGE(OFFSET($H$3,0,0,'Données projet'!$E$12+1,1))</f>
        <v>747.18304127457918</v>
      </c>
      <c r="CE109" s="59">
        <f t="shared" si="94"/>
        <v>327.03701004966723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37.843110970679142</v>
      </c>
      <c r="CL109" s="21">
        <f>EXP(-LN(2)/25)*CL108+(1-EXP(-LN(2)/25))/(LN(2)/25)*Calculateur!CG109*Calculateur!CI109*VLOOKUP('Données projet'!$B$12,Paramètres!$A$1:$I$89,3,0)*0.475*44/12</f>
        <v>30.415457675505913</v>
      </c>
      <c r="CM109" s="21">
        <f>EXP(-LN(2)/2)*CM108+(1-EXP(-LN(2)/2))/(LN(2)/2)*CG109*CJ109*VLOOKUP('Données projet'!$B$12,Paramètres!$A$1:$I$89,3,0)*0.475*44/12</f>
        <v>3.4663609696625328</v>
      </c>
      <c r="CN109" s="22">
        <f t="shared" si="66"/>
        <v>71.724929615847586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8.8449999999999989</v>
      </c>
      <c r="CT109" s="12">
        <f>IF('Données projet'!$A$140&gt;35,CT108+CS109-DB108,IF(A109&lt;'Données projet'!$A$140,$CQ$205^A109,IF(A109='Données projet'!$A$140,'Données projet'!$B$140,CT108+CS109-DB108)))</f>
        <v>353.80000000000052</v>
      </c>
      <c r="CU109" s="17">
        <f>CT109*VLOOKUP('Données projet'!$B$13,Paramètres!$A$1:$I$89,3,0)*VLOOKUP('Données projet'!$B$13,Paramètres!$A$1:$I$89,5,0)</f>
        <v>342.19536000000056</v>
      </c>
      <c r="CV109" s="13">
        <f t="shared" si="95"/>
        <v>79.953351654700143</v>
      </c>
      <c r="CW109" s="20">
        <f t="shared" si="67"/>
        <v>735.24233946527045</v>
      </c>
      <c r="CX109" s="59">
        <f t="shared" si="68"/>
        <v>1028.5756727986038</v>
      </c>
      <c r="CY109" s="59">
        <f ca="1">AVERAGE(OFFSET($CX$3,0,0,'Données projet'!$E$13+1,1))-AVERAGE(OFFSET($H$3,0,0,'Données projet'!$E$13+1,1))</f>
        <v>676.29219382388692</v>
      </c>
      <c r="CZ109" s="59">
        <f t="shared" si="96"/>
        <v>298.25577221580448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34.003954785247927</v>
      </c>
      <c r="DG109" s="21">
        <f>EXP(-LN(2)/25)*DG108+(1-EXP(-LN(2)/25))/(LN(2)/25)*Calculateur!DB109*Calculateur!DD109*VLOOKUP('Données projet'!$B$13,Paramètres!$A$1:$I$89,3,0)*0.475*44/12</f>
        <v>27.329831534512557</v>
      </c>
      <c r="DH109" s="21">
        <f>EXP(-LN(2)/2)*DH108+(1-EXP(-LN(2)/2))/(LN(2)/2)*DB109*DE109*VLOOKUP('Données projet'!$B$13,Paramètres!$A$1:$I$89,3,0)*0.475*44/12</f>
        <v>3.1147011611460447</v>
      </c>
      <c r="DI109" s="22">
        <f t="shared" si="69"/>
        <v>64.448487480906536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-1.1368683772161603E-13</v>
      </c>
      <c r="EK109" s="17">
        <f>EJ109*VLOOKUP('Données projet'!$B$15,Paramètres!$A$1:$I$89,3,0)*VLOOKUP('Données projet'!$B$15,Paramètres!$A$1:$I$89,5,0)</f>
        <v>-8.8675733422860506E-14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197.51452239559433</v>
      </c>
      <c r="EP109" s="59">
        <f t="shared" si="100"/>
        <v>196.65166921588821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13.246398210298837</v>
      </c>
      <c r="EW109" s="21">
        <f>EXP(-LN(2)/25)*EW108+(1-EXP(-LN(2)/25))/(LN(2)/25)*Calculateur!ER109*Calculateur!ET109*VLOOKUP('Données projet'!$B$15,Paramètres!$A$1:$I$89,3,0)*0.475*44/12</f>
        <v>9.7286468413420195</v>
      </c>
      <c r="EX109" s="21">
        <f>EXP(-LN(2)/2)*EX108+(1-EXP(-LN(2)/2))/(LN(2)/2)*ER109*EU109*VLOOKUP('Données projet'!$B$15,Paramètres!$A$1:$I$89,3,0)*0.475*44/12</f>
        <v>1.0505332679981677E-4</v>
      </c>
      <c r="EY109" s="22">
        <f t="shared" si="75"/>
        <v>22.975150104967653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998.9902217765482</v>
      </c>
      <c r="S110" s="59">
        <f ca="1">AVERAGE(OFFSET($R$3,0,0,'Données projet'!$E$9+1,1))-AVERAGE(OFFSET($H$3,0,0,'Données projet'!$E$9+1,1))</f>
        <v>635.71275911100679</v>
      </c>
      <c r="T110" s="59">
        <f t="shared" si="88"/>
        <v>281.7776857269169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8.8449999999999989</v>
      </c>
      <c r="AI110" s="13">
        <f>IF('Données projet'!$A$62&gt;35,AI109+AH110-AQ109,IF(A110&lt;'Données projet'!$A$62,$AF$205^A110,IF(A110='Données projet'!$A$62,'Données projet'!$B$62,AI109+AH110-AQ109)))</f>
        <v>362.64500000000055</v>
      </c>
      <c r="AJ110" s="13">
        <f>AI110*VLOOKUP('Données projet'!$B$10,Paramètres!$A$1:$I$89,3,0)*VLOOKUP('Données projet'!$B$10,Paramètres!$A$1:$I$89,5,0)</f>
        <v>367.72203000000059</v>
      </c>
      <c r="AK110" s="13">
        <f t="shared" si="89"/>
        <v>85.201104879888135</v>
      </c>
      <c r="AL110" s="20">
        <f t="shared" si="58"/>
        <v>788.84112658247284</v>
      </c>
      <c r="AM110" s="59">
        <f t="shared" si="59"/>
        <v>1082.1744599158062</v>
      </c>
      <c r="AN110" s="59">
        <f ca="1">AVERAGE(OFFSET($AM$3,0,0,'Données projet'!$E$10+1,1))-AVERAGE(OFFSET($H$3,0,0,'Données projet'!$E$10+1,1))</f>
        <v>706.69239849991595</v>
      </c>
      <c r="AO110" s="59">
        <f t="shared" si="90"/>
        <v>310.59887275116529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34.950246261254669</v>
      </c>
      <c r="AV110" s="21">
        <f>EXP(-LN(2)/25)*AV109+(1-EXP(-LN(2)/25))/(LN(2)/25)*Calculateur!AQ110*Calculateur!AS110*VLOOKUP('Données projet'!$B$10,Paramètres!$A$1:$I$89,3,0)*0.475*44/12</f>
        <v>27.868745653374454</v>
      </c>
      <c r="AW110" s="21">
        <f>EXP(-LN(2)/2)*AW109+(1-EXP(-LN(2)/2))/(LN(2)/2)*AQ110*AT110*VLOOKUP('Données projet'!$B$10,Paramètres!$A$1:$I$89,3,0)*0.475*44/12</f>
        <v>2.3089953275328838</v>
      </c>
      <c r="AX110" s="21">
        <f t="shared" si="60"/>
        <v>65.127987242162007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345.09298200000052</v>
      </c>
      <c r="BF110" s="13">
        <f t="shared" si="91"/>
        <v>80.551276478373012</v>
      </c>
      <c r="BG110" s="20">
        <f t="shared" si="61"/>
        <v>741.33041684983391</v>
      </c>
      <c r="BH110" s="59">
        <f t="shared" si="62"/>
        <v>1034.6637501831672</v>
      </c>
      <c r="BI110" s="59">
        <f ca="1">AVERAGE(OFFSET($BH$3,0,0,'Données projet'!$E$11+1,1))-AVERAGE(OFFSET($H$3,0,0,'Données projet'!$E$11+1,1))</f>
        <v>666.1523645983184</v>
      </c>
      <c r="BJ110" s="59">
        <f t="shared" si="92"/>
        <v>294.13851344047526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32.799461875946697</v>
      </c>
      <c r="BQ110" s="21">
        <f>EXP(-LN(2)/25)*BQ109+(1-EXP(-LN(2)/25))/(LN(2)/25)*Calculateur!BL110*Calculateur!BN110*VLOOKUP('Données projet'!$B$11,Paramètres!$A$1:$I$89,3,0)*0.475*44/12</f>
        <v>26.153745920859098</v>
      </c>
      <c r="BR110" s="21">
        <f>EXP(-LN(2)/2)*BR109+(1-EXP(-LN(2)/2))/(LN(2)/2)*BL110*BO110*VLOOKUP('Données projet'!$B$11,Paramètres!$A$1:$I$89,3,0)*0.475*44/12</f>
        <v>2.1669033073770141</v>
      </c>
      <c r="BS110" s="22">
        <f t="shared" si="63"/>
        <v>61.120111104182811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8.8449999999999989</v>
      </c>
      <c r="BY110" s="12">
        <f>IF('Données projet'!$A$114&gt;35,BY109+BX110-CG109,IF(A110&lt;'Données projet'!$A$114,$BV$205^A110,IF(A110='Données projet'!$A$114,'Données projet'!$B$114,BY109+BX110-CG109)))</f>
        <v>362.64500000000055</v>
      </c>
      <c r="BZ110" s="13">
        <f>BY110*VLOOKUP('Données projet'!$B$12,Paramètres!$A$1:$I$89,3,0)*VLOOKUP('Données projet'!$B$12,Paramètres!$A$1:$I$89,5,0)</f>
        <v>390.35107800000054</v>
      </c>
      <c r="CA110" s="13">
        <f t="shared" si="93"/>
        <v>89.817723087167053</v>
      </c>
      <c r="CB110" s="20">
        <f t="shared" si="64"/>
        <v>836.29399522681695</v>
      </c>
      <c r="CC110" s="59">
        <f t="shared" si="65"/>
        <v>1129.6273285601503</v>
      </c>
      <c r="CD110" s="59">
        <f ca="1">AVERAGE(OFFSET($CC$3,0,0,'Données projet'!$E$12+1,1))-AVERAGE(OFFSET($H$3,0,0,'Données projet'!$E$12+1,1))</f>
        <v>747.18304127457918</v>
      </c>
      <c r="CE110" s="59">
        <f t="shared" si="94"/>
        <v>327.03701004966723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37.101030646562656</v>
      </c>
      <c r="CL110" s="21">
        <f>EXP(-LN(2)/25)*CL109+(1-EXP(-LN(2)/25))/(LN(2)/25)*Calculateur!CG110*Calculateur!CI110*VLOOKUP('Données projet'!$B$12,Paramètres!$A$1:$I$89,3,0)*0.475*44/12</f>
        <v>29.583745385889799</v>
      </c>
      <c r="CM110" s="21">
        <f>EXP(-LN(2)/2)*CM109+(1-EXP(-LN(2)/2))/(LN(2)/2)*CG110*CJ110*VLOOKUP('Données projet'!$B$12,Paramètres!$A$1:$I$89,3,0)*0.475*44/12</f>
        <v>2.4510873476887536</v>
      </c>
      <c r="CN110" s="22">
        <f t="shared" si="66"/>
        <v>69.135863380141203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8.8449999999999989</v>
      </c>
      <c r="CT110" s="12">
        <f>IF('Données projet'!$A$140&gt;35,CT109+CS110-DB109,IF(A110&lt;'Données projet'!$A$140,$CQ$205^A110,IF(A110='Données projet'!$A$140,'Données projet'!$B$140,CT109+CS110-DB109)))</f>
        <v>362.64500000000055</v>
      </c>
      <c r="CU110" s="17">
        <f>CT110*VLOOKUP('Données projet'!$B$13,Paramètres!$A$1:$I$89,3,0)*VLOOKUP('Données projet'!$B$13,Paramètres!$A$1:$I$89,5,0)</f>
        <v>350.75024400000052</v>
      </c>
      <c r="CV110" s="13">
        <f t="shared" si="95"/>
        <v>81.716975012171915</v>
      </c>
      <c r="CW110" s="20">
        <f t="shared" si="67"/>
        <v>753.21373977953363</v>
      </c>
      <c r="CX110" s="59">
        <f t="shared" si="68"/>
        <v>1046.5470731128669</v>
      </c>
      <c r="CY110" s="59">
        <f ca="1">AVERAGE(OFFSET($CX$3,0,0,'Données projet'!$E$13+1,1))-AVERAGE(OFFSET($H$3,0,0,'Données projet'!$E$13+1,1))</f>
        <v>676.29219382388692</v>
      </c>
      <c r="CZ110" s="59">
        <f t="shared" si="96"/>
        <v>298.25577221580448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33.337157972273694</v>
      </c>
      <c r="DG110" s="21">
        <f>EXP(-LN(2)/25)*DG109+(1-EXP(-LN(2)/25))/(LN(2)/25)*Calculateur!DB110*Calculateur!DD110*VLOOKUP('Données projet'!$B$13,Paramètres!$A$1:$I$89,3,0)*0.475*44/12</f>
        <v>26.582495853987933</v>
      </c>
      <c r="DH110" s="21">
        <f>EXP(-LN(2)/2)*DH109+(1-EXP(-LN(2)/2))/(LN(2)/2)*DB110*DE110*VLOOKUP('Données projet'!$B$13,Paramètres!$A$1:$I$89,3,0)*0.475*44/12</f>
        <v>2.202426312415982</v>
      </c>
      <c r="DI110" s="22">
        <f t="shared" si="69"/>
        <v>62.122080138677603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-1.1368683772161603E-13</v>
      </c>
      <c r="EK110" s="17">
        <f>EJ110*VLOOKUP('Données projet'!$B$15,Paramètres!$A$1:$I$89,3,0)*VLOOKUP('Données projet'!$B$15,Paramètres!$A$1:$I$89,5,0)</f>
        <v>-8.8675733422860506E-14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197.51452239559433</v>
      </c>
      <c r="EP110" s="59">
        <f t="shared" si="100"/>
        <v>196.65166921588821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12.986644420900001</v>
      </c>
      <c r="EW110" s="21">
        <f>EXP(-LN(2)/25)*EW109+(1-EXP(-LN(2)/25))/(LN(2)/25)*Calculateur!ER110*Calculateur!ET110*VLOOKUP('Données projet'!$B$15,Paramètres!$A$1:$I$89,3,0)*0.475*44/12</f>
        <v>9.4626164818582197</v>
      </c>
      <c r="EX110" s="21">
        <f>EXP(-LN(2)/2)*EX109+(1-EXP(-LN(2)/2))/(LN(2)/2)*ER110*EU110*VLOOKUP('Données projet'!$B$15,Paramètres!$A$1:$I$89,3,0)*0.475*44/12</f>
        <v>7.4283919766356902E-5</v>
      </c>
      <c r="EY110" s="22">
        <f t="shared" si="75"/>
        <v>22.449335186677985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1015.8163594956043</v>
      </c>
      <c r="S111" s="59">
        <f ca="1">AVERAGE(OFFSET($R$3,0,0,'Données projet'!$E$9+1,1))-AVERAGE(OFFSET($H$3,0,0,'Données projet'!$E$9+1,1))</f>
        <v>635.71275911100679</v>
      </c>
      <c r="T111" s="59">
        <f t="shared" si="88"/>
        <v>281.7776857269169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8.8449999999999989</v>
      </c>
      <c r="AI111" s="13">
        <f>IF('Données projet'!$A$62&gt;35,AI110+AH111-AQ110,IF(A111&lt;'Données projet'!$A$62,$AF$205^A111,IF(A111='Données projet'!$A$62,'Données projet'!$B$62,AI110+AH111-AQ110)))</f>
        <v>371.49000000000058</v>
      </c>
      <c r="AJ111" s="13">
        <f>AI111*VLOOKUP('Données projet'!$B$10,Paramètres!$A$1:$I$89,3,0)*VLOOKUP('Données projet'!$B$10,Paramètres!$A$1:$I$89,5,0)</f>
        <v>376.69086000000061</v>
      </c>
      <c r="AK111" s="13">
        <f t="shared" si="89"/>
        <v>87.034709459862782</v>
      </c>
      <c r="AL111" s="20">
        <f t="shared" si="58"/>
        <v>807.65536680926198</v>
      </c>
      <c r="AM111" s="59">
        <f t="shared" si="59"/>
        <v>1100.9887001425952</v>
      </c>
      <c r="AN111" s="59">
        <f ca="1">AVERAGE(OFFSET($AM$3,0,0,'Données projet'!$E$10+1,1))-AVERAGE(OFFSET($H$3,0,0,'Données projet'!$E$10+1,1))</f>
        <v>706.69239849991595</v>
      </c>
      <c r="AO111" s="59">
        <f t="shared" si="90"/>
        <v>310.59887275116529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34.264893249616755</v>
      </c>
      <c r="AV111" s="21">
        <f>EXP(-LN(2)/25)*AV110+(1-EXP(-LN(2)/25))/(LN(2)/25)*Calculateur!AQ111*Calculateur!AS111*VLOOKUP('Données projet'!$B$10,Paramètres!$A$1:$I$89,3,0)*0.475*44/12</f>
        <v>27.106673337929291</v>
      </c>
      <c r="AW111" s="21">
        <f>EXP(-LN(2)/2)*AW110+(1-EXP(-LN(2)/2))/(LN(2)/2)*AQ111*AT111*VLOOKUP('Données projet'!$B$10,Paramètres!$A$1:$I$89,3,0)*0.475*44/12</f>
        <v>1.6327062538265555</v>
      </c>
      <c r="AX111" s="21">
        <f t="shared" si="60"/>
        <v>63.004272841372597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353.50988400000057</v>
      </c>
      <c r="BF111" s="13">
        <f t="shared" si="91"/>
        <v>82.284812559645275</v>
      </c>
      <c r="BG111" s="20">
        <f t="shared" si="61"/>
        <v>759.00909650804977</v>
      </c>
      <c r="BH111" s="59">
        <f t="shared" si="62"/>
        <v>1052.3424298413831</v>
      </c>
      <c r="BI111" s="59">
        <f ca="1">AVERAGE(OFFSET($BH$3,0,0,'Données projet'!$E$11+1,1))-AVERAGE(OFFSET($H$3,0,0,'Données projet'!$E$11+1,1))</f>
        <v>666.1523645983184</v>
      </c>
      <c r="BJ111" s="59">
        <f t="shared" si="92"/>
        <v>294.13851344047526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32.156284434255731</v>
      </c>
      <c r="BQ111" s="21">
        <f>EXP(-LN(2)/25)*BQ110+(1-EXP(-LN(2)/25))/(LN(2)/25)*Calculateur!BL111*Calculateur!BN111*VLOOKUP('Données projet'!$B$11,Paramètres!$A$1:$I$89,3,0)*0.475*44/12</f>
        <v>25.438570363287482</v>
      </c>
      <c r="BR111" s="21">
        <f>EXP(-LN(2)/2)*BR110+(1-EXP(-LN(2)/2))/(LN(2)/2)*BL111*BO111*VLOOKUP('Données projet'!$B$11,Paramètres!$A$1:$I$89,3,0)*0.475*44/12</f>
        <v>1.5322320228218445</v>
      </c>
      <c r="BS111" s="22">
        <f t="shared" si="63"/>
        <v>59.127086820365058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8.8449999999999989</v>
      </c>
      <c r="BY111" s="12">
        <f>IF('Données projet'!$A$114&gt;35,BY110+BX111-CG110,IF(A111&lt;'Données projet'!$A$114,$BV$205^A111,IF(A111='Données projet'!$A$114,'Données projet'!$B$114,BY110+BX111-CG110)))</f>
        <v>371.49000000000058</v>
      </c>
      <c r="BZ111" s="13">
        <f>BY111*VLOOKUP('Données projet'!$B$12,Paramètres!$A$1:$I$89,3,0)*VLOOKUP('Données projet'!$B$12,Paramètres!$A$1:$I$89,5,0)</f>
        <v>399.87183600000066</v>
      </c>
      <c r="CA111" s="13">
        <f t="shared" si="93"/>
        <v>91.750681452527473</v>
      </c>
      <c r="CB111" s="20">
        <f t="shared" si="64"/>
        <v>856.2425512298197</v>
      </c>
      <c r="CC111" s="59">
        <f t="shared" si="65"/>
        <v>1149.5758845631531</v>
      </c>
      <c r="CD111" s="59">
        <f ca="1">AVERAGE(OFFSET($CC$3,0,0,'Données projet'!$E$12+1,1))-AVERAGE(OFFSET($H$3,0,0,'Données projet'!$E$12+1,1))</f>
        <v>747.18304127457918</v>
      </c>
      <c r="CE111" s="59">
        <f t="shared" si="94"/>
        <v>327.03701004966723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36.373502064977792</v>
      </c>
      <c r="CL111" s="21">
        <f>EXP(-LN(2)/25)*CL110+(1-EXP(-LN(2)/25))/(LN(2)/25)*Calculateur!CG111*Calculateur!CI111*VLOOKUP('Données projet'!$B$12,Paramètres!$A$1:$I$89,3,0)*0.475*44/12</f>
        <v>28.774776312571088</v>
      </c>
      <c r="CM111" s="21">
        <f>EXP(-LN(2)/2)*CM110+(1-EXP(-LN(2)/2))/(LN(2)/2)*CG111*CJ111*VLOOKUP('Données projet'!$B$12,Paramètres!$A$1:$I$89,3,0)*0.475*44/12</f>
        <v>1.7331804848312666</v>
      </c>
      <c r="CN111" s="22">
        <f t="shared" si="66"/>
        <v>66.881458862380143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8.8449999999999989</v>
      </c>
      <c r="CT111" s="12">
        <f>IF('Données projet'!$A$140&gt;35,CT110+CS111-DB110,IF(A111&lt;'Données projet'!$A$140,$CQ$205^A111,IF(A111='Données projet'!$A$140,'Données projet'!$B$140,CT110+CS111-DB110)))</f>
        <v>371.49000000000058</v>
      </c>
      <c r="CU111" s="17">
        <f>CT111*VLOOKUP('Données projet'!$B$13,Paramètres!$A$1:$I$89,3,0)*VLOOKUP('Données projet'!$B$13,Paramètres!$A$1:$I$89,5,0)</f>
        <v>359.30512800000054</v>
      </c>
      <c r="CV111" s="13">
        <f t="shared" si="95"/>
        <v>83.475597976688988</v>
      </c>
      <c r="CW111" s="20">
        <f t="shared" si="67"/>
        <v>771.17643107606762</v>
      </c>
      <c r="CX111" s="59">
        <f t="shared" si="68"/>
        <v>1064.509764409401</v>
      </c>
      <c r="CY111" s="59">
        <f ca="1">AVERAGE(OFFSET($CX$3,0,0,'Données projet'!$E$13+1,1))-AVERAGE(OFFSET($H$3,0,0,'Données projet'!$E$13+1,1))</f>
        <v>676.29219382388692</v>
      </c>
      <c r="CZ111" s="59">
        <f t="shared" si="96"/>
        <v>298.25577221580448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32.683436638095991</v>
      </c>
      <c r="DG111" s="21">
        <f>EXP(-LN(2)/25)*DG110+(1-EXP(-LN(2)/25))/(LN(2)/25)*Calculateur!DB111*Calculateur!DD111*VLOOKUP('Données projet'!$B$13,Paramètres!$A$1:$I$89,3,0)*0.475*44/12</f>
        <v>25.855596106947932</v>
      </c>
      <c r="DH111" s="21">
        <f>EXP(-LN(2)/2)*DH110+(1-EXP(-LN(2)/2))/(LN(2)/2)*DB111*DE111*VLOOKUP('Données projet'!$B$13,Paramètres!$A$1:$I$89,3,0)*0.475*44/12</f>
        <v>1.5573505805730226</v>
      </c>
      <c r="DI111" s="22">
        <f t="shared" si="69"/>
        <v>60.096383325616948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-1.1368683772161603E-13</v>
      </c>
      <c r="EK111" s="17">
        <f>EJ111*VLOOKUP('Données projet'!$B$15,Paramètres!$A$1:$I$89,3,0)*VLOOKUP('Données projet'!$B$15,Paramètres!$A$1:$I$89,5,0)</f>
        <v>-8.8675733422860506E-14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197.51452239559433</v>
      </c>
      <c r="EP111" s="59">
        <f t="shared" si="100"/>
        <v>196.65166921588821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12.731984244877108</v>
      </c>
      <c r="EW111" s="21">
        <f>EXP(-LN(2)/25)*EW110+(1-EXP(-LN(2)/25))/(LN(2)/25)*Calculateur!ER111*Calculateur!ET111*VLOOKUP('Données projet'!$B$15,Paramètres!$A$1:$I$89,3,0)*0.475*44/12</f>
        <v>9.2038607365444332</v>
      </c>
      <c r="EX111" s="21">
        <f>EXP(-LN(2)/2)*EX110+(1-EXP(-LN(2)/2))/(LN(2)/2)*ER111*EU111*VLOOKUP('Données projet'!$B$15,Paramètres!$A$1:$I$89,3,0)*0.475*44/12</f>
        <v>5.2526663399908383E-5</v>
      </c>
      <c r="EY111" s="22">
        <f t="shared" si="75"/>
        <v>21.935897508084938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1032.6345045636874</v>
      </c>
      <c r="S112" s="59">
        <f ca="1">AVERAGE(OFFSET($R$3,0,0,'Données projet'!$E$9+1,1))-AVERAGE(OFFSET($H$3,0,0,'Données projet'!$E$9+1,1))</f>
        <v>635.71275911100679</v>
      </c>
      <c r="T112" s="59">
        <f t="shared" si="88"/>
        <v>281.7776857269169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8.8449999999999989</v>
      </c>
      <c r="AI112" s="13">
        <f>IF('Données projet'!$A$62&gt;35,AI111+AH112-AQ111,IF(A112&lt;'Données projet'!$A$62,$AF$205^A112,IF(A112='Données projet'!$A$62,'Données projet'!$B$62,AI111+AH112-AQ111)))</f>
        <v>380.3350000000006</v>
      </c>
      <c r="AJ112" s="13">
        <f>AI112*VLOOKUP('Données projet'!$B$10,Paramètres!$A$1:$I$89,3,0)*VLOOKUP('Données projet'!$B$10,Paramètres!$A$1:$I$89,5,0)</f>
        <v>385.65969000000064</v>
      </c>
      <c r="AK112" s="13">
        <f t="shared" si="89"/>
        <v>88.86323886421664</v>
      </c>
      <c r="AL112" s="20">
        <f t="shared" si="58"/>
        <v>826.4607677718451</v>
      </c>
      <c r="AM112" s="59">
        <f t="shared" si="59"/>
        <v>1119.7941011051785</v>
      </c>
      <c r="AN112" s="59">
        <f ca="1">AVERAGE(OFFSET($AM$3,0,0,'Données projet'!$E$10+1,1))-AVERAGE(OFFSET($H$3,0,0,'Données projet'!$E$10+1,1))</f>
        <v>706.69239849991595</v>
      </c>
      <c r="AO112" s="59">
        <f t="shared" si="90"/>
        <v>310.59887275116529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33.592979592512997</v>
      </c>
      <c r="AV112" s="21">
        <f>EXP(-LN(2)/25)*AV111+(1-EXP(-LN(2)/25))/(LN(2)/25)*Calculateur!AQ112*Calculateur!AS112*VLOOKUP('Données projet'!$B$10,Paramètres!$A$1:$I$89,3,0)*0.475*44/12</f>
        <v>26.365439930025616</v>
      </c>
      <c r="AW112" s="21">
        <f>EXP(-LN(2)/2)*AW111+(1-EXP(-LN(2)/2))/(LN(2)/2)*AQ112*AT112*VLOOKUP('Données projet'!$B$10,Paramètres!$A$1:$I$89,3,0)*0.475*44/12</f>
        <v>1.1544976637664419</v>
      </c>
      <c r="AX112" s="21">
        <f t="shared" si="60"/>
        <v>61.112917186305054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361.92678600000056</v>
      </c>
      <c r="BF112" s="13">
        <f t="shared" si="91"/>
        <v>84.013550441701824</v>
      </c>
      <c r="BG112" s="20">
        <f t="shared" si="61"/>
        <v>776.67941930263157</v>
      </c>
      <c r="BH112" s="59">
        <f t="shared" si="62"/>
        <v>1070.0127526359649</v>
      </c>
      <c r="BI112" s="59">
        <f ca="1">AVERAGE(OFFSET($BH$3,0,0,'Données projet'!$E$11+1,1))-AVERAGE(OFFSET($H$3,0,0,'Données projet'!$E$11+1,1))</f>
        <v>666.1523645983184</v>
      </c>
      <c r="BJ112" s="59">
        <f t="shared" si="92"/>
        <v>294.13851344047526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31.525719309896818</v>
      </c>
      <c r="BQ112" s="21">
        <f>EXP(-LN(2)/25)*BQ111+(1-EXP(-LN(2)/25))/(LN(2)/25)*Calculateur!BL112*Calculateur!BN112*VLOOKUP('Données projet'!$B$11,Paramètres!$A$1:$I$89,3,0)*0.475*44/12</f>
        <v>24.74295131894711</v>
      </c>
      <c r="BR112" s="21">
        <f>EXP(-LN(2)/2)*BR111+(1-EXP(-LN(2)/2))/(LN(2)/2)*BL112*BO112*VLOOKUP('Données projet'!$B$11,Paramètres!$A$1:$I$89,3,0)*0.475*44/12</f>
        <v>1.083451653688507</v>
      </c>
      <c r="BS112" s="22">
        <f t="shared" si="63"/>
        <v>57.352122282532434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8.8449999999999989</v>
      </c>
      <c r="BY112" s="12">
        <f>IF('Données projet'!$A$114&gt;35,BY111+BX112-CG111,IF(A112&lt;'Données projet'!$A$114,$BV$205^A112,IF(A112='Données projet'!$A$114,'Données projet'!$B$114,BY111+BX112-CG111)))</f>
        <v>380.3350000000006</v>
      </c>
      <c r="BZ112" s="13">
        <f>BY112*VLOOKUP('Données projet'!$B$12,Paramètres!$A$1:$I$89,3,0)*VLOOKUP('Données projet'!$B$12,Paramètres!$A$1:$I$89,5,0)</f>
        <v>409.39259400000066</v>
      </c>
      <c r="CA112" s="13">
        <f t="shared" si="93"/>
        <v>93.678289644093994</v>
      </c>
      <c r="CB112" s="20">
        <f t="shared" si="64"/>
        <v>876.18178901346482</v>
      </c>
      <c r="CC112" s="59">
        <f t="shared" si="65"/>
        <v>1169.5151223467981</v>
      </c>
      <c r="CD112" s="59">
        <f ca="1">AVERAGE(OFFSET($CC$3,0,0,'Données projet'!$E$12+1,1))-AVERAGE(OFFSET($H$3,0,0,'Données projet'!$E$12+1,1))</f>
        <v>747.18304127457918</v>
      </c>
      <c r="CE112" s="59">
        <f t="shared" si="94"/>
        <v>327.03701004966723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35.660239875129186</v>
      </c>
      <c r="CL112" s="21">
        <f>EXP(-LN(2)/25)*CL111+(1-EXP(-LN(2)/25))/(LN(2)/25)*Calculateur!CG112*Calculateur!CI112*VLOOKUP('Données projet'!$B$12,Paramètres!$A$1:$I$89,3,0)*0.475*44/12</f>
        <v>27.987928541104111</v>
      </c>
      <c r="CM112" s="21">
        <f>EXP(-LN(2)/2)*CM111+(1-EXP(-LN(2)/2))/(LN(2)/2)*CG112*CJ112*VLOOKUP('Données projet'!$B$12,Paramètres!$A$1:$I$89,3,0)*0.475*44/12</f>
        <v>1.2255436738443768</v>
      </c>
      <c r="CN112" s="22">
        <f t="shared" si="66"/>
        <v>64.873712090077674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8.8449999999999989</v>
      </c>
      <c r="CT112" s="12">
        <f>IF('Données projet'!$A$140&gt;35,CT111+CS112-DB111,IF(A112&lt;'Données projet'!$A$140,$CQ$205^A112,IF(A112='Données projet'!$A$140,'Données projet'!$B$140,CT111+CS112-DB111)))</f>
        <v>380.3350000000006</v>
      </c>
      <c r="CU112" s="17">
        <f>CT112*VLOOKUP('Données projet'!$B$13,Paramètres!$A$1:$I$89,3,0)*VLOOKUP('Données projet'!$B$13,Paramètres!$A$1:$I$89,5,0)</f>
        <v>367.86001200000061</v>
      </c>
      <c r="CV112" s="13">
        <f t="shared" si="95"/>
        <v>85.229353304806381</v>
      </c>
      <c r="CW112" s="20">
        <f t="shared" si="67"/>
        <v>789.1306445725387</v>
      </c>
      <c r="CX112" s="59">
        <f t="shared" si="68"/>
        <v>1082.4639779058721</v>
      </c>
      <c r="CY112" s="59">
        <f ca="1">AVERAGE(OFFSET($CX$3,0,0,'Données projet'!$E$13+1,1))-AVERAGE(OFFSET($H$3,0,0,'Données projet'!$E$13+1,1))</f>
        <v>676.29219382388692</v>
      </c>
      <c r="CZ112" s="59">
        <f t="shared" si="96"/>
        <v>298.25577221580448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32.042534380550869</v>
      </c>
      <c r="DG112" s="21">
        <f>EXP(-LN(2)/25)*DG111+(1-EXP(-LN(2)/25))/(LN(2)/25)*Calculateur!DB112*Calculateur!DD112*VLOOKUP('Données projet'!$B$13,Paramètres!$A$1:$I$89,3,0)*0.475*44/12</f>
        <v>25.148573471716734</v>
      </c>
      <c r="DH112" s="21">
        <f>EXP(-LN(2)/2)*DH111+(1-EXP(-LN(2)/2))/(LN(2)/2)*DB112*DE112*VLOOKUP('Données projet'!$B$13,Paramètres!$A$1:$I$89,3,0)*0.475*44/12</f>
        <v>1.101213156207991</v>
      </c>
      <c r="DI112" s="22">
        <f t="shared" si="69"/>
        <v>58.292321008475596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-1.1368683772161603E-13</v>
      </c>
      <c r="EK112" s="17">
        <f>EJ112*VLOOKUP('Données projet'!$B$15,Paramètres!$A$1:$I$89,3,0)*VLOOKUP('Données projet'!$B$15,Paramètres!$A$1:$I$89,5,0)</f>
        <v>-8.8675733422860506E-14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197.51452239559433</v>
      </c>
      <c r="EP112" s="59">
        <f t="shared" si="100"/>
        <v>196.65166921588821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12.482317799578654</v>
      </c>
      <c r="EW112" s="21">
        <f>EXP(-LN(2)/25)*EW111+(1-EXP(-LN(2)/25))/(LN(2)/25)*Calculateur!ER112*Calculateur!ET112*VLOOKUP('Données projet'!$B$15,Paramètres!$A$1:$I$89,3,0)*0.475*44/12</f>
        <v>8.9521806806936244</v>
      </c>
      <c r="EX112" s="21">
        <f>EXP(-LN(2)/2)*EX111+(1-EXP(-LN(2)/2))/(LN(2)/2)*ER112*EU112*VLOOKUP('Données projet'!$B$15,Paramètres!$A$1:$I$89,3,0)*0.475*44/12</f>
        <v>3.7141959883178451E-5</v>
      </c>
      <c r="EY112" s="22">
        <f t="shared" si="75"/>
        <v>21.434535622232161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1049.444864249476</v>
      </c>
      <c r="S113" s="59">
        <f ca="1">AVERAGE(OFFSET($R$3,0,0,'Données projet'!$E$9+1,1))-AVERAGE(OFFSET($H$3,0,0,'Données projet'!$E$9+1,1))</f>
        <v>635.71275911100679</v>
      </c>
      <c r="T113" s="59">
        <f t="shared" si="88"/>
        <v>281.7776857269169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8.8449999999999989</v>
      </c>
      <c r="AI113" s="13">
        <f>IF('Données projet'!$A$62&gt;35,AI112+AH113-AQ112,IF(A113&lt;'Données projet'!$A$62,$AF$205^A113,IF(A113='Données projet'!$A$62,'Données projet'!$B$62,AI112+AH113-AQ112)))</f>
        <v>389.18000000000063</v>
      </c>
      <c r="AJ113" s="13">
        <f>AI113*VLOOKUP('Données projet'!$B$10,Paramètres!$A$1:$I$89,3,0)*VLOOKUP('Données projet'!$B$10,Paramètres!$A$1:$I$89,5,0)</f>
        <v>394.62852000000066</v>
      </c>
      <c r="AK113" s="13">
        <f t="shared" si="89"/>
        <v>90.686824704469188</v>
      </c>
      <c r="AL113" s="20">
        <f t="shared" si="58"/>
        <v>845.25755869361831</v>
      </c>
      <c r="AM113" s="59">
        <f t="shared" si="59"/>
        <v>1138.5908920269517</v>
      </c>
      <c r="AN113" s="59">
        <f ca="1">AVERAGE(OFFSET($AM$3,0,0,'Données projet'!$E$10+1,1))-AVERAGE(OFFSET($H$3,0,0,'Données projet'!$E$10+1,1))</f>
        <v>706.69239849991595</v>
      </c>
      <c r="AO113" s="59">
        <f t="shared" si="90"/>
        <v>310.59887275116529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32.934241752398179</v>
      </c>
      <c r="AV113" s="21">
        <f>EXP(-LN(2)/25)*AV112+(1-EXP(-LN(2)/25))/(LN(2)/25)*Calculateur!AQ113*Calculateur!AS113*VLOOKUP('Données projet'!$B$10,Paramètres!$A$1:$I$89,3,0)*0.475*44/12</f>
        <v>25.644475588640837</v>
      </c>
      <c r="AW113" s="21">
        <f>EXP(-LN(2)/2)*AW112+(1-EXP(-LN(2)/2))/(LN(2)/2)*AQ113*AT113*VLOOKUP('Données projet'!$B$10,Paramètres!$A$1:$I$89,3,0)*0.475*44/12</f>
        <v>0.81635312691327777</v>
      </c>
      <c r="AX113" s="21">
        <f t="shared" si="60"/>
        <v>59.395070467952294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370.34368800000061</v>
      </c>
      <c r="BF113" s="13">
        <f t="shared" si="91"/>
        <v>85.737614553397449</v>
      </c>
      <c r="BG113" s="20">
        <f t="shared" si="61"/>
        <v>794.34160194716833</v>
      </c>
      <c r="BH113" s="59">
        <f t="shared" si="62"/>
        <v>1087.6749352805016</v>
      </c>
      <c r="BI113" s="59">
        <f ca="1">AVERAGE(OFFSET($BH$3,0,0,'Données projet'!$E$11+1,1))-AVERAGE(OFFSET($H$3,0,0,'Données projet'!$E$11+1,1))</f>
        <v>666.1523645983184</v>
      </c>
      <c r="BJ113" s="59">
        <f t="shared" si="92"/>
        <v>294.13851344047526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30.907519183019836</v>
      </c>
      <c r="BQ113" s="21">
        <f>EXP(-LN(2)/25)*BQ112+(1-EXP(-LN(2)/25))/(LN(2)/25)*Calculateur!BL113*Calculateur!BN113*VLOOKUP('Données projet'!$B$11,Paramètres!$A$1:$I$89,3,0)*0.475*44/12</f>
        <v>24.066354013955241</v>
      </c>
      <c r="BR113" s="21">
        <f>EXP(-LN(2)/2)*BR112+(1-EXP(-LN(2)/2))/(LN(2)/2)*BL113*BO113*VLOOKUP('Données projet'!$B$11,Paramètres!$A$1:$I$89,3,0)*0.475*44/12</f>
        <v>0.76611601141092223</v>
      </c>
      <c r="BS113" s="22">
        <f t="shared" si="63"/>
        <v>55.739989208386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8.8449999999999989</v>
      </c>
      <c r="BY113" s="12">
        <f>IF('Données projet'!$A$114&gt;35,BY112+BX113-CG112,IF(A113&lt;'Données projet'!$A$114,$BV$205^A113,IF(A113='Données projet'!$A$114,'Données projet'!$B$114,BY112+BX113-CG112)))</f>
        <v>389.18000000000063</v>
      </c>
      <c r="BZ113" s="13">
        <f>BY113*VLOOKUP('Données projet'!$B$12,Paramètres!$A$1:$I$89,3,0)*VLOOKUP('Données projet'!$B$12,Paramètres!$A$1:$I$89,5,0)</f>
        <v>418.91335200000066</v>
      </c>
      <c r="CA113" s="13">
        <f t="shared" si="93"/>
        <v>95.60068640475086</v>
      </c>
      <c r="CB113" s="20">
        <f t="shared" si="64"/>
        <v>896.11195022160882</v>
      </c>
      <c r="CC113" s="59">
        <f t="shared" si="65"/>
        <v>1189.4452835549421</v>
      </c>
      <c r="CD113" s="59">
        <f ca="1">AVERAGE(OFFSET($CC$3,0,0,'Données projet'!$E$12+1,1))-AVERAGE(OFFSET($H$3,0,0,'Données projet'!$E$12+1,1))</f>
        <v>747.18304127457918</v>
      </c>
      <c r="CE113" s="59">
        <f t="shared" si="94"/>
        <v>327.03701004966723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34.96096432177653</v>
      </c>
      <c r="CL113" s="21">
        <f>EXP(-LN(2)/25)*CL112+(1-EXP(-LN(2)/25))/(LN(2)/25)*Calculateur!CG113*Calculateur!CI113*VLOOKUP('Données projet'!$B$12,Paramètres!$A$1:$I$89,3,0)*0.475*44/12</f>
        <v>27.222597163326423</v>
      </c>
      <c r="CM113" s="21">
        <f>EXP(-LN(2)/2)*CM112+(1-EXP(-LN(2)/2))/(LN(2)/2)*CG113*CJ113*VLOOKUP('Données projet'!$B$12,Paramètres!$A$1:$I$89,3,0)*0.475*44/12</f>
        <v>0.86659024241563332</v>
      </c>
      <c r="CN113" s="22">
        <f t="shared" si="66"/>
        <v>63.050151727518589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8.8449999999999989</v>
      </c>
      <c r="CT113" s="12">
        <f>IF('Données projet'!$A$140&gt;35,CT112+CS113-DB112,IF(A113&lt;'Données projet'!$A$140,$CQ$205^A113,IF(A113='Données projet'!$A$140,'Données projet'!$B$140,CT112+CS113-DB112)))</f>
        <v>389.18000000000063</v>
      </c>
      <c r="CU113" s="17">
        <f>CT113*VLOOKUP('Données projet'!$B$13,Paramètres!$A$1:$I$89,3,0)*VLOOKUP('Données projet'!$B$13,Paramètres!$A$1:$I$89,5,0)</f>
        <v>376.41489600000062</v>
      </c>
      <c r="CV113" s="13">
        <f t="shared" si="95"/>
        <v>86.978367226052427</v>
      </c>
      <c r="CW113" s="20">
        <f t="shared" si="67"/>
        <v>807.07660011870905</v>
      </c>
      <c r="CX113" s="59">
        <f t="shared" si="68"/>
        <v>1100.4099334520424</v>
      </c>
      <c r="CY113" s="59">
        <f ca="1">AVERAGE(OFFSET($CX$3,0,0,'Données projet'!$E$13+1,1))-AVERAGE(OFFSET($H$3,0,0,'Données projet'!$E$13+1,1))</f>
        <v>676.29219382388692</v>
      </c>
      <c r="CZ113" s="59">
        <f t="shared" si="96"/>
        <v>298.25577221580448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31.414199825364427</v>
      </c>
      <c r="DG113" s="21">
        <f>EXP(-LN(2)/25)*DG112+(1-EXP(-LN(2)/25))/(LN(2)/25)*Calculateur!DB113*Calculateur!DD113*VLOOKUP('Données projet'!$B$13,Paramètres!$A$1:$I$89,3,0)*0.475*44/12</f>
        <v>24.46088440762664</v>
      </c>
      <c r="DH113" s="21">
        <f>EXP(-LN(2)/2)*DH112+(1-EXP(-LN(2)/2))/(LN(2)/2)*DB113*DE113*VLOOKUP('Données projet'!$B$13,Paramètres!$A$1:$I$89,3,0)*0.475*44/12</f>
        <v>0.77867529028651128</v>
      </c>
      <c r="DI113" s="22">
        <f t="shared" si="69"/>
        <v>56.653759523277586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-1.1368683772161603E-13</v>
      </c>
      <c r="EK113" s="17">
        <f>EJ113*VLOOKUP('Données projet'!$B$15,Paramètres!$A$1:$I$89,3,0)*VLOOKUP('Données projet'!$B$15,Paramètres!$A$1:$I$89,5,0)</f>
        <v>-8.8675733422860506E-14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197.51452239559433</v>
      </c>
      <c r="EP113" s="59">
        <f t="shared" si="100"/>
        <v>196.65166921588821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12.237547160991008</v>
      </c>
      <c r="EW113" s="21">
        <f>EXP(-LN(2)/25)*EW112+(1-EXP(-LN(2)/25))/(LN(2)/25)*Calculateur!ER113*Calculateur!ET113*VLOOKUP('Données projet'!$B$15,Paramètres!$A$1:$I$89,3,0)*0.475*44/12</f>
        <v>8.7073828292053363</v>
      </c>
      <c r="EX113" s="21">
        <f>EXP(-LN(2)/2)*EX112+(1-EXP(-LN(2)/2))/(LN(2)/2)*ER113*EU113*VLOOKUP('Données projet'!$B$15,Paramètres!$A$1:$I$89,3,0)*0.475*44/12</f>
        <v>2.6263331699954192E-5</v>
      </c>
      <c r="EY113" s="22">
        <f t="shared" si="75"/>
        <v>20.944956253528044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1066.2476358626211</v>
      </c>
      <c r="S114" s="59">
        <f ca="1">AVERAGE(OFFSET($R$3,0,0,'Données projet'!$E$9+1,1))-AVERAGE(OFFSET($H$3,0,0,'Données projet'!$E$9+1,1))</f>
        <v>635.71275911100679</v>
      </c>
      <c r="T114" s="59">
        <f t="shared" si="88"/>
        <v>281.7776857269169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8.8449999999999989</v>
      </c>
      <c r="AI114" s="13">
        <f>IF('Données projet'!$A$62&gt;35,AI113+AH114-AQ113,IF(A114&lt;'Données projet'!$A$62,$AF$205^A114,IF(A114='Données projet'!$A$62,'Données projet'!$B$62,AI113+AH114-AQ113)))</f>
        <v>398.02500000000066</v>
      </c>
      <c r="AJ114" s="13">
        <f>AI114*VLOOKUP('Données projet'!$B$10,Paramètres!$A$1:$I$89,3,0)*VLOOKUP('Données projet'!$B$10,Paramètres!$A$1:$I$89,5,0)</f>
        <v>403.59735000000074</v>
      </c>
      <c r="AK114" s="13">
        <f t="shared" si="89"/>
        <v>92.505592268354718</v>
      </c>
      <c r="AL114" s="20">
        <f t="shared" si="58"/>
        <v>864.04595778405246</v>
      </c>
      <c r="AM114" s="59">
        <f t="shared" si="59"/>
        <v>1157.3792911173857</v>
      </c>
      <c r="AN114" s="59">
        <f ca="1">AVERAGE(OFFSET($AM$3,0,0,'Données projet'!$E$10+1,1))-AVERAGE(OFFSET($H$3,0,0,'Données projet'!$E$10+1,1))</f>
        <v>706.69239849991595</v>
      </c>
      <c r="AO114" s="59">
        <f t="shared" si="90"/>
        <v>310.59887275116529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32.288421359537601</v>
      </c>
      <c r="AV114" s="21">
        <f>EXP(-LN(2)/25)*AV113+(1-EXP(-LN(2)/25))/(LN(2)/25)*Calculateur!AQ114*Calculateur!AS114*VLOOKUP('Données projet'!$B$10,Paramètres!$A$1:$I$89,3,0)*0.475*44/12</f>
        <v>24.943226055085095</v>
      </c>
      <c r="AW114" s="21">
        <f>EXP(-LN(2)/2)*AW113+(1-EXP(-LN(2)/2))/(LN(2)/2)*AQ114*AT114*VLOOKUP('Données projet'!$B$10,Paramètres!$A$1:$I$89,3,0)*0.475*44/12</f>
        <v>0.57724883188322096</v>
      </c>
      <c r="AX114" s="21">
        <f t="shared" si="60"/>
        <v>57.808896246505924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378.76059000000066</v>
      </c>
      <c r="BF114" s="13">
        <f t="shared" si="91"/>
        <v>87.457123344920589</v>
      </c>
      <c r="BG114" s="20">
        <f t="shared" si="61"/>
        <v>811.9958507424044</v>
      </c>
      <c r="BH114" s="59">
        <f t="shared" si="62"/>
        <v>1105.3291840757377</v>
      </c>
      <c r="BI114" s="59">
        <f ca="1">AVERAGE(OFFSET($BH$3,0,0,'Données projet'!$E$11+1,1))-AVERAGE(OFFSET($H$3,0,0,'Données projet'!$E$11+1,1))</f>
        <v>666.1523645983184</v>
      </c>
      <c r="BJ114" s="59">
        <f t="shared" si="92"/>
        <v>294.13851344047526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30.301441583566067</v>
      </c>
      <c r="BQ114" s="21">
        <f>EXP(-LN(2)/25)*BQ113+(1-EXP(-LN(2)/25))/(LN(2)/25)*Calculateur!BL114*Calculateur!BN114*VLOOKUP('Données projet'!$B$11,Paramètres!$A$1:$I$89,3,0)*0.475*44/12</f>
        <v>23.408258297849081</v>
      </c>
      <c r="BR114" s="21">
        <f>EXP(-LN(2)/2)*BR113+(1-EXP(-LN(2)/2))/(LN(2)/2)*BL114*BO114*VLOOKUP('Données projet'!$B$11,Paramètres!$A$1:$I$89,3,0)*0.475*44/12</f>
        <v>0.54172582684425352</v>
      </c>
      <c r="BS114" s="22">
        <f t="shared" si="63"/>
        <v>54.251425708259404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8.8449999999999989</v>
      </c>
      <c r="BY114" s="12">
        <f>IF('Données projet'!$A$114&gt;35,BY113+BX114-CG113,IF(A114&lt;'Données projet'!$A$114,$BV$205^A114,IF(A114='Données projet'!$A$114,'Données projet'!$B$114,BY113+BX114-CG113)))</f>
        <v>398.02500000000066</v>
      </c>
      <c r="BZ114" s="13">
        <f>BY114*VLOOKUP('Données projet'!$B$12,Paramètres!$A$1:$I$89,3,0)*VLOOKUP('Données projet'!$B$12,Paramètres!$A$1:$I$89,5,0)</f>
        <v>428.43411000000071</v>
      </c>
      <c r="CA114" s="13">
        <f t="shared" si="93"/>
        <v>97.518003810942758</v>
      </c>
      <c r="CB114" s="20">
        <f t="shared" si="64"/>
        <v>916.03326488739322</v>
      </c>
      <c r="CC114" s="59">
        <f t="shared" si="65"/>
        <v>1209.3665982207265</v>
      </c>
      <c r="CD114" s="59">
        <f ca="1">AVERAGE(OFFSET($CC$3,0,0,'Données projet'!$E$12+1,1))-AVERAGE(OFFSET($H$3,0,0,'Données projet'!$E$12+1,1))</f>
        <v>747.18304127457918</v>
      </c>
      <c r="CE114" s="59">
        <f t="shared" si="94"/>
        <v>327.03701004966723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34.275401135509149</v>
      </c>
      <c r="CL114" s="21">
        <f>EXP(-LN(2)/25)*CL113+(1-EXP(-LN(2)/25))/(LN(2)/25)*Calculateur!CG114*Calculateur!CI114*VLOOKUP('Données projet'!$B$12,Paramètres!$A$1:$I$89,3,0)*0.475*44/12</f>
        <v>26.478193812321095</v>
      </c>
      <c r="CM114" s="21">
        <f>EXP(-LN(2)/2)*CM113+(1-EXP(-LN(2)/2))/(LN(2)/2)*CG114*CJ114*VLOOKUP('Données projet'!$B$12,Paramètres!$A$1:$I$89,3,0)*0.475*44/12</f>
        <v>0.6127718369221884</v>
      </c>
      <c r="CN114" s="22">
        <f t="shared" si="66"/>
        <v>61.366366784752429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8.8449999999999989</v>
      </c>
      <c r="CT114" s="12">
        <f>IF('Données projet'!$A$140&gt;35,CT113+CS114-DB113,IF(A114&lt;'Données projet'!$A$140,$CQ$205^A114,IF(A114='Données projet'!$A$140,'Données projet'!$B$140,CT113+CS114-DB113)))</f>
        <v>398.02500000000066</v>
      </c>
      <c r="CU114" s="17">
        <f>CT114*VLOOKUP('Données projet'!$B$13,Paramètres!$A$1:$I$89,3,0)*VLOOKUP('Données projet'!$B$13,Paramètres!$A$1:$I$89,5,0)</f>
        <v>384.9697800000007</v>
      </c>
      <c r="CV114" s="13">
        <f t="shared" si="95"/>
        <v>88.722759904768481</v>
      </c>
      <c r="CW114" s="20">
        <f t="shared" si="67"/>
        <v>825.01450700080625</v>
      </c>
      <c r="CX114" s="59">
        <f t="shared" si="68"/>
        <v>1118.3478403341396</v>
      </c>
      <c r="CY114" s="59">
        <f ca="1">AVERAGE(OFFSET($CX$3,0,0,'Données projet'!$E$13+1,1))-AVERAGE(OFFSET($H$3,0,0,'Données projet'!$E$13+1,1))</f>
        <v>676.29219382388692</v>
      </c>
      <c r="CZ114" s="59">
        <f t="shared" si="96"/>
        <v>298.25577221580448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30.798186527558954</v>
      </c>
      <c r="DG114" s="21">
        <f>EXP(-LN(2)/25)*DG113+(1-EXP(-LN(2)/25))/(LN(2)/25)*Calculateur!DB114*Calculateur!DD114*VLOOKUP('Données projet'!$B$13,Paramètres!$A$1:$I$89,3,0)*0.475*44/12</f>
        <v>23.792000237158085</v>
      </c>
      <c r="DH114" s="21">
        <f>EXP(-LN(2)/2)*DH113+(1-EXP(-LN(2)/2))/(LN(2)/2)*DB114*DE114*VLOOKUP('Données projet'!$B$13,Paramètres!$A$1:$I$89,3,0)*0.475*44/12</f>
        <v>0.55060657810399549</v>
      </c>
      <c r="DI114" s="22">
        <f t="shared" si="69"/>
        <v>55.140793342821034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-1.1368683772161603E-13</v>
      </c>
      <c r="EK114" s="17">
        <f>EJ114*VLOOKUP('Données projet'!$B$15,Paramètres!$A$1:$I$89,3,0)*VLOOKUP('Données projet'!$B$15,Paramètres!$A$1:$I$89,5,0)</f>
        <v>-8.8675733422860506E-14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197.51452239559433</v>
      </c>
      <c r="EP114" s="59">
        <f t="shared" si="100"/>
        <v>196.65166921588821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11.997576325330717</v>
      </c>
      <c r="EW114" s="21">
        <f>EXP(-LN(2)/25)*EW113+(1-EXP(-LN(2)/25))/(LN(2)/25)*Calculateur!ER114*Calculateur!ET114*VLOOKUP('Données projet'!$B$15,Paramètres!$A$1:$I$89,3,0)*0.475*44/12</f>
        <v>8.4692789878393544</v>
      </c>
      <c r="EX114" s="21">
        <f>EXP(-LN(2)/2)*EX113+(1-EXP(-LN(2)/2))/(LN(2)/2)*ER114*EU114*VLOOKUP('Données projet'!$B$15,Paramètres!$A$1:$I$89,3,0)*0.475*44/12</f>
        <v>1.8570979941589225E-5</v>
      </c>
      <c r="EY114" s="22">
        <f t="shared" si="75"/>
        <v>20.466873884150015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1083.0430074427793</v>
      </c>
      <c r="S115" s="59">
        <f ca="1">AVERAGE(OFFSET($R$3,0,0,'Données projet'!$E$9+1,1))-AVERAGE(OFFSET($H$3,0,0,'Données projet'!$E$9+1,1))</f>
        <v>635.71275911100679</v>
      </c>
      <c r="T115" s="59">
        <f t="shared" si="88"/>
        <v>281.7776857269169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8.8449999999999989</v>
      </c>
      <c r="AI115" s="13">
        <f>IF('Données projet'!$A$62&gt;35,AI114+AH115-AQ114,IF(A115&lt;'Données projet'!$A$62,$AF$205^A115,IF(A115='Données projet'!$A$62,'Données projet'!$B$62,AI114+AH115-AQ114)))</f>
        <v>406.87000000000069</v>
      </c>
      <c r="AJ115" s="13">
        <f>AI115*VLOOKUP('Données projet'!$B$10,Paramètres!$A$1:$I$89,3,0)*VLOOKUP('Données projet'!$B$10,Paramètres!$A$1:$I$89,5,0)</f>
        <v>412.56618000000077</v>
      </c>
      <c r="AK115" s="13">
        <f t="shared" si="89"/>
        <v>94.319660957344354</v>
      </c>
      <c r="AL115" s="20">
        <f t="shared" si="58"/>
        <v>882.82617300070933</v>
      </c>
      <c r="AM115" s="59">
        <f t="shared" si="59"/>
        <v>1176.1595063340426</v>
      </c>
      <c r="AN115" s="59">
        <f ca="1">AVERAGE(OFFSET($AM$3,0,0,'Données projet'!$E$10+1,1))-AVERAGE(OFFSET($H$3,0,0,'Données projet'!$E$10+1,1))</f>
        <v>706.69239849991595</v>
      </c>
      <c r="AO115" s="59">
        <f t="shared" si="90"/>
        <v>310.59887275116529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31.655265110669479</v>
      </c>
      <c r="AV115" s="21">
        <f>EXP(-LN(2)/25)*AV114+(1-EXP(-LN(2)/25))/(LN(2)/25)*Calculateur!AQ115*Calculateur!AS115*VLOOKUP('Données projet'!$B$10,Paramètres!$A$1:$I$89,3,0)*0.475*44/12</f>
        <v>24.261152226901544</v>
      </c>
      <c r="AW115" s="21">
        <f>EXP(-LN(2)/2)*AW114+(1-EXP(-LN(2)/2))/(LN(2)/2)*AQ115*AT115*VLOOKUP('Données projet'!$B$10,Paramètres!$A$1:$I$89,3,0)*0.475*44/12</f>
        <v>0.40817656345663889</v>
      </c>
      <c r="AX115" s="21">
        <f t="shared" si="60"/>
        <v>56.324593901027662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387.17749200000065</v>
      </c>
      <c r="BF115" s="13">
        <f t="shared" si="91"/>
        <v>89.172189701437333</v>
      </c>
      <c r="BG115" s="20">
        <f t="shared" si="61"/>
        <v>829.64236229667119</v>
      </c>
      <c r="BH115" s="59">
        <f t="shared" si="62"/>
        <v>1122.9756956300046</v>
      </c>
      <c r="BI115" s="59">
        <f ca="1">AVERAGE(OFFSET($BH$3,0,0,'Données projet'!$E$11+1,1))-AVERAGE(OFFSET($H$3,0,0,'Données projet'!$E$11+1,1))</f>
        <v>666.1523645983184</v>
      </c>
      <c r="BJ115" s="59">
        <f t="shared" si="92"/>
        <v>294.13851344047526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29.707248796166752</v>
      </c>
      <c r="BQ115" s="21">
        <f>EXP(-LN(2)/25)*BQ114+(1-EXP(-LN(2)/25))/(LN(2)/25)*Calculateur!BL115*Calculateur!BN115*VLOOKUP('Données projet'!$B$11,Paramètres!$A$1:$I$89,3,0)*0.475*44/12</f>
        <v>22.768158243707592</v>
      </c>
      <c r="BR115" s="21">
        <f>EXP(-LN(2)/2)*BR114+(1-EXP(-LN(2)/2))/(LN(2)/2)*BL115*BO115*VLOOKUP('Données projet'!$B$11,Paramètres!$A$1:$I$89,3,0)*0.475*44/12</f>
        <v>0.38305800570546111</v>
      </c>
      <c r="BS115" s="22">
        <f t="shared" si="63"/>
        <v>52.858465045579806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8.8449999999999989</v>
      </c>
      <c r="BY115" s="12">
        <f>IF('Données projet'!$A$114&gt;35,BY114+BX115-CG114,IF(A115&lt;'Données projet'!$A$114,$BV$205^A115,IF(A115='Données projet'!$A$114,'Données projet'!$B$114,BY114+BX115-CG114)))</f>
        <v>406.87000000000069</v>
      </c>
      <c r="BZ115" s="13">
        <f>BY115*VLOOKUP('Données projet'!$B$12,Paramètres!$A$1:$I$89,3,0)*VLOOKUP('Données projet'!$B$12,Paramètres!$A$1:$I$89,5,0)</f>
        <v>437.95486800000072</v>
      </c>
      <c r="CA115" s="13">
        <f t="shared" si="93"/>
        <v>99.430367733904333</v>
      </c>
      <c r="CB115" s="20">
        <f t="shared" si="64"/>
        <v>935.94595223655108</v>
      </c>
      <c r="CC115" s="59">
        <f t="shared" si="65"/>
        <v>1229.2792855698845</v>
      </c>
      <c r="CD115" s="59">
        <f ca="1">AVERAGE(OFFSET($CC$3,0,0,'Données projet'!$E$12+1,1))-AVERAGE(OFFSET($H$3,0,0,'Données projet'!$E$12+1,1))</f>
        <v>747.18304127457918</v>
      </c>
      <c r="CE115" s="59">
        <f t="shared" si="94"/>
        <v>327.03701004966723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33.60328142517222</v>
      </c>
      <c r="CL115" s="21">
        <f>EXP(-LN(2)/25)*CL114+(1-EXP(-LN(2)/25))/(LN(2)/25)*Calculateur!CG115*Calculateur!CI115*VLOOKUP('Données projet'!$B$12,Paramètres!$A$1:$I$89,3,0)*0.475*44/12</f>
        <v>25.754146210095477</v>
      </c>
      <c r="CM115" s="21">
        <f>EXP(-LN(2)/2)*CM114+(1-EXP(-LN(2)/2))/(LN(2)/2)*CG115*CJ115*VLOOKUP('Données projet'!$B$12,Paramètres!$A$1:$I$89,3,0)*0.475*44/12</f>
        <v>0.43329512120781666</v>
      </c>
      <c r="CN115" s="22">
        <f t="shared" si="66"/>
        <v>59.790722756475517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8.8449999999999989</v>
      </c>
      <c r="CT115" s="12">
        <f>IF('Données projet'!$A$140&gt;35,CT114+CS115-DB114,IF(A115&lt;'Données projet'!$A$140,$CQ$205^A115,IF(A115='Données projet'!$A$140,'Données projet'!$B$140,CT114+CS115-DB114)))</f>
        <v>406.87000000000069</v>
      </c>
      <c r="CU115" s="17">
        <f>CT115*VLOOKUP('Données projet'!$B$13,Paramètres!$A$1:$I$89,3,0)*VLOOKUP('Données projet'!$B$13,Paramètres!$A$1:$I$89,5,0)</f>
        <v>393.52466400000066</v>
      </c>
      <c r="CV115" s="13">
        <f t="shared" si="95"/>
        <v>90.462645859739325</v>
      </c>
      <c r="CW115" s="20">
        <f t="shared" si="67"/>
        <v>842.94456467238035</v>
      </c>
      <c r="CX115" s="59">
        <f t="shared" si="68"/>
        <v>1136.2778980057137</v>
      </c>
      <c r="CY115" s="59">
        <f ca="1">AVERAGE(OFFSET($CX$3,0,0,'Données projet'!$E$13+1,1))-AVERAGE(OFFSET($H$3,0,0,'Données projet'!$E$13+1,1))</f>
        <v>676.29219382388692</v>
      </c>
      <c r="CZ115" s="59">
        <f t="shared" si="96"/>
        <v>298.25577221580448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30.194252874792436</v>
      </c>
      <c r="DG115" s="21">
        <f>EXP(-LN(2)/25)*DG114+(1-EXP(-LN(2)/25))/(LN(2)/25)*Calculateur!DB115*Calculateur!DD115*VLOOKUP('Données projet'!$B$13,Paramètres!$A$1:$I$89,3,0)*0.475*44/12</f>
        <v>23.141406739506081</v>
      </c>
      <c r="DH115" s="21">
        <f>EXP(-LN(2)/2)*DH114+(1-EXP(-LN(2)/2))/(LN(2)/2)*DB115*DE115*VLOOKUP('Données projet'!$B$13,Paramètres!$A$1:$I$89,3,0)*0.475*44/12</f>
        <v>0.38933764514325564</v>
      </c>
      <c r="DI115" s="22">
        <f t="shared" si="69"/>
        <v>53.724997259441778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-1.1368683772161603E-13</v>
      </c>
      <c r="EK115" s="17">
        <f>EJ115*VLOOKUP('Données projet'!$B$15,Paramètres!$A$1:$I$89,3,0)*VLOOKUP('Données projet'!$B$15,Paramètres!$A$1:$I$89,5,0)</f>
        <v>-8.8675733422860506E-14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197.51452239559433</v>
      </c>
      <c r="EP115" s="59">
        <f t="shared" si="100"/>
        <v>196.65166921588821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11.762311171389968</v>
      </c>
      <c r="EW115" s="21">
        <f>EXP(-LN(2)/25)*EW114+(1-EXP(-LN(2)/25))/(LN(2)/25)*Calculateur!ER115*Calculateur!ET115*VLOOKUP('Données projet'!$B$15,Paramètres!$A$1:$I$89,3,0)*0.475*44/12</f>
        <v>8.2376861085368613</v>
      </c>
      <c r="EX115" s="21">
        <f>EXP(-LN(2)/2)*EX114+(1-EXP(-LN(2)/2))/(LN(2)/2)*ER115*EU115*VLOOKUP('Données projet'!$B$15,Paramètres!$A$1:$I$89,3,0)*0.475*44/12</f>
        <v>1.3131665849977096E-5</v>
      </c>
      <c r="EY115" s="22">
        <f t="shared" si="75"/>
        <v>20.00001041159268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1099.8311583870395</v>
      </c>
      <c r="S116" s="59">
        <f ca="1">AVERAGE(OFFSET($R$3,0,0,'Données projet'!$E$9+1,1))-AVERAGE(OFFSET($H$3,0,0,'Données projet'!$E$9+1,1))</f>
        <v>635.71275911100679</v>
      </c>
      <c r="T116" s="59">
        <f t="shared" si="88"/>
        <v>281.7776857269169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8.8449999999999989</v>
      </c>
      <c r="AI116" s="13">
        <f>IF('Données projet'!$A$62&gt;35,AI115+AH116-AQ115,IF(A116&lt;'Données projet'!$A$62,$AF$205^A116,IF(A116='Données projet'!$A$62,'Données projet'!$B$62,AI115+AH116-AQ115)))</f>
        <v>415.71500000000071</v>
      </c>
      <c r="AJ116" s="13">
        <f>AI116*VLOOKUP('Données projet'!$B$10,Paramètres!$A$1:$I$89,3,0)*VLOOKUP('Données projet'!$B$10,Paramètres!$A$1:$I$89,5,0)</f>
        <v>421.5350100000008</v>
      </c>
      <c r="AK116" s="13">
        <f t="shared" si="89"/>
        <v>96.129144685048502</v>
      </c>
      <c r="AL116" s="20">
        <f t="shared" si="58"/>
        <v>901.59840274312739</v>
      </c>
      <c r="AM116" s="59">
        <f t="shared" si="59"/>
        <v>1194.9317360764608</v>
      </c>
      <c r="AN116" s="59">
        <f ca="1">AVERAGE(OFFSET($AM$3,0,0,'Données projet'!$E$10+1,1))-AVERAGE(OFFSET($H$3,0,0,'Données projet'!$E$10+1,1))</f>
        <v>706.69239849991595</v>
      </c>
      <c r="AO116" s="59">
        <f t="shared" si="90"/>
        <v>310.59887275116529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31.034524669654481</v>
      </c>
      <c r="AV116" s="21">
        <f>EXP(-LN(2)/25)*AV115+(1-EXP(-LN(2)/25))/(LN(2)/25)*Calculateur!AQ116*Calculateur!AS116*VLOOKUP('Données projet'!$B$10,Paramètres!$A$1:$I$89,3,0)*0.475*44/12</f>
        <v>23.597729743418377</v>
      </c>
      <c r="AW116" s="21">
        <f>EXP(-LN(2)/2)*AW115+(1-EXP(-LN(2)/2))/(LN(2)/2)*AQ116*AT116*VLOOKUP('Données projet'!$B$10,Paramètres!$A$1:$I$89,3,0)*0.475*44/12</f>
        <v>0.28862441594161048</v>
      </c>
      <c r="AX116" s="21">
        <f t="shared" si="60"/>
        <v>54.92087882901447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395.5943940000007</v>
      </c>
      <c r="BF116" s="13">
        <f t="shared" si="91"/>
        <v>90.882921319752683</v>
      </c>
      <c r="BG116" s="20">
        <f t="shared" si="61"/>
        <v>847.28132418190387</v>
      </c>
      <c r="BH116" s="59">
        <f t="shared" si="62"/>
        <v>1140.6146575152372</v>
      </c>
      <c r="BI116" s="59">
        <f ca="1">AVERAGE(OFFSET($BH$3,0,0,'Données projet'!$E$11+1,1))-AVERAGE(OFFSET($H$3,0,0,'Données projet'!$E$11+1,1))</f>
        <v>666.1523645983184</v>
      </c>
      <c r="BJ116" s="59">
        <f t="shared" si="92"/>
        <v>294.13851344047526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29.124707766906521</v>
      </c>
      <c r="BQ116" s="21">
        <f>EXP(-LN(2)/25)*BQ115+(1-EXP(-LN(2)/25))/(LN(2)/25)*Calculateur!BL116*Calculateur!BN116*VLOOKUP('Données projet'!$B$11,Paramètres!$A$1:$I$89,3,0)*0.475*44/12</f>
        <v>22.145561759208004</v>
      </c>
      <c r="BR116" s="21">
        <f>EXP(-LN(2)/2)*BR115+(1-EXP(-LN(2)/2))/(LN(2)/2)*BL116*BO116*VLOOKUP('Données projet'!$B$11,Paramètres!$A$1:$I$89,3,0)*0.475*44/12</f>
        <v>0.27086291342212676</v>
      </c>
      <c r="BS116" s="22">
        <f t="shared" si="63"/>
        <v>51.541132439536653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8.8449999999999989</v>
      </c>
      <c r="BY116" s="12">
        <f>IF('Données projet'!$A$114&gt;35,BY115+BX116-CG115,IF(A116&lt;'Données projet'!$A$114,$BV$205^A116,IF(A116='Données projet'!$A$114,'Données projet'!$B$114,BY115+BX116-CG115)))</f>
        <v>415.71500000000071</v>
      </c>
      <c r="BZ116" s="13">
        <f>BY116*VLOOKUP('Données projet'!$B$12,Paramètres!$A$1:$I$89,3,0)*VLOOKUP('Données projet'!$B$12,Paramètres!$A$1:$I$89,5,0)</f>
        <v>447.47562600000077</v>
      </c>
      <c r="CA116" s="13">
        <f t="shared" si="93"/>
        <v>101.33789825965043</v>
      </c>
      <c r="CB116" s="20">
        <f t="shared" si="64"/>
        <v>955.85022141889249</v>
      </c>
      <c r="CC116" s="59">
        <f t="shared" si="65"/>
        <v>1249.1835547522257</v>
      </c>
      <c r="CD116" s="59">
        <f ca="1">AVERAGE(OFFSET($CC$3,0,0,'Données projet'!$E$12+1,1))-AVERAGE(OFFSET($H$3,0,0,'Données projet'!$E$12+1,1))</f>
        <v>747.18304127457918</v>
      </c>
      <c r="CE116" s="59">
        <f t="shared" si="94"/>
        <v>327.03701004966723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32.94434157240245</v>
      </c>
      <c r="CL116" s="21">
        <f>EXP(-LN(2)/25)*CL115+(1-EXP(-LN(2)/25))/(LN(2)/25)*Calculateur!CG116*Calculateur!CI116*VLOOKUP('Données projet'!$B$12,Paramètres!$A$1:$I$89,3,0)*0.475*44/12</f>
        <v>25.049897727628728</v>
      </c>
      <c r="CM116" s="21">
        <f>EXP(-LN(2)/2)*CM115+(1-EXP(-LN(2)/2))/(LN(2)/2)*CG116*CJ116*VLOOKUP('Données projet'!$B$12,Paramètres!$A$1:$I$89,3,0)*0.475*44/12</f>
        <v>0.3063859184610942</v>
      </c>
      <c r="CN116" s="22">
        <f t="shared" si="66"/>
        <v>58.300625218492279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8.8449999999999989</v>
      </c>
      <c r="CT116" s="12">
        <f>IF('Données projet'!$A$140&gt;35,CT115+CS116-DB115,IF(A116&lt;'Données projet'!$A$140,$CQ$205^A116,IF(A116='Données projet'!$A$140,'Données projet'!$B$140,CT115+CS116-DB115)))</f>
        <v>415.71500000000071</v>
      </c>
      <c r="CU116" s="17">
        <f>CT116*VLOOKUP('Données projet'!$B$13,Paramètres!$A$1:$I$89,3,0)*VLOOKUP('Données projet'!$B$13,Paramètres!$A$1:$I$89,5,0)</f>
        <v>402.07954800000067</v>
      </c>
      <c r="CV116" s="13">
        <f t="shared" si="95"/>
        <v>92.198134346305295</v>
      </c>
      <c r="CW116" s="20">
        <f t="shared" si="67"/>
        <v>860.86696341981622</v>
      </c>
      <c r="CX116" s="59">
        <f t="shared" si="68"/>
        <v>1154.2002967531496</v>
      </c>
      <c r="CY116" s="59">
        <f ca="1">AVERAGE(OFFSET($CX$3,0,0,'Données projet'!$E$13+1,1))-AVERAGE(OFFSET($H$3,0,0,'Données projet'!$E$13+1,1))</f>
        <v>676.29219382388692</v>
      </c>
      <c r="CZ116" s="59">
        <f t="shared" si="96"/>
        <v>298.25577221580448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29.602161992593516</v>
      </c>
      <c r="DG116" s="21">
        <f>EXP(-LN(2)/25)*DG115+(1-EXP(-LN(2)/25))/(LN(2)/25)*Calculateur!DB116*Calculateur!DD116*VLOOKUP('Données projet'!$B$13,Paramètres!$A$1:$I$89,3,0)*0.475*44/12</f>
        <v>22.508603755260598</v>
      </c>
      <c r="DH116" s="21">
        <f>EXP(-LN(2)/2)*DH115+(1-EXP(-LN(2)/2))/(LN(2)/2)*DB116*DE116*VLOOKUP('Données projet'!$B$13,Paramètres!$A$1:$I$89,3,0)*0.475*44/12</f>
        <v>0.27530328905199775</v>
      </c>
      <c r="DI116" s="22">
        <f t="shared" si="69"/>
        <v>52.386069036906115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-1.1368683772161603E-13</v>
      </c>
      <c r="EK116" s="17">
        <f>EJ116*VLOOKUP('Données projet'!$B$15,Paramètres!$A$1:$I$89,3,0)*VLOOKUP('Données projet'!$B$15,Paramètres!$A$1:$I$89,5,0)</f>
        <v>-8.8675733422860506E-14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197.51452239559433</v>
      </c>
      <c r="EP116" s="59">
        <f t="shared" si="100"/>
        <v>196.65166921588821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11.531659423620422</v>
      </c>
      <c r="EW116" s="21">
        <f>EXP(-LN(2)/25)*EW115+(1-EXP(-LN(2)/25))/(LN(2)/25)*Calculateur!ER116*Calculateur!ET116*VLOOKUP('Données projet'!$B$15,Paramètres!$A$1:$I$89,3,0)*0.475*44/12</f>
        <v>8.0124261486978359</v>
      </c>
      <c r="EX116" s="21">
        <f>EXP(-LN(2)/2)*EX115+(1-EXP(-LN(2)/2))/(LN(2)/2)*ER116*EU116*VLOOKUP('Données projet'!$B$15,Paramètres!$A$1:$I$89,3,0)*0.475*44/12</f>
        <v>9.2854899707946127E-6</v>
      </c>
      <c r="EY116" s="22">
        <f t="shared" si="75"/>
        <v>19.544094857808229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1116.6122600224444</v>
      </c>
      <c r="S117" s="59">
        <f ca="1">AVERAGE(OFFSET($R$3,0,0,'Données projet'!$E$9+1,1))-AVERAGE(OFFSET($H$3,0,0,'Données projet'!$E$9+1,1))</f>
        <v>635.71275911100679</v>
      </c>
      <c r="T117" s="59">
        <f t="shared" si="88"/>
        <v>281.7776857269169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8.8449999999999989</v>
      </c>
      <c r="AH117" s="12">
        <f t="array" ref="AH117">INDEX(AG:AG,MIN(IF(ISNUMBER(AG117:AG313),ROW(AG117:AG313),"")))</f>
        <v>8.8449999999999989</v>
      </c>
      <c r="AI117" s="13">
        <f>IF('Données projet'!$A$62&gt;35,AI116+AH117-AQ116,IF(A117&lt;'Données projet'!$A$62,$AF$205^A117,IF(A117='Données projet'!$A$62,'Données projet'!$B$62,AI116+AH117-AQ116)))</f>
        <v>424.56000000000074</v>
      </c>
      <c r="AJ117" s="13">
        <f>AI117*VLOOKUP('Données projet'!$B$10,Paramètres!$A$1:$I$89,3,0)*VLOOKUP('Données projet'!$B$10,Paramètres!$A$1:$I$89,5,0)</f>
        <v>430.50384000000082</v>
      </c>
      <c r="AK117" s="13">
        <f t="shared" si="89"/>
        <v>97.934152240758081</v>
      </c>
      <c r="AL117" s="20">
        <f t="shared" si="58"/>
        <v>920.3628364859884</v>
      </c>
      <c r="AM117" s="59">
        <f t="shared" si="59"/>
        <v>1213.6961698193218</v>
      </c>
      <c r="AN117" s="59">
        <f ca="1">AVERAGE(OFFSET($AM$3,0,0,'Données projet'!$E$10+1,1))-AVERAGE(OFFSET($H$3,0,0,'Données projet'!$E$10+1,1))</f>
        <v>706.69239849991595</v>
      </c>
      <c r="AO117" s="59">
        <f t="shared" si="90"/>
        <v>310.59887275116529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61.860000000000014</v>
      </c>
      <c r="AR117" s="16">
        <f>IF(ISNA(VLOOKUP(A117,'Données projet'!$A$61:$I$81,5,0)),0%,VLOOKUP(A117,'Données projet'!$A$61:$I$81,5,0)*VLOOKUP('Données projet'!$B$10,Paramètres!$A$1:$I$89,7,0))</f>
        <v>0.15049999999999999</v>
      </c>
      <c r="AS117" s="16">
        <f>IF(ISNA(VLOOKUP(A117,'Données projet'!$A$61:$I$81,6,0)),0%,VLOOKUP(A117,'Données projet'!$A$61:$I$81,6,0)*VLOOKUP('Données projet'!$B$10,Paramètres!$A$1:$I$89,7,0))</f>
        <v>8.6000000000000007E-2</v>
      </c>
      <c r="AT117" s="16">
        <f>IF(ISNA(VLOOKUP(A117,'Données projet'!$A$61:$I$81,7,0)),0%,VLOOKUP(A117,'Données projet'!$A$61:$I$81,7,0))</f>
        <v>0.1</v>
      </c>
      <c r="AU117" s="21">
        <f>EXP(-LN(2)/35)*AU116+(1-EXP(-LN(2)/35))/(LN(2)/35)*AQ117*AR117*VLOOKUP('Données projet'!$B$10,Paramètres!$A$1:$I$89,3,0)*0.475*44/12</f>
        <v>40.861894346506055</v>
      </c>
      <c r="AV117" s="21">
        <f>EXP(-LN(2)/25)*AV116+(1-EXP(-LN(2)/25))/(LN(2)/25)*Calculateur!AQ117*Calculateur!AS117*VLOOKUP('Données projet'!$B$10,Paramètres!$A$1:$I$89,3,0)*0.475*44/12</f>
        <v>28.892361447206902</v>
      </c>
      <c r="AW117" s="21">
        <f>EXP(-LN(2)/2)*AW116+(1-EXP(-LN(2)/2))/(LN(2)/2)*AQ117*AT117*VLOOKUP('Données projet'!$B$10,Paramètres!$A$1:$I$89,3,0)*0.475*44/12</f>
        <v>6.1224589803897382</v>
      </c>
      <c r="AX117" s="21">
        <f t="shared" si="60"/>
        <v>75.876714774102695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404.01129600000075</v>
      </c>
      <c r="BF117" s="13">
        <f t="shared" si="91"/>
        <v>92.589421052009357</v>
      </c>
      <c r="BG117" s="20">
        <f t="shared" si="61"/>
        <v>864.91291553225085</v>
      </c>
      <c r="BH117" s="59">
        <f t="shared" si="62"/>
        <v>1158.2462488655842</v>
      </c>
      <c r="BI117" s="59">
        <f ca="1">AVERAGE(OFFSET($BH$3,0,0,'Données projet'!$E$11+1,1))-AVERAGE(OFFSET($H$3,0,0,'Données projet'!$E$11+1,1))</f>
        <v>666.1523645983184</v>
      </c>
      <c r="BJ117" s="59">
        <f t="shared" si="92"/>
        <v>294.13851344047526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38.347316232874924</v>
      </c>
      <c r="BQ117" s="21">
        <f>EXP(-LN(2)/25)*BQ116+(1-EXP(-LN(2)/25))/(LN(2)/25)*Calculateur!BL117*Calculateur!BN117*VLOOKUP('Données projet'!$B$11,Paramètres!$A$1:$I$89,3,0)*0.475*44/12</f>
        <v>27.114369973532618</v>
      </c>
      <c r="BR117" s="21">
        <f>EXP(-LN(2)/2)*BR116+(1-EXP(-LN(2)/2))/(LN(2)/2)*BL117*BO117*VLOOKUP('Données projet'!$B$11,Paramètres!$A$1:$I$89,3,0)*0.475*44/12</f>
        <v>5.745692273904214</v>
      </c>
      <c r="BS117" s="22">
        <f t="shared" si="63"/>
        <v>71.207378480311746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8.8449999999999989</v>
      </c>
      <c r="BX117" s="12">
        <f t="array" ref="BX117">INDEX(BW:BW,MIN(IF(ISNUMBER(BW117:BW313),ROW(BW117:BW313),"")))</f>
        <v>8.8449999999999989</v>
      </c>
      <c r="BY117" s="12">
        <f>IF('Données projet'!$A$114&gt;35,BY116+BX117-CG116,IF(A117&lt;'Données projet'!$A$114,$BV$205^A117,IF(A117='Données projet'!$A$114,'Données projet'!$B$114,BY116+BX117-CG116)))</f>
        <v>424.56000000000074</v>
      </c>
      <c r="BZ117" s="13">
        <f>BY117*VLOOKUP('Données projet'!$B$12,Paramètres!$A$1:$I$89,3,0)*VLOOKUP('Données projet'!$B$12,Paramètres!$A$1:$I$89,5,0)</f>
        <v>456.99638400000077</v>
      </c>
      <c r="CA117" s="13">
        <f t="shared" si="93"/>
        <v>103.24071007221448</v>
      </c>
      <c r="CB117" s="20">
        <f t="shared" si="64"/>
        <v>975.74627217577506</v>
      </c>
      <c r="CC117" s="59">
        <f t="shared" si="65"/>
        <v>1269.0796055091084</v>
      </c>
      <c r="CD117" s="59">
        <f ca="1">AVERAGE(OFFSET($CC$3,0,0,'Données projet'!$E$12+1,1))-AVERAGE(OFFSET($H$3,0,0,'Données projet'!$E$12+1,1))</f>
        <v>747.18304127457918</v>
      </c>
      <c r="CE117" s="59">
        <f t="shared" si="94"/>
        <v>327.03701004966723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61.860000000000014</v>
      </c>
      <c r="CH117" s="16">
        <f>IF(ISNA(VLOOKUP(A117,'Données projet'!$A$113:$I$133,5,0)),0%,VLOOKUP(A117,'Données projet'!$A$113:$I$133,5,0)*VLOOKUP('Données projet'!$B$12,Paramètres!$A$1:$I$89,7,0))</f>
        <v>0.15049999999999999</v>
      </c>
      <c r="CI117" s="16">
        <f>IF(ISNA(VLOOKUP(A117,'Données projet'!$A$113:$I$133,6,0)),0%,VLOOKUP(A117,'Données projet'!$A$113:$I$133,6,0)*VLOOKUP('Données projet'!$B$12,Paramètres!$A$1:$I$89,7,0))</f>
        <v>8.6000000000000007E-2</v>
      </c>
      <c r="CJ117" s="16">
        <f>IF(ISNA(VLOOKUP(A117,'Données projet'!$A$113:$I$133,7,0)),0%,VLOOKUP(A117,'Données projet'!$A$113:$I$133,7,0))</f>
        <v>0.1</v>
      </c>
      <c r="CK117" s="21">
        <f>EXP(-LN(2)/35)*CK116+(1-EXP(-LN(2)/35))/(LN(2)/35)*CG117*CH117*VLOOKUP('Données projet'!$B$12,Paramètres!$A$1:$I$89,3,0)*0.475*44/12</f>
        <v>43.376472460137194</v>
      </c>
      <c r="CL117" s="21">
        <f>EXP(-LN(2)/25)*CL116+(1-EXP(-LN(2)/25))/(LN(2)/25)*Calculateur!CG117*Calculateur!CI117*VLOOKUP('Données projet'!$B$12,Paramètres!$A$1:$I$89,3,0)*0.475*44/12</f>
        <v>30.670352920881161</v>
      </c>
      <c r="CM117" s="21">
        <f>EXP(-LN(2)/2)*CM116+(1-EXP(-LN(2)/2))/(LN(2)/2)*CG117*CJ117*VLOOKUP('Données projet'!$B$12,Paramètres!$A$1:$I$89,3,0)*0.475*44/12</f>
        <v>6.4992256868752589</v>
      </c>
      <c r="CN117" s="22">
        <f t="shared" si="66"/>
        <v>80.546051067893615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8.8449999999999989</v>
      </c>
      <c r="CS117" s="12">
        <f t="array" ref="CS117">INDEX(CR:CR,MIN(IF(ISNUMBER(CR117:CR313),ROW(CR117:CR313),"")))</f>
        <v>8.8449999999999989</v>
      </c>
      <c r="CT117" s="12">
        <f>IF('Données projet'!$A$140&gt;35,CT116+CS117-DB116,IF(A117&lt;'Données projet'!$A$140,$CQ$205^A117,IF(A117='Données projet'!$A$140,'Données projet'!$B$140,CT116+CS117-DB116)))</f>
        <v>424.56000000000074</v>
      </c>
      <c r="CU117" s="17">
        <f>CT117*VLOOKUP('Données projet'!$B$13,Paramètres!$A$1:$I$89,3,0)*VLOOKUP('Données projet'!$B$13,Paramètres!$A$1:$I$89,5,0)</f>
        <v>410.63443200000069</v>
      </c>
      <c r="CV117" s="13">
        <f t="shared" si="95"/>
        <v>93.929329705034803</v>
      </c>
      <c r="CW117" s="20">
        <f t="shared" si="67"/>
        <v>878.78188496960354</v>
      </c>
      <c r="CX117" s="59">
        <f t="shared" si="68"/>
        <v>1172.1152183029369</v>
      </c>
      <c r="CY117" s="59">
        <f ca="1">AVERAGE(OFFSET($CX$3,0,0,'Données projet'!$E$13+1,1))-AVERAGE(OFFSET($H$3,0,0,'Données projet'!$E$13+1,1))</f>
        <v>676.29219382388692</v>
      </c>
      <c r="CZ117" s="59">
        <f t="shared" si="96"/>
        <v>298.25577221580448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61.860000000000014</v>
      </c>
      <c r="DC117" s="16">
        <f>IF(ISNA(VLOOKUP(A117,'Données projet'!$A$139:$I$159,5,0)),0%,VLOOKUP(A117,'Données projet'!$A$139:$I$159,5,0)*VLOOKUP('Données projet'!$B$13,Paramètres!$A$1:$I$89,7,0))</f>
        <v>0.15049999999999999</v>
      </c>
      <c r="DD117" s="16">
        <f>IF(ISNA(VLOOKUP(A117,'Données projet'!$A$139:$I$159,6,0)),0%,VLOOKUP(A117,'Données projet'!$A$139:$I$159,6,0)*VLOOKUP('Données projet'!$B$13,Paramètres!$A$1:$I$89,7,0))</f>
        <v>8.6000000000000007E-2</v>
      </c>
      <c r="DE117" s="16">
        <f>IF(ISNA(VLOOKUP(A117,'Données projet'!$A$139:$I$159,7,0)),0%,VLOOKUP(A117,'Données projet'!$A$139:$I$159,7,0))</f>
        <v>0.1</v>
      </c>
      <c r="DF117" s="21">
        <f>EXP(-LN(2)/35)*DF116+(1-EXP(-LN(2)/35))/(LN(2)/35)*DB117*DC117*VLOOKUP('Données projet'!$B$13,Paramètres!$A$1:$I$89,3,0)*0.475*44/12</f>
        <v>38.975960761282707</v>
      </c>
      <c r="DG117" s="21">
        <f>EXP(-LN(2)/25)*DG116+(1-EXP(-LN(2)/25))/(LN(2)/25)*Calculateur!DB117*Calculateur!DD117*VLOOKUP('Données projet'!$B$13,Paramètres!$A$1:$I$89,3,0)*0.475*44/12</f>
        <v>27.558867841951191</v>
      </c>
      <c r="DH117" s="21">
        <f>EXP(-LN(2)/2)*DH116+(1-EXP(-LN(2)/2))/(LN(2)/2)*DB117*DE117*VLOOKUP('Données projet'!$B$13,Paramètres!$A$1:$I$89,3,0)*0.475*44/12</f>
        <v>5.8398839505255955</v>
      </c>
      <c r="DI117" s="22">
        <f t="shared" si="69"/>
        <v>72.374712553759494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-1.1368683772161603E-13</v>
      </c>
      <c r="EK117" s="17">
        <f>EJ117*VLOOKUP('Données projet'!$B$15,Paramètres!$A$1:$I$89,3,0)*VLOOKUP('Données projet'!$B$15,Paramètres!$A$1:$I$89,5,0)</f>
        <v>-8.8675733422860506E-14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197.51452239559433</v>
      </c>
      <c r="EP117" s="59">
        <f t="shared" si="100"/>
        <v>196.65166921588821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11.305530615940961</v>
      </c>
      <c r="EW117" s="21">
        <f>EXP(-LN(2)/25)*EW116+(1-EXP(-LN(2)/25))/(LN(2)/25)*Calculateur!ER117*Calculateur!ET117*VLOOKUP('Données projet'!$B$15,Paramètres!$A$1:$I$89,3,0)*0.475*44/12</f>
        <v>7.7933259343065151</v>
      </c>
      <c r="EX117" s="21">
        <f>EXP(-LN(2)/2)*EX116+(1-EXP(-LN(2)/2))/(LN(2)/2)*ER117*EU117*VLOOKUP('Données projet'!$B$15,Paramètres!$A$1:$I$89,3,0)*0.475*44/12</f>
        <v>6.5658329249885479E-6</v>
      </c>
      <c r="EY117" s="22">
        <f t="shared" si="75"/>
        <v>19.098863116080402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1016.0559952426263</v>
      </c>
      <c r="S118" s="59">
        <f ca="1">AVERAGE(OFFSET($R$3,0,0,'Données projet'!$E$9+1,1))-AVERAGE(OFFSET($H$3,0,0,'Données projet'!$E$9+1,1))</f>
        <v>635.71275911100679</v>
      </c>
      <c r="T118" s="59">
        <f t="shared" si="88"/>
        <v>281.7776857269169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8.9160000000000021</v>
      </c>
      <c r="AI118" s="13">
        <f>IF('Données projet'!$A$62&gt;35,AI117+AH118-AQ117,IF(A118&lt;'Données projet'!$A$62,$AF$205^A118,IF(A118='Données projet'!$A$62,'Données projet'!$B$62,AI117+AH118-AQ117)))</f>
        <v>371.61600000000072</v>
      </c>
      <c r="AJ118" s="13">
        <f>AI118*VLOOKUP('Données projet'!$B$10,Paramètres!$A$1:$I$89,3,0)*VLOOKUP('Données projet'!$B$10,Paramètres!$A$1:$I$89,5,0)</f>
        <v>376.81862400000074</v>
      </c>
      <c r="AK118" s="13">
        <f t="shared" si="89"/>
        <v>87.06079278989921</v>
      </c>
      <c r="AL118" s="20">
        <f t="shared" si="58"/>
        <v>807.92331757574232</v>
      </c>
      <c r="AM118" s="59">
        <f t="shared" si="59"/>
        <v>1101.2566509090757</v>
      </c>
      <c r="AN118" s="59">
        <f ca="1">AVERAGE(OFFSET($AM$3,0,0,'Données projet'!$E$10+1,1))-AVERAGE(OFFSET($H$3,0,0,'Données projet'!$E$10+1,1))</f>
        <v>706.69239849991595</v>
      </c>
      <c r="AO118" s="59">
        <f t="shared" si="90"/>
        <v>310.59887275116529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40.060617521665655</v>
      </c>
      <c r="AV118" s="21">
        <f>EXP(-LN(2)/25)*AV117+(1-EXP(-LN(2)/25))/(LN(2)/25)*Calculateur!AQ118*Calculateur!AS118*VLOOKUP('Données projet'!$B$10,Paramètres!$A$1:$I$89,3,0)*0.475*44/12</f>
        <v>28.102298304049775</v>
      </c>
      <c r="AW118" s="21">
        <f>EXP(-LN(2)/2)*AW117+(1-EXP(-LN(2)/2))/(LN(2)/2)*AQ118*AT118*VLOOKUP('Données projet'!$B$10,Paramètres!$A$1:$I$89,3,0)*0.475*44/12</f>
        <v>4.3292322625700601</v>
      </c>
      <c r="AX118" s="21">
        <f t="shared" si="60"/>
        <v>72.492148088285489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353.62978560000073</v>
      </c>
      <c r="BF118" s="13">
        <f t="shared" si="91"/>
        <v>82.309472398648566</v>
      </c>
      <c r="BG118" s="20">
        <f t="shared" si="61"/>
        <v>759.26087434764747</v>
      </c>
      <c r="BH118" s="59">
        <f t="shared" si="62"/>
        <v>1052.5942076809808</v>
      </c>
      <c r="BI118" s="59">
        <f ca="1">AVERAGE(OFFSET($BH$3,0,0,'Données projet'!$E$11+1,1))-AVERAGE(OFFSET($H$3,0,0,'Données projet'!$E$11+1,1))</f>
        <v>666.1523645983184</v>
      </c>
      <c r="BJ118" s="59">
        <f t="shared" si="92"/>
        <v>294.13851344047526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37.595348751101625</v>
      </c>
      <c r="BQ118" s="21">
        <f>EXP(-LN(2)/25)*BQ117+(1-EXP(-LN(2)/25))/(LN(2)/25)*Calculateur!BL118*Calculateur!BN118*VLOOKUP('Données projet'!$B$11,Paramètres!$A$1:$I$89,3,0)*0.475*44/12</f>
        <v>26.372926100723621</v>
      </c>
      <c r="BR118" s="21">
        <f>EXP(-LN(2)/2)*BR117+(1-EXP(-LN(2)/2))/(LN(2)/2)*BL118*BO118*VLOOKUP('Données projet'!$B$11,Paramètres!$A$1:$I$89,3,0)*0.475*44/12</f>
        <v>4.0628179694888242</v>
      </c>
      <c r="BS118" s="22">
        <f t="shared" si="63"/>
        <v>68.031092821314061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8.9160000000000021</v>
      </c>
      <c r="BY118" s="12">
        <f>IF('Données projet'!$A$114&gt;35,BY117+BX118-CG117,IF(A118&lt;'Données projet'!$A$114,$BV$205^A118,IF(A118='Données projet'!$A$114,'Données projet'!$B$114,BY117+BX118-CG117)))</f>
        <v>371.61600000000072</v>
      </c>
      <c r="BZ118" s="13">
        <f>BY118*VLOOKUP('Données projet'!$B$12,Paramètres!$A$1:$I$89,3,0)*VLOOKUP('Données projet'!$B$12,Paramètres!$A$1:$I$89,5,0)</f>
        <v>400.00746240000075</v>
      </c>
      <c r="CA118" s="13">
        <f t="shared" si="93"/>
        <v>91.778178106681182</v>
      </c>
      <c r="CB118" s="20">
        <f t="shared" si="64"/>
        <v>856.52665721580433</v>
      </c>
      <c r="CC118" s="59">
        <f t="shared" si="65"/>
        <v>1149.8599905491376</v>
      </c>
      <c r="CD118" s="59">
        <f ca="1">AVERAGE(OFFSET($CC$3,0,0,'Données projet'!$E$12+1,1))-AVERAGE(OFFSET($H$3,0,0,'Données projet'!$E$12+1,1))</f>
        <v>747.18304127457918</v>
      </c>
      <c r="CE118" s="59">
        <f t="shared" si="94"/>
        <v>327.03701004966723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42.525886292229686</v>
      </c>
      <c r="CL118" s="21">
        <f>EXP(-LN(2)/25)*CL117+(1-EXP(-LN(2)/25))/(LN(2)/25)*Calculateur!CG118*Calculateur!CI118*VLOOKUP('Données projet'!$B$12,Paramètres!$A$1:$I$89,3,0)*0.475*44/12</f>
        <v>29.831670507375904</v>
      </c>
      <c r="CM118" s="21">
        <f>EXP(-LN(2)/2)*CM117+(1-EXP(-LN(2)/2))/(LN(2)/2)*CG118*CJ118*VLOOKUP('Données projet'!$B$12,Paramètres!$A$1:$I$89,3,0)*0.475*44/12</f>
        <v>4.5956465556512933</v>
      </c>
      <c r="CN118" s="22">
        <f t="shared" si="66"/>
        <v>76.953203355256889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8.9160000000000021</v>
      </c>
      <c r="CT118" s="12">
        <f>IF('Données projet'!$A$140&gt;35,CT117+CS118-DB117,IF(A118&lt;'Données projet'!$A$140,$CQ$205^A118,IF(A118='Données projet'!$A$140,'Données projet'!$B$140,CT117+CS118-DB117)))</f>
        <v>371.61600000000072</v>
      </c>
      <c r="CU118" s="17">
        <f>CT118*VLOOKUP('Données projet'!$B$13,Paramètres!$A$1:$I$89,3,0)*VLOOKUP('Données projet'!$B$13,Paramètres!$A$1:$I$89,5,0)</f>
        <v>359.4269952000007</v>
      </c>
      <c r="CV118" s="13">
        <f t="shared" si="95"/>
        <v>83.50061468077773</v>
      </c>
      <c r="CW118" s="20">
        <f t="shared" si="67"/>
        <v>771.43225387568907</v>
      </c>
      <c r="CX118" s="59">
        <f t="shared" si="68"/>
        <v>1064.7655872090224</v>
      </c>
      <c r="CY118" s="59">
        <f ca="1">AVERAGE(OFFSET($CX$3,0,0,'Données projet'!$E$13+1,1))-AVERAGE(OFFSET($H$3,0,0,'Données projet'!$E$13+1,1))</f>
        <v>676.29219382388692</v>
      </c>
      <c r="CZ118" s="59">
        <f t="shared" si="96"/>
        <v>298.25577221580448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38.211665943742631</v>
      </c>
      <c r="DG118" s="21">
        <f>EXP(-LN(2)/25)*DG117+(1-EXP(-LN(2)/25))/(LN(2)/25)*Calculateur!DB118*Calculateur!DD118*VLOOKUP('Données projet'!$B$13,Paramètres!$A$1:$I$89,3,0)*0.475*44/12</f>
        <v>26.805269151555162</v>
      </c>
      <c r="DH118" s="21">
        <f>EXP(-LN(2)/2)*DH117+(1-EXP(-LN(2)/2))/(LN(2)/2)*DB118*DE118*VLOOKUP('Données projet'!$B$13,Paramètres!$A$1:$I$89,3,0)*0.475*44/12</f>
        <v>4.1294215427591334</v>
      </c>
      <c r="DI118" s="22">
        <f t="shared" si="69"/>
        <v>69.146356638056929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-1.1368683772161603E-13</v>
      </c>
      <c r="EK118" s="17">
        <f>EJ118*VLOOKUP('Données projet'!$B$15,Paramètres!$A$1:$I$89,3,0)*VLOOKUP('Données projet'!$B$15,Paramètres!$A$1:$I$89,5,0)</f>
        <v>-8.8675733422860506E-14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197.51452239559433</v>
      </c>
      <c r="EP118" s="59">
        <f t="shared" si="100"/>
        <v>196.65166921588821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11.083836056255143</v>
      </c>
      <c r="EW118" s="21">
        <f>EXP(-LN(2)/25)*EW117+(1-EXP(-LN(2)/25))/(LN(2)/25)*Calculateur!ER118*Calculateur!ET118*VLOOKUP('Données projet'!$B$15,Paramètres!$A$1:$I$89,3,0)*0.475*44/12</f>
        <v>7.5802170267997049</v>
      </c>
      <c r="EX118" s="21">
        <f>EXP(-LN(2)/2)*EX117+(1-EXP(-LN(2)/2))/(LN(2)/2)*ER118*EU118*VLOOKUP('Données projet'!$B$15,Paramètres!$A$1:$I$89,3,0)*0.475*44/12</f>
        <v>4.6427449853973064E-6</v>
      </c>
      <c r="EY118" s="22">
        <f t="shared" si="75"/>
        <v>18.664057725799832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1033.0089968199238</v>
      </c>
      <c r="S119" s="59">
        <f ca="1">AVERAGE(OFFSET($R$3,0,0,'Données projet'!$E$9+1,1))-AVERAGE(OFFSET($H$3,0,0,'Données projet'!$E$9+1,1))</f>
        <v>635.71275911100679</v>
      </c>
      <c r="T119" s="59">
        <f t="shared" si="88"/>
        <v>281.7776857269169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8.9160000000000021</v>
      </c>
      <c r="AI119" s="13">
        <f>IF('Données projet'!$A$62&gt;35,AI118+AH119-AQ118,IF(A119&lt;'Données projet'!$A$62,$AF$205^A119,IF(A119='Données projet'!$A$62,'Données projet'!$B$62,AI118+AH119-AQ118)))</f>
        <v>380.53200000000072</v>
      </c>
      <c r="AJ119" s="13">
        <f>AI119*VLOOKUP('Données projet'!$B$10,Paramètres!$A$1:$I$89,3,0)*VLOOKUP('Données projet'!$B$10,Paramètres!$A$1:$I$89,5,0)</f>
        <v>385.85944800000078</v>
      </c>
      <c r="AK119" s="13">
        <f t="shared" si="89"/>
        <v>88.903907976148645</v>
      </c>
      <c r="AL119" s="20">
        <f t="shared" si="58"/>
        <v>826.87951165846027</v>
      </c>
      <c r="AM119" s="59">
        <f t="shared" si="59"/>
        <v>1120.2128449917936</v>
      </c>
      <c r="AN119" s="59">
        <f ca="1">AVERAGE(OFFSET($AM$3,0,0,'Données projet'!$E$10+1,1))-AVERAGE(OFFSET($H$3,0,0,'Données projet'!$E$10+1,1))</f>
        <v>706.69239849991595</v>
      </c>
      <c r="AO119" s="59">
        <f t="shared" si="90"/>
        <v>310.59887275116529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39.275053246629767</v>
      </c>
      <c r="AV119" s="21">
        <f>EXP(-LN(2)/25)*AV118+(1-EXP(-LN(2)/25))/(LN(2)/25)*Calculateur!AQ119*Calculateur!AS119*VLOOKUP('Données projet'!$B$10,Paramètres!$A$1:$I$89,3,0)*0.475*44/12</f>
        <v>27.333839479089896</v>
      </c>
      <c r="AW119" s="21">
        <f>EXP(-LN(2)/2)*AW118+(1-EXP(-LN(2)/2))/(LN(2)/2)*AQ119*AT119*VLOOKUP('Données projet'!$B$10,Paramètres!$A$1:$I$89,3,0)*0.475*44/12</f>
        <v>3.0612294901948696</v>
      </c>
      <c r="AX119" s="21">
        <f t="shared" si="60"/>
        <v>69.670122215914546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362.11425120000069</v>
      </c>
      <c r="BF119" s="13">
        <f t="shared" si="91"/>
        <v>84.052000047302485</v>
      </c>
      <c r="BG119" s="20">
        <f t="shared" si="61"/>
        <v>777.07288758905304</v>
      </c>
      <c r="BH119" s="59">
        <f t="shared" si="62"/>
        <v>1070.4062209223864</v>
      </c>
      <c r="BI119" s="59">
        <f ca="1">AVERAGE(OFFSET($BH$3,0,0,'Données projet'!$E$11+1,1))-AVERAGE(OFFSET($H$3,0,0,'Données projet'!$E$11+1,1))</f>
        <v>666.1523645983184</v>
      </c>
      <c r="BJ119" s="59">
        <f t="shared" si="92"/>
        <v>294.13851344047526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36.858126892991024</v>
      </c>
      <c r="BQ119" s="21">
        <f>EXP(-LN(2)/25)*BQ118+(1-EXP(-LN(2)/25))/(LN(2)/25)*Calculateur!BL119*Calculateur!BN119*VLOOKUP('Données projet'!$B$11,Paramètres!$A$1:$I$89,3,0)*0.475*44/12</f>
        <v>25.651757049607426</v>
      </c>
      <c r="BR119" s="21">
        <f>EXP(-LN(2)/2)*BR118+(1-EXP(-LN(2)/2))/(LN(2)/2)*BL119*BO119*VLOOKUP('Données projet'!$B$11,Paramètres!$A$1:$I$89,3,0)*0.475*44/12</f>
        <v>2.8728461369521074</v>
      </c>
      <c r="BS119" s="22">
        <f t="shared" si="63"/>
        <v>65.382730079550555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8.9160000000000021</v>
      </c>
      <c r="BY119" s="12">
        <f>IF('Données projet'!$A$114&gt;35,BY118+BX119-CG118,IF(A119&lt;'Données projet'!$A$114,$BV$205^A119,IF(A119='Données projet'!$A$114,'Données projet'!$B$114,BY118+BX119-CG118)))</f>
        <v>380.53200000000072</v>
      </c>
      <c r="BZ119" s="13">
        <f>BY119*VLOOKUP('Données projet'!$B$12,Paramètres!$A$1:$I$89,3,0)*VLOOKUP('Données projet'!$B$12,Paramètres!$A$1:$I$89,5,0)</f>
        <v>409.60464480000076</v>
      </c>
      <c r="CA119" s="13">
        <f t="shared" si="93"/>
        <v>93.721162410108789</v>
      </c>
      <c r="CB119" s="20">
        <f t="shared" si="64"/>
        <v>876.62578089094075</v>
      </c>
      <c r="CC119" s="59">
        <f t="shared" si="65"/>
        <v>1169.9591142242741</v>
      </c>
      <c r="CD119" s="59">
        <f ca="1">AVERAGE(OFFSET($CC$3,0,0,'Données projet'!$E$12+1,1))-AVERAGE(OFFSET($H$3,0,0,'Données projet'!$E$12+1,1))</f>
        <v>747.18304127457918</v>
      </c>
      <c r="CE119" s="59">
        <f t="shared" si="94"/>
        <v>327.03701004966723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41.69197960026851</v>
      </c>
      <c r="CL119" s="21">
        <f>EXP(-LN(2)/25)*CL118+(1-EXP(-LN(2)/25))/(LN(2)/25)*Calculateur!CG119*Calculateur!CI119*VLOOKUP('Données projet'!$B$12,Paramètres!$A$1:$I$89,3,0)*0.475*44/12</f>
        <v>29.015921908572338</v>
      </c>
      <c r="CM119" s="21">
        <f>EXP(-LN(2)/2)*CM118+(1-EXP(-LN(2)/2))/(LN(2)/2)*CG119*CJ119*VLOOKUP('Données projet'!$B$12,Paramètres!$A$1:$I$89,3,0)*0.475*44/12</f>
        <v>3.2496128434376299</v>
      </c>
      <c r="CN119" s="22">
        <f t="shared" si="66"/>
        <v>73.95751435227848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8.9160000000000021</v>
      </c>
      <c r="CT119" s="12">
        <f>IF('Données projet'!$A$140&gt;35,CT118+CS119-DB118,IF(A119&lt;'Données projet'!$A$140,$CQ$205^A119,IF(A119='Données projet'!$A$140,'Données projet'!$B$140,CT118+CS119-DB118)))</f>
        <v>380.53200000000072</v>
      </c>
      <c r="CU119" s="17">
        <f>CT119*VLOOKUP('Données projet'!$B$13,Paramètres!$A$1:$I$89,3,0)*VLOOKUP('Données projet'!$B$13,Paramètres!$A$1:$I$89,5,0)</f>
        <v>368.0505504000007</v>
      </c>
      <c r="CV119" s="13">
        <f t="shared" si="95"/>
        <v>85.26835933422592</v>
      </c>
      <c r="CW119" s="20">
        <f t="shared" si="67"/>
        <v>789.53043445377807</v>
      </c>
      <c r="CX119" s="59">
        <f t="shared" si="68"/>
        <v>1082.8637677871113</v>
      </c>
      <c r="CY119" s="59">
        <f ca="1">AVERAGE(OFFSET($CX$3,0,0,'Données projet'!$E$13+1,1))-AVERAGE(OFFSET($H$3,0,0,'Données projet'!$E$13+1,1))</f>
        <v>676.29219382388692</v>
      </c>
      <c r="CZ119" s="59">
        <f t="shared" si="96"/>
        <v>298.25577221580448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37.462358481400706</v>
      </c>
      <c r="DG119" s="21">
        <f>EXP(-LN(2)/25)*DG118+(1-EXP(-LN(2)/25))/(LN(2)/25)*Calculateur!DB119*Calculateur!DD119*VLOOKUP('Données projet'!$B$13,Paramètres!$A$1:$I$89,3,0)*0.475*44/12</f>
        <v>26.072277656978045</v>
      </c>
      <c r="DH119" s="21">
        <f>EXP(-LN(2)/2)*DH118+(1-EXP(-LN(2)/2))/(LN(2)/2)*DB119*DE119*VLOOKUP('Données projet'!$B$13,Paramètres!$A$1:$I$89,3,0)*0.475*44/12</f>
        <v>2.9199419752627982</v>
      </c>
      <c r="DI119" s="22">
        <f t="shared" si="69"/>
        <v>66.454578113641546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-1.1368683772161603E-13</v>
      </c>
      <c r="EK119" s="17">
        <f>EJ119*VLOOKUP('Données projet'!$B$15,Paramètres!$A$1:$I$89,3,0)*VLOOKUP('Données projet'!$B$15,Paramètres!$A$1:$I$89,5,0)</f>
        <v>-8.8675733422860506E-14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197.51452239559433</v>
      </c>
      <c r="EP119" s="59">
        <f t="shared" si="100"/>
        <v>196.65166921588821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10.866488791664432</v>
      </c>
      <c r="EW119" s="21">
        <f>EXP(-LN(2)/25)*EW118+(1-EXP(-LN(2)/25))/(LN(2)/25)*Calculateur!ER119*Calculateur!ET119*VLOOKUP('Données projet'!$B$15,Paramètres!$A$1:$I$89,3,0)*0.475*44/12</f>
        <v>7.372935593575578</v>
      </c>
      <c r="EX119" s="21">
        <f>EXP(-LN(2)/2)*EX118+(1-EXP(-LN(2)/2))/(LN(2)/2)*ER119*EU119*VLOOKUP('Données projet'!$B$15,Paramètres!$A$1:$I$89,3,0)*0.475*44/12</f>
        <v>3.2829164624942739E-6</v>
      </c>
      <c r="EY119" s="22">
        <f t="shared" si="75"/>
        <v>18.239427668156473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1049.9540920839729</v>
      </c>
      <c r="S120" s="59">
        <f ca="1">AVERAGE(OFFSET($R$3,0,0,'Données projet'!$E$9+1,1))-AVERAGE(OFFSET($H$3,0,0,'Données projet'!$E$9+1,1))</f>
        <v>635.71275911100679</v>
      </c>
      <c r="T120" s="59">
        <f t="shared" si="88"/>
        <v>281.7776857269169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8.9160000000000021</v>
      </c>
      <c r="AI120" s="13">
        <f>IF('Données projet'!$A$62&gt;35,AI119+AH120-AQ119,IF(A120&lt;'Données projet'!$A$62,$AF$205^A120,IF(A120='Données projet'!$A$62,'Données projet'!$B$62,AI119+AH120-AQ119)))</f>
        <v>389.44800000000072</v>
      </c>
      <c r="AJ120" s="13">
        <f>AI120*VLOOKUP('Données projet'!$B$10,Paramètres!$A$1:$I$89,3,0)*VLOOKUP('Données projet'!$B$10,Paramètres!$A$1:$I$89,5,0)</f>
        <v>394.90027200000077</v>
      </c>
      <c r="AK120" s="13">
        <f t="shared" si="89"/>
        <v>90.742002809527918</v>
      </c>
      <c r="AL120" s="20">
        <f t="shared" si="58"/>
        <v>845.82696195992901</v>
      </c>
      <c r="AM120" s="59">
        <f t="shared" si="59"/>
        <v>1139.1602952932624</v>
      </c>
      <c r="AN120" s="59">
        <f ca="1">AVERAGE(OFFSET($AM$3,0,0,'Données projet'!$E$10+1,1))-AVERAGE(OFFSET($H$3,0,0,'Données projet'!$E$10+1,1))</f>
        <v>706.69239849991595</v>
      </c>
      <c r="AO120" s="59">
        <f t="shared" si="90"/>
        <v>310.59887275116529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38.504893407880438</v>
      </c>
      <c r="AV120" s="21">
        <f>EXP(-LN(2)/25)*AV119+(1-EXP(-LN(2)/25))/(LN(2)/25)*Calculateur!AQ120*Calculateur!AS120*VLOOKUP('Données projet'!$B$10,Paramètres!$A$1:$I$89,3,0)*0.475*44/12</f>
        <v>26.586394201110036</v>
      </c>
      <c r="AW120" s="21">
        <f>EXP(-LN(2)/2)*AW119+(1-EXP(-LN(2)/2))/(LN(2)/2)*AQ120*AT120*VLOOKUP('Données projet'!$B$10,Paramètres!$A$1:$I$89,3,0)*0.475*44/12</f>
        <v>2.1646161312850301</v>
      </c>
      <c r="AX120" s="21">
        <f t="shared" si="60"/>
        <v>67.2559037402755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370.59871680000072</v>
      </c>
      <c r="BF120" s="13">
        <f t="shared" si="91"/>
        <v>85.78978132755384</v>
      </c>
      <c r="BG120" s="20">
        <f t="shared" si="61"/>
        <v>794.87663423882407</v>
      </c>
      <c r="BH120" s="59">
        <f t="shared" si="62"/>
        <v>1088.2099675721574</v>
      </c>
      <c r="BI120" s="59">
        <f ca="1">AVERAGE(OFFSET($BH$3,0,0,'Données projet'!$E$11+1,1))-AVERAGE(OFFSET($H$3,0,0,'Données projet'!$E$11+1,1))</f>
        <v>666.1523645983184</v>
      </c>
      <c r="BJ120" s="59">
        <f t="shared" si="92"/>
        <v>294.13851344047526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36.135361505857034</v>
      </c>
      <c r="BQ120" s="21">
        <f>EXP(-LN(2)/25)*BQ119+(1-EXP(-LN(2)/25))/(LN(2)/25)*Calculateur!BL120*Calculateur!BN120*VLOOKUP('Données projet'!$B$11,Paramètres!$A$1:$I$89,3,0)*0.475*44/12</f>
        <v>24.950308404118637</v>
      </c>
      <c r="BR120" s="21">
        <f>EXP(-LN(2)/2)*BR119+(1-EXP(-LN(2)/2))/(LN(2)/2)*BL120*BO120*VLOOKUP('Données projet'!$B$11,Paramètres!$A$1:$I$89,3,0)*0.475*44/12</f>
        <v>2.0314089847444121</v>
      </c>
      <c r="BS120" s="22">
        <f t="shared" si="63"/>
        <v>63.11707889472008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8.9160000000000021</v>
      </c>
      <c r="BY120" s="12">
        <f>IF('Données projet'!$A$114&gt;35,BY119+BX120-CG119,IF(A120&lt;'Données projet'!$A$114,$BV$205^A120,IF(A120='Données projet'!$A$114,'Données projet'!$B$114,BY119+BX120-CG119)))</f>
        <v>389.44800000000072</v>
      </c>
      <c r="BZ120" s="13">
        <f>BY120*VLOOKUP('Données projet'!$B$12,Paramètres!$A$1:$I$89,3,0)*VLOOKUP('Données projet'!$B$12,Paramètres!$A$1:$I$89,5,0)</f>
        <v>419.20182720000076</v>
      </c>
      <c r="CA120" s="13">
        <f t="shared" si="93"/>
        <v>95.65885433306147</v>
      </c>
      <c r="CB120" s="20">
        <f t="shared" si="64"/>
        <v>896.71568700341675</v>
      </c>
      <c r="CC120" s="59">
        <f t="shared" si="65"/>
        <v>1190.0490203367501</v>
      </c>
      <c r="CD120" s="59">
        <f ca="1">AVERAGE(OFFSET($CC$3,0,0,'Données projet'!$E$12+1,1))-AVERAGE(OFFSET($H$3,0,0,'Données projet'!$E$12+1,1))</f>
        <v>747.18304127457918</v>
      </c>
      <c r="CE120" s="59">
        <f t="shared" si="94"/>
        <v>327.03701004966723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40.874425309903835</v>
      </c>
      <c r="CL120" s="21">
        <f>EXP(-LN(2)/25)*CL119+(1-EXP(-LN(2)/25))/(LN(2)/25)*Calculateur!CG120*Calculateur!CI120*VLOOKUP('Données projet'!$B$12,Paramètres!$A$1:$I$89,3,0)*0.475*44/12</f>
        <v>28.222479998101409</v>
      </c>
      <c r="CM120" s="21">
        <f>EXP(-LN(2)/2)*CM119+(1-EXP(-LN(2)/2))/(LN(2)/2)*CG120*CJ120*VLOOKUP('Données projet'!$B$12,Paramètres!$A$1:$I$89,3,0)*0.475*44/12</f>
        <v>2.2978232778256467</v>
      </c>
      <c r="CN120" s="22">
        <f t="shared" si="66"/>
        <v>71.39472858583089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8.9160000000000021</v>
      </c>
      <c r="CT120" s="12">
        <f>IF('Données projet'!$A$140&gt;35,CT119+CS120-DB119,IF(A120&lt;'Données projet'!$A$140,$CQ$205^A120,IF(A120='Données projet'!$A$140,'Données projet'!$B$140,CT119+CS120-DB119)))</f>
        <v>389.44800000000072</v>
      </c>
      <c r="CU120" s="17">
        <f>CT120*VLOOKUP('Données projet'!$B$13,Paramètres!$A$1:$I$89,3,0)*VLOOKUP('Données projet'!$B$13,Paramètres!$A$1:$I$89,5,0)</f>
        <v>376.6741056000007</v>
      </c>
      <c r="CV120" s="13">
        <f t="shared" si="95"/>
        <v>87.031288932157821</v>
      </c>
      <c r="CW120" s="20">
        <f t="shared" si="67"/>
        <v>807.62022881017595</v>
      </c>
      <c r="CX120" s="59">
        <f t="shared" si="68"/>
        <v>1100.9535621435093</v>
      </c>
      <c r="CY120" s="59">
        <f ca="1">AVERAGE(OFFSET($CX$3,0,0,'Données projet'!$E$13+1,1))-AVERAGE(OFFSET($H$3,0,0,'Données projet'!$E$13+1,1))</f>
        <v>676.29219382388692</v>
      </c>
      <c r="CZ120" s="59">
        <f t="shared" si="96"/>
        <v>298.25577221580448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36.727744481362883</v>
      </c>
      <c r="DG120" s="21">
        <f>EXP(-LN(2)/25)*DG119+(1-EXP(-LN(2)/25))/(LN(2)/25)*Calculateur!DB120*Calculateur!DD120*VLOOKUP('Données projet'!$B$13,Paramètres!$A$1:$I$89,3,0)*0.475*44/12</f>
        <v>25.359329853366486</v>
      </c>
      <c r="DH120" s="21">
        <f>EXP(-LN(2)/2)*DH119+(1-EXP(-LN(2)/2))/(LN(2)/2)*DB120*DE120*VLOOKUP('Données projet'!$B$13,Paramètres!$A$1:$I$89,3,0)*0.475*44/12</f>
        <v>2.0647107713795672</v>
      </c>
      <c r="DI120" s="22">
        <f t="shared" si="69"/>
        <v>64.151785106108932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-1.1368683772161603E-13</v>
      </c>
      <c r="EK120" s="17">
        <f>EJ120*VLOOKUP('Données projet'!$B$15,Paramètres!$A$1:$I$89,3,0)*VLOOKUP('Données projet'!$B$15,Paramètres!$A$1:$I$89,5,0)</f>
        <v>-8.8675733422860506E-14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197.51452239559433</v>
      </c>
      <c r="EP120" s="59">
        <f t="shared" si="100"/>
        <v>196.65166921588821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10.653403574363605</v>
      </c>
      <c r="EW120" s="21">
        <f>EXP(-LN(2)/25)*EW119+(1-EXP(-LN(2)/25))/(LN(2)/25)*Calculateur!ER120*Calculateur!ET120*VLOOKUP('Données projet'!$B$15,Paramètres!$A$1:$I$89,3,0)*0.475*44/12</f>
        <v>7.1713222820434224</v>
      </c>
      <c r="EX120" s="21">
        <f>EXP(-LN(2)/2)*EX119+(1-EXP(-LN(2)/2))/(LN(2)/2)*ER120*EU120*VLOOKUP('Données projet'!$B$15,Paramètres!$A$1:$I$89,3,0)*0.475*44/12</f>
        <v>2.3213724926986532E-6</v>
      </c>
      <c r="EY120" s="22">
        <f t="shared" si="75"/>
        <v>17.824728177779519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1066.8914828772511</v>
      </c>
      <c r="S121" s="59">
        <f ca="1">AVERAGE(OFFSET($R$3,0,0,'Données projet'!$E$9+1,1))-AVERAGE(OFFSET($H$3,0,0,'Données projet'!$E$9+1,1))</f>
        <v>635.71275911100679</v>
      </c>
      <c r="T121" s="59">
        <f t="shared" si="88"/>
        <v>281.7776857269169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8.9160000000000021</v>
      </c>
      <c r="AI121" s="13">
        <f>IF('Données projet'!$A$62&gt;35,AI120+AH121-AQ120,IF(A121&lt;'Données projet'!$A$62,$AF$205^A121,IF(A121='Données projet'!$A$62,'Données projet'!$B$62,AI120+AH121-AQ120)))</f>
        <v>398.36400000000071</v>
      </c>
      <c r="AJ121" s="13">
        <f>AI121*VLOOKUP('Données projet'!$B$10,Paramètres!$A$1:$I$89,3,0)*VLOOKUP('Données projet'!$B$10,Paramètres!$A$1:$I$89,5,0)</f>
        <v>403.9410960000007</v>
      </c>
      <c r="AK121" s="13">
        <f t="shared" si="89"/>
        <v>92.575205456026652</v>
      </c>
      <c r="AL121" s="20">
        <f t="shared" si="58"/>
        <v>864.76589170258092</v>
      </c>
      <c r="AM121" s="59">
        <f t="shared" si="59"/>
        <v>1158.0992250359143</v>
      </c>
      <c r="AN121" s="59">
        <f ca="1">AVERAGE(OFFSET($AM$3,0,0,'Données projet'!$E$10+1,1))-AVERAGE(OFFSET($H$3,0,0,'Données projet'!$E$10+1,1))</f>
        <v>706.69239849991595</v>
      </c>
      <c r="AO121" s="59">
        <f t="shared" si="90"/>
        <v>310.59887275116529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37.749835933817863</v>
      </c>
      <c r="AV121" s="21">
        <f>EXP(-LN(2)/25)*AV120+(1-EXP(-LN(2)/25))/(LN(2)/25)*Calculateur!AQ121*Calculateur!AS121*VLOOKUP('Données projet'!$B$10,Paramètres!$A$1:$I$89,3,0)*0.475*44/12</f>
        <v>25.859387853562975</v>
      </c>
      <c r="AW121" s="21">
        <f>EXP(-LN(2)/2)*AW120+(1-EXP(-LN(2)/2))/(LN(2)/2)*AQ121*AT121*VLOOKUP('Données projet'!$B$10,Paramètres!$A$1:$I$89,3,0)*0.475*44/12</f>
        <v>1.5306147450974348</v>
      </c>
      <c r="AX121" s="21">
        <f t="shared" si="60"/>
        <v>65.139838532478279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379.08318240000068</v>
      </c>
      <c r="BF121" s="13">
        <f t="shared" si="91"/>
        <v>87.522937410766346</v>
      </c>
      <c r="BG121" s="20">
        <f t="shared" si="61"/>
        <v>812.67232533708591</v>
      </c>
      <c r="BH121" s="59">
        <f t="shared" si="62"/>
        <v>1106.0056586704193</v>
      </c>
      <c r="BI121" s="59">
        <f ca="1">AVERAGE(OFFSET($BH$3,0,0,'Données projet'!$E$11+1,1))-AVERAGE(OFFSET($H$3,0,0,'Données projet'!$E$11+1,1))</f>
        <v>666.1523645983184</v>
      </c>
      <c r="BJ121" s="59">
        <f t="shared" si="92"/>
        <v>294.13851344047526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35.426769107121387</v>
      </c>
      <c r="BQ121" s="21">
        <f>EXP(-LN(2)/25)*BQ120+(1-EXP(-LN(2)/25))/(LN(2)/25)*Calculateur!BL121*Calculateur!BN121*VLOOKUP('Données projet'!$B$11,Paramètres!$A$1:$I$89,3,0)*0.475*44/12</f>
        <v>24.26804090872832</v>
      </c>
      <c r="BR121" s="21">
        <f>EXP(-LN(2)/2)*BR120+(1-EXP(-LN(2)/2))/(LN(2)/2)*BL121*BO121*VLOOKUP('Données projet'!$B$11,Paramètres!$A$1:$I$89,3,0)*0.475*44/12</f>
        <v>1.4364230684760537</v>
      </c>
      <c r="BS121" s="22">
        <f t="shared" si="63"/>
        <v>61.131233084325764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8.9160000000000021</v>
      </c>
      <c r="BY121" s="12">
        <f>IF('Données projet'!$A$114&gt;35,BY120+BX121-CG120,IF(A121&lt;'Données projet'!$A$114,$BV$205^A121,IF(A121='Données projet'!$A$114,'Données projet'!$B$114,BY120+BX121-CG120)))</f>
        <v>398.36400000000071</v>
      </c>
      <c r="BZ121" s="13">
        <f>BY121*VLOOKUP('Données projet'!$B$12,Paramètres!$A$1:$I$89,3,0)*VLOOKUP('Données projet'!$B$12,Paramètres!$A$1:$I$89,5,0)</f>
        <v>428.79900960000077</v>
      </c>
      <c r="CA121" s="13">
        <f t="shared" si="93"/>
        <v>97.59138898619787</v>
      </c>
      <c r="CB121" s="20">
        <f t="shared" si="64"/>
        <v>916.79661087096258</v>
      </c>
      <c r="CC121" s="59">
        <f t="shared" si="65"/>
        <v>1210.129944204296</v>
      </c>
      <c r="CD121" s="59">
        <f ca="1">AVERAGE(OFFSET($CC$3,0,0,'Données projet'!$E$12+1,1))-AVERAGE(OFFSET($H$3,0,0,'Données projet'!$E$12+1,1))</f>
        <v>747.18304127457918</v>
      </c>
      <c r="CE121" s="59">
        <f t="shared" si="94"/>
        <v>327.03701004966723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40.072902760514332</v>
      </c>
      <c r="CL121" s="21">
        <f>EXP(-LN(2)/25)*CL120+(1-EXP(-LN(2)/25))/(LN(2)/25)*Calculateur!CG121*Calculateur!CI121*VLOOKUP('Données projet'!$B$12,Paramètres!$A$1:$I$89,3,0)*0.475*44/12</f>
        <v>27.450734798397608</v>
      </c>
      <c r="CM121" s="21">
        <f>EXP(-LN(2)/2)*CM120+(1-EXP(-LN(2)/2))/(LN(2)/2)*CG121*CJ121*VLOOKUP('Données projet'!$B$12,Paramètres!$A$1:$I$89,3,0)*0.475*44/12</f>
        <v>1.624806421718815</v>
      </c>
      <c r="CN121" s="22">
        <f t="shared" si="66"/>
        <v>69.148443980630759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8.9160000000000021</v>
      </c>
      <c r="CT121" s="12">
        <f>IF('Données projet'!$A$140&gt;35,CT120+CS121-DB120,IF(A121&lt;'Données projet'!$A$140,$CQ$205^A121,IF(A121='Données projet'!$A$140,'Données projet'!$B$140,CT120+CS121-DB120)))</f>
        <v>398.36400000000071</v>
      </c>
      <c r="CU121" s="17">
        <f>CT121*VLOOKUP('Données projet'!$B$13,Paramètres!$A$1:$I$89,3,0)*VLOOKUP('Données projet'!$B$13,Paramètres!$A$1:$I$89,5,0)</f>
        <v>385.2976608000007</v>
      </c>
      <c r="CV121" s="13">
        <f t="shared" si="95"/>
        <v>88.789526399469665</v>
      </c>
      <c r="CW121" s="20">
        <f t="shared" si="67"/>
        <v>825.7018510390775</v>
      </c>
      <c r="CX121" s="59">
        <f t="shared" si="68"/>
        <v>1119.0351843724109</v>
      </c>
      <c r="CY121" s="59">
        <f ca="1">AVERAGE(OFFSET($CX$3,0,0,'Données projet'!$E$13+1,1))-AVERAGE(OFFSET($H$3,0,0,'Données projet'!$E$13+1,1))</f>
        <v>676.29219382388692</v>
      </c>
      <c r="CZ121" s="59">
        <f t="shared" si="96"/>
        <v>298.25577221580448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36.007535813795506</v>
      </c>
      <c r="DG121" s="21">
        <f>EXP(-LN(2)/25)*DG120+(1-EXP(-LN(2)/25))/(LN(2)/25)*Calculateur!DB121*Calculateur!DD121*VLOOKUP('Données projet'!$B$13,Paramètres!$A$1:$I$89,3,0)*0.475*44/12</f>
        <v>24.66587764493698</v>
      </c>
      <c r="DH121" s="21">
        <f>EXP(-LN(2)/2)*DH120+(1-EXP(-LN(2)/2))/(LN(2)/2)*DB121*DE121*VLOOKUP('Données projet'!$B$13,Paramètres!$A$1:$I$89,3,0)*0.475*44/12</f>
        <v>1.4599709876313995</v>
      </c>
      <c r="DI121" s="22">
        <f t="shared" si="69"/>
        <v>62.133384446363884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-1.1368683772161603E-13</v>
      </c>
      <c r="EK121" s="17">
        <f>EJ121*VLOOKUP('Données projet'!$B$15,Paramètres!$A$1:$I$89,3,0)*VLOOKUP('Données projet'!$B$15,Paramètres!$A$1:$I$89,5,0)</f>
        <v>-8.8675733422860506E-14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197.51452239559433</v>
      </c>
      <c r="EP121" s="59">
        <f t="shared" si="100"/>
        <v>196.65166921588821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10.444496828204898</v>
      </c>
      <c r="EW121" s="21">
        <f>EXP(-LN(2)/25)*EW120+(1-EXP(-LN(2)/25))/(LN(2)/25)*Calculateur!ER121*Calculateur!ET121*VLOOKUP('Données projet'!$B$15,Paramètres!$A$1:$I$89,3,0)*0.475*44/12</f>
        <v>6.9752220971174967</v>
      </c>
      <c r="EX121" s="21">
        <f>EXP(-LN(2)/2)*EX120+(1-EXP(-LN(2)/2))/(LN(2)/2)*ER121*EU121*VLOOKUP('Données projet'!$B$15,Paramètres!$A$1:$I$89,3,0)*0.475*44/12</f>
        <v>1.641458231247137E-6</v>
      </c>
      <c r="EY121" s="22">
        <f t="shared" si="75"/>
        <v>17.419720566780622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1083.8213614913484</v>
      </c>
      <c r="S122" s="59">
        <f ca="1">AVERAGE(OFFSET($R$3,0,0,'Données projet'!$E$9+1,1))-AVERAGE(OFFSET($H$3,0,0,'Données projet'!$E$9+1,1))</f>
        <v>635.71275911100679</v>
      </c>
      <c r="T122" s="59">
        <f t="shared" si="88"/>
        <v>281.7776857269169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8.9160000000000021</v>
      </c>
      <c r="AI122" s="13">
        <f>IF('Données projet'!$A$62&gt;35,AI121+AH122-AQ121,IF(A122&lt;'Données projet'!$A$62,$AF$205^A122,IF(A122='Données projet'!$A$62,'Données projet'!$B$62,AI121+AH122-AQ121)))</f>
        <v>407.28000000000071</v>
      </c>
      <c r="AJ122" s="13">
        <f>AI122*VLOOKUP('Données projet'!$B$10,Paramètres!$A$1:$I$89,3,0)*VLOOKUP('Données projet'!$B$10,Paramètres!$A$1:$I$89,5,0)</f>
        <v>412.98192000000074</v>
      </c>
      <c r="AK122" s="13">
        <f t="shared" si="89"/>
        <v>94.403638017009513</v>
      </c>
      <c r="AL122" s="20">
        <f t="shared" si="58"/>
        <v>883.69651354629275</v>
      </c>
      <c r="AM122" s="59">
        <f t="shared" si="59"/>
        <v>1177.0298468796261</v>
      </c>
      <c r="AN122" s="59">
        <f ca="1">AVERAGE(OFFSET($AM$3,0,0,'Données projet'!$E$10+1,1))-AVERAGE(OFFSET($H$3,0,0,'Données projet'!$E$10+1,1))</f>
        <v>706.69239849991595</v>
      </c>
      <c r="AO122" s="59">
        <f t="shared" si="90"/>
        <v>310.59887275116529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37.009584676282074</v>
      </c>
      <c r="AV122" s="21">
        <f>EXP(-LN(2)/25)*AV121+(1-EXP(-LN(2)/25))/(LN(2)/25)*Calculateur!AQ122*Calculateur!AS122*VLOOKUP('Données projet'!$B$10,Paramètres!$A$1:$I$89,3,0)*0.475*44/12</f>
        <v>25.152261532821189</v>
      </c>
      <c r="AW122" s="21">
        <f>EXP(-LN(2)/2)*AW121+(1-EXP(-LN(2)/2))/(LN(2)/2)*AQ122*AT122*VLOOKUP('Données projet'!$B$10,Paramètres!$A$1:$I$89,3,0)*0.475*44/12</f>
        <v>1.082308065642515</v>
      </c>
      <c r="AX122" s="21">
        <f t="shared" si="60"/>
        <v>63.244154274745775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387.56764800000064</v>
      </c>
      <c r="BF122" s="13">
        <f t="shared" si="91"/>
        <v>89.251583734654062</v>
      </c>
      <c r="BG122" s="20">
        <f t="shared" si="61"/>
        <v>830.46016193785681</v>
      </c>
      <c r="BH122" s="59">
        <f t="shared" si="62"/>
        <v>1123.7934952711901</v>
      </c>
      <c r="BI122" s="59">
        <f ca="1">AVERAGE(OFFSET($BH$3,0,0,'Données projet'!$E$11+1,1))-AVERAGE(OFFSET($H$3,0,0,'Données projet'!$E$11+1,1))</f>
        <v>666.1523645983184</v>
      </c>
      <c r="BJ122" s="59">
        <f t="shared" si="92"/>
        <v>294.13851344047526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34.732071773126258</v>
      </c>
      <c r="BQ122" s="21">
        <f>EXP(-LN(2)/25)*BQ121+(1-EXP(-LN(2)/25))/(LN(2)/25)*Calculateur!BL122*Calculateur!BN122*VLOOKUP('Données projet'!$B$11,Paramètres!$A$1:$I$89,3,0)*0.475*44/12</f>
        <v>23.604430053878339</v>
      </c>
      <c r="BR122" s="21">
        <f>EXP(-LN(2)/2)*BR121+(1-EXP(-LN(2)/2))/(LN(2)/2)*BL122*BO122*VLOOKUP('Données projet'!$B$11,Paramètres!$A$1:$I$89,3,0)*0.475*44/12</f>
        <v>1.0157044923722061</v>
      </c>
      <c r="BS122" s="22">
        <f t="shared" si="63"/>
        <v>59.352206319376805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8.9160000000000021</v>
      </c>
      <c r="BY122" s="12">
        <f>IF('Données projet'!$A$114&gt;35,BY121+BX122-CG121,IF(A122&lt;'Données projet'!$A$114,$BV$205^A122,IF(A122='Données projet'!$A$114,'Données projet'!$B$114,BY121+BX122-CG121)))</f>
        <v>407.28000000000071</v>
      </c>
      <c r="BZ122" s="13">
        <f>BY122*VLOOKUP('Données projet'!$B$12,Paramètres!$A$1:$I$89,3,0)*VLOOKUP('Données projet'!$B$12,Paramètres!$A$1:$I$89,5,0)</f>
        <v>438.39619200000078</v>
      </c>
      <c r="CA122" s="13">
        <f t="shared" si="93"/>
        <v>99.518895086939509</v>
      </c>
      <c r="CB122" s="20">
        <f t="shared" si="64"/>
        <v>936.86877667642091</v>
      </c>
      <c r="CC122" s="59">
        <f t="shared" si="65"/>
        <v>1230.2021100097543</v>
      </c>
      <c r="CD122" s="59">
        <f ca="1">AVERAGE(OFFSET($CC$3,0,0,'Données projet'!$E$12+1,1))-AVERAGE(OFFSET($H$3,0,0,'Données projet'!$E$12+1,1))</f>
        <v>747.18304127457918</v>
      </c>
      <c r="CE122" s="59">
        <f t="shared" si="94"/>
        <v>327.03701004966723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39.287097579437877</v>
      </c>
      <c r="CL122" s="21">
        <f>EXP(-LN(2)/25)*CL121+(1-EXP(-LN(2)/25))/(LN(2)/25)*Calculateur!CG122*Calculateur!CI122*VLOOKUP('Données projet'!$B$12,Paramètres!$A$1:$I$89,3,0)*0.475*44/12</f>
        <v>26.700093011764022</v>
      </c>
      <c r="CM122" s="21">
        <f>EXP(-LN(2)/2)*CM121+(1-EXP(-LN(2)/2))/(LN(2)/2)*CG122*CJ122*VLOOKUP('Données projet'!$B$12,Paramètres!$A$1:$I$89,3,0)*0.475*44/12</f>
        <v>1.1489116389128233</v>
      </c>
      <c r="CN122" s="22">
        <f t="shared" si="66"/>
        <v>67.136102230114716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8.9160000000000021</v>
      </c>
      <c r="CT122" s="12">
        <f>IF('Données projet'!$A$140&gt;35,CT121+CS122-DB121,IF(A122&lt;'Données projet'!$A$140,$CQ$205^A122,IF(A122='Données projet'!$A$140,'Données projet'!$B$140,CT121+CS122-DB121)))</f>
        <v>407.28000000000071</v>
      </c>
      <c r="CU122" s="17">
        <f>CT122*VLOOKUP('Données projet'!$B$13,Paramètres!$A$1:$I$89,3,0)*VLOOKUP('Données projet'!$B$13,Paramètres!$A$1:$I$89,5,0)</f>
        <v>393.9212160000007</v>
      </c>
      <c r="CV122" s="13">
        <f t="shared" si="95"/>
        <v>90.543188844433431</v>
      </c>
      <c r="CW122" s="20">
        <f t="shared" si="67"/>
        <v>843.77550510405615</v>
      </c>
      <c r="CX122" s="59">
        <f t="shared" si="68"/>
        <v>1137.1088384373895</v>
      </c>
      <c r="CY122" s="59">
        <f ca="1">AVERAGE(OFFSET($CX$3,0,0,'Données projet'!$E$13+1,1))-AVERAGE(OFFSET($H$3,0,0,'Données projet'!$E$13+1,1))</f>
        <v>676.29219382388692</v>
      </c>
      <c r="CZ122" s="59">
        <f t="shared" si="96"/>
        <v>298.25577221580448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35.30144999891521</v>
      </c>
      <c r="DG122" s="21">
        <f>EXP(-LN(2)/25)*DG121+(1-EXP(-LN(2)/25))/(LN(2)/25)*Calculateur!DB122*Calculateur!DD122*VLOOKUP('Données projet'!$B$13,Paramètres!$A$1:$I$89,3,0)*0.475*44/12</f>
        <v>23.991387923614049</v>
      </c>
      <c r="DH122" s="21">
        <f>EXP(-LN(2)/2)*DH121+(1-EXP(-LN(2)/2))/(LN(2)/2)*DB122*DE122*VLOOKUP('Données projet'!$B$13,Paramètres!$A$1:$I$89,3,0)*0.475*44/12</f>
        <v>1.0323553856897838</v>
      </c>
      <c r="DI122" s="22">
        <f t="shared" si="69"/>
        <v>60.325193308219042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-1.1368683772161603E-13</v>
      </c>
      <c r="EK122" s="17">
        <f>EJ122*VLOOKUP('Données projet'!$B$15,Paramètres!$A$1:$I$89,3,0)*VLOOKUP('Données projet'!$B$15,Paramètres!$A$1:$I$89,5,0)</f>
        <v>-8.8675733422860506E-14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197.51452239559433</v>
      </c>
      <c r="EP122" s="59">
        <f t="shared" si="100"/>
        <v>196.65166921588821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10.239686615917829</v>
      </c>
      <c r="EW122" s="21">
        <f>EXP(-LN(2)/25)*EW121+(1-EXP(-LN(2)/25))/(LN(2)/25)*Calculateur!ER122*Calculateur!ET122*VLOOKUP('Données projet'!$B$15,Paramètres!$A$1:$I$89,3,0)*0.475*44/12</f>
        <v>6.7844842820608307</v>
      </c>
      <c r="EX122" s="21">
        <f>EXP(-LN(2)/2)*EX121+(1-EXP(-LN(2)/2))/(LN(2)/2)*ER122*EU122*VLOOKUP('Données projet'!$B$15,Paramètres!$A$1:$I$89,3,0)*0.475*44/12</f>
        <v>1.1606862463493266E-6</v>
      </c>
      <c r="EY122" s="22">
        <f t="shared" si="75"/>
        <v>17.024172058664906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1100.743911317936</v>
      </c>
      <c r="S123" s="59">
        <f ca="1">AVERAGE(OFFSET($R$3,0,0,'Données projet'!$E$9+1,1))-AVERAGE(OFFSET($H$3,0,0,'Données projet'!$E$9+1,1))</f>
        <v>635.71275911100679</v>
      </c>
      <c r="T123" s="59">
        <f t="shared" si="88"/>
        <v>281.7776857269169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8.9160000000000021</v>
      </c>
      <c r="AI123" s="13">
        <f>IF('Données projet'!$A$62&gt;35,AI122+AH123-AQ122,IF(A123&lt;'Données projet'!$A$62,$AF$205^A123,IF(A123='Données projet'!$A$62,'Données projet'!$B$62,AI122+AH123-AQ122)))</f>
        <v>416.19600000000071</v>
      </c>
      <c r="AJ123" s="13">
        <f>AI123*VLOOKUP('Données projet'!$B$10,Paramètres!$A$1:$I$89,3,0)*VLOOKUP('Données projet'!$B$10,Paramètres!$A$1:$I$89,5,0)</f>
        <v>422.02274400000073</v>
      </c>
      <c r="AK123" s="13">
        <f t="shared" si="89"/>
        <v>96.227416942568027</v>
      </c>
      <c r="AL123" s="20">
        <f t="shared" si="58"/>
        <v>902.61903030830717</v>
      </c>
      <c r="AM123" s="59">
        <f t="shared" si="59"/>
        <v>1195.9523636416404</v>
      </c>
      <c r="AN123" s="59">
        <f ca="1">AVERAGE(OFFSET($AM$3,0,0,'Données projet'!$E$10+1,1))-AVERAGE(OFFSET($H$3,0,0,'Données projet'!$E$10+1,1))</f>
        <v>706.69239849991595</v>
      </c>
      <c r="AO123" s="59">
        <f t="shared" si="90"/>
        <v>310.59887275116529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36.283849294397875</v>
      </c>
      <c r="AV123" s="21">
        <f>EXP(-LN(2)/25)*AV122+(1-EXP(-LN(2)/25))/(LN(2)/25)*Calculateur!AQ123*Calculateur!AS123*VLOOKUP('Données projet'!$B$10,Paramètres!$A$1:$I$89,3,0)*0.475*44/12</f>
        <v>24.464471618506245</v>
      </c>
      <c r="AW123" s="21">
        <f>EXP(-LN(2)/2)*AW122+(1-EXP(-LN(2)/2))/(LN(2)/2)*AQ123*AT123*VLOOKUP('Données projet'!$B$10,Paramètres!$A$1:$I$89,3,0)*0.475*44/12</f>
        <v>0.76530737254871739</v>
      </c>
      <c r="AX123" s="21">
        <f t="shared" si="60"/>
        <v>61.513628285452839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396.05211360000067</v>
      </c>
      <c r="BF123" s="13">
        <f t="shared" si="91"/>
        <v>90.975830394074606</v>
      </c>
      <c r="BG123" s="20">
        <f t="shared" si="61"/>
        <v>848.24033578968101</v>
      </c>
      <c r="BH123" s="59">
        <f t="shared" si="62"/>
        <v>1141.5736691230143</v>
      </c>
      <c r="BI123" s="59">
        <f ca="1">AVERAGE(OFFSET($BH$3,0,0,'Données projet'!$E$11+1,1))-AVERAGE(OFFSET($H$3,0,0,'Données projet'!$E$11+1,1))</f>
        <v>666.1523645983184</v>
      </c>
      <c r="BJ123" s="59">
        <f t="shared" si="92"/>
        <v>294.13851344047526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34.050997030127242</v>
      </c>
      <c r="BQ123" s="21">
        <f>EXP(-LN(2)/25)*BQ122+(1-EXP(-LN(2)/25))/(LN(2)/25)*Calculateur!BL123*Calculateur!BN123*VLOOKUP('Données projet'!$B$11,Paramètres!$A$1:$I$89,3,0)*0.475*44/12</f>
        <v>22.958965672752008</v>
      </c>
      <c r="BR123" s="21">
        <f>EXP(-LN(2)/2)*BR122+(1-EXP(-LN(2)/2))/(LN(2)/2)*BL123*BO123*VLOOKUP('Données projet'!$B$11,Paramètres!$A$1:$I$89,3,0)*0.475*44/12</f>
        <v>0.71821153423802686</v>
      </c>
      <c r="BS123" s="22">
        <f t="shared" si="63"/>
        <v>57.72817423711728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8.9160000000000021</v>
      </c>
      <c r="BY123" s="12">
        <f>IF('Données projet'!$A$114&gt;35,BY122+BX123-CG122,IF(A123&lt;'Données projet'!$A$114,$BV$205^A123,IF(A123='Données projet'!$A$114,'Données projet'!$B$114,BY122+BX123-CG122)))</f>
        <v>416.19600000000071</v>
      </c>
      <c r="BZ123" s="13">
        <f>BY123*VLOOKUP('Données projet'!$B$12,Paramètres!$A$1:$I$89,3,0)*VLOOKUP('Données projet'!$B$12,Paramètres!$A$1:$I$89,5,0)</f>
        <v>447.99337440000079</v>
      </c>
      <c r="CA123" s="13">
        <f t="shared" si="93"/>
        <v>101.44149539522132</v>
      </c>
      <c r="CB123" s="20">
        <f t="shared" si="64"/>
        <v>956.9323982266784</v>
      </c>
      <c r="CC123" s="59">
        <f t="shared" si="65"/>
        <v>1250.2657315600118</v>
      </c>
      <c r="CD123" s="59">
        <f ca="1">AVERAGE(OFFSET($CC$3,0,0,'Données projet'!$E$12+1,1))-AVERAGE(OFFSET($H$3,0,0,'Données projet'!$E$12+1,1))</f>
        <v>747.18304127457918</v>
      </c>
      <c r="CE123" s="59">
        <f t="shared" si="94"/>
        <v>327.03701004966723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38.516701558668494</v>
      </c>
      <c r="CL123" s="21">
        <f>EXP(-LN(2)/25)*CL122+(1-EXP(-LN(2)/25))/(LN(2)/25)*Calculateur!CG123*Calculateur!CI123*VLOOKUP('Données projet'!$B$12,Paramètres!$A$1:$I$89,3,0)*0.475*44/12</f>
        <v>25.969977564260468</v>
      </c>
      <c r="CM123" s="21">
        <f>EXP(-LN(2)/2)*CM122+(1-EXP(-LN(2)/2))/(LN(2)/2)*CG123*CJ123*VLOOKUP('Données projet'!$B$12,Paramètres!$A$1:$I$89,3,0)*0.475*44/12</f>
        <v>0.81240321085940748</v>
      </c>
      <c r="CN123" s="22">
        <f t="shared" si="66"/>
        <v>65.299082333788363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8.9160000000000021</v>
      </c>
      <c r="CT123" s="12">
        <f>IF('Données projet'!$A$140&gt;35,CT122+CS123-DB122,IF(A123&lt;'Données projet'!$A$140,$CQ$205^A123,IF(A123='Données projet'!$A$140,'Données projet'!$B$140,CT122+CS123-DB122)))</f>
        <v>416.19600000000071</v>
      </c>
      <c r="CU123" s="17">
        <f>CT123*VLOOKUP('Données projet'!$B$13,Paramètres!$A$1:$I$89,3,0)*VLOOKUP('Données projet'!$B$13,Paramètres!$A$1:$I$89,5,0)</f>
        <v>402.5447712000007</v>
      </c>
      <c r="CV123" s="13">
        <f t="shared" si="95"/>
        <v>92.292387955145458</v>
      </c>
      <c r="CW123" s="20">
        <f t="shared" si="67"/>
        <v>861.8413855285462</v>
      </c>
      <c r="CX123" s="59">
        <f t="shared" si="68"/>
        <v>1155.1747188618795</v>
      </c>
      <c r="CY123" s="59">
        <f ca="1">AVERAGE(OFFSET($CX$3,0,0,'Données projet'!$E$13+1,1))-AVERAGE(OFFSET($H$3,0,0,'Données projet'!$E$13+1,1))</f>
        <v>676.29219382388692</v>
      </c>
      <c r="CZ123" s="59">
        <f t="shared" si="96"/>
        <v>298.25577221580448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34.6092100961949</v>
      </c>
      <c r="DG123" s="21">
        <f>EXP(-LN(2)/25)*DG122+(1-EXP(-LN(2)/25))/(LN(2)/25)*Calculateur!DB123*Calculateur!DD123*VLOOKUP('Données projet'!$B$13,Paramètres!$A$1:$I$89,3,0)*0.475*44/12</f>
        <v>23.335342159190564</v>
      </c>
      <c r="DH123" s="21">
        <f>EXP(-LN(2)/2)*DH122+(1-EXP(-LN(2)/2))/(LN(2)/2)*DB123*DE123*VLOOKUP('Données projet'!$B$13,Paramètres!$A$1:$I$89,3,0)*0.475*44/12</f>
        <v>0.72998549381569988</v>
      </c>
      <c r="DI123" s="22">
        <f t="shared" si="69"/>
        <v>58.674537749201157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-1.1368683772161603E-13</v>
      </c>
      <c r="EK123" s="17">
        <f>EJ123*VLOOKUP('Données projet'!$B$15,Paramètres!$A$1:$I$89,3,0)*VLOOKUP('Données projet'!$B$15,Paramètres!$A$1:$I$89,5,0)</f>
        <v>-8.8675733422860506E-14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197.51452239559433</v>
      </c>
      <c r="EP123" s="59">
        <f t="shared" si="100"/>
        <v>196.65166921588821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10.038892606971816</v>
      </c>
      <c r="EW123" s="21">
        <f>EXP(-LN(2)/25)*EW122+(1-EXP(-LN(2)/25))/(LN(2)/25)*Calculateur!ER123*Calculateur!ET123*VLOOKUP('Données projet'!$B$15,Paramètres!$A$1:$I$89,3,0)*0.475*44/12</f>
        <v>6.5989622025873551</v>
      </c>
      <c r="EX123" s="21">
        <f>EXP(-LN(2)/2)*EX122+(1-EXP(-LN(2)/2))/(LN(2)/2)*ER123*EU123*VLOOKUP('Données projet'!$B$15,Paramètres!$A$1:$I$89,3,0)*0.475*44/12</f>
        <v>8.2072911562356849E-7</v>
      </c>
      <c r="EY123" s="22">
        <f t="shared" si="75"/>
        <v>16.637855630288289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1117.6593074423779</v>
      </c>
      <c r="S124" s="59">
        <f ca="1">AVERAGE(OFFSET($R$3,0,0,'Données projet'!$E$9+1,1))-AVERAGE(OFFSET($H$3,0,0,'Données projet'!$E$9+1,1))</f>
        <v>635.71275911100679</v>
      </c>
      <c r="T124" s="59">
        <f t="shared" si="88"/>
        <v>281.7776857269169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8.9160000000000021</v>
      </c>
      <c r="AI124" s="13">
        <f>IF('Données projet'!$A$62&gt;35,AI123+AH124-AQ123,IF(A124&lt;'Données projet'!$A$62,$AF$205^A124,IF(A124='Données projet'!$A$62,'Données projet'!$B$62,AI123+AH124-AQ123)))</f>
        <v>425.11200000000071</v>
      </c>
      <c r="AJ124" s="13">
        <f>AI124*VLOOKUP('Données projet'!$B$10,Paramètres!$A$1:$I$89,3,0)*VLOOKUP('Données projet'!$B$10,Paramètres!$A$1:$I$89,5,0)</f>
        <v>431.06356800000077</v>
      </c>
      <c r="AK124" s="13">
        <f t="shared" si="89"/>
        <v>98.046653408452883</v>
      </c>
      <c r="AL124" s="20">
        <f t="shared" si="58"/>
        <v>921.53363561972344</v>
      </c>
      <c r="AM124" s="59">
        <f t="shared" si="59"/>
        <v>1214.8669689530568</v>
      </c>
      <c r="AN124" s="59">
        <f ca="1">AVERAGE(OFFSET($AM$3,0,0,'Données projet'!$E$10+1,1))-AVERAGE(OFFSET($H$3,0,0,'Données projet'!$E$10+1,1))</f>
        <v>706.69239849991595</v>
      </c>
      <c r="AO124" s="59">
        <f t="shared" si="90"/>
        <v>310.59887275116529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35.57234514069755</v>
      </c>
      <c r="AV124" s="21">
        <f>EXP(-LN(2)/25)*AV123+(1-EXP(-LN(2)/25))/(LN(2)/25)*Calculateur!AQ124*Calculateur!AS124*VLOOKUP('Données projet'!$B$10,Paramètres!$A$1:$I$89,3,0)*0.475*44/12</f>
        <v>23.795489355567543</v>
      </c>
      <c r="AW124" s="21">
        <f>EXP(-LN(2)/2)*AW123+(1-EXP(-LN(2)/2))/(LN(2)/2)*AQ124*AT124*VLOOKUP('Données projet'!$B$10,Paramètres!$A$1:$I$89,3,0)*0.475*44/12</f>
        <v>0.54115403282125751</v>
      </c>
      <c r="AX124" s="21">
        <f t="shared" si="60"/>
        <v>59.908988529086351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404.53657920000069</v>
      </c>
      <c r="BF124" s="13">
        <f t="shared" si="91"/>
        <v>92.695782497390908</v>
      </c>
      <c r="BG124" s="20">
        <f t="shared" si="61"/>
        <v>866.01302995629032</v>
      </c>
      <c r="BH124" s="59">
        <f t="shared" si="62"/>
        <v>1159.3463632896237</v>
      </c>
      <c r="BI124" s="59">
        <f ca="1">AVERAGE(OFFSET($BH$3,0,0,'Données projet'!$E$11+1,1))-AVERAGE(OFFSET($H$3,0,0,'Données projet'!$E$11+1,1))</f>
        <v>666.1523645983184</v>
      </c>
      <c r="BJ124" s="59">
        <f t="shared" si="92"/>
        <v>294.13851344047526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33.383277747423861</v>
      </c>
      <c r="BQ124" s="21">
        <f>EXP(-LN(2)/25)*BQ123+(1-EXP(-LN(2)/25))/(LN(2)/25)*Calculateur!BL124*Calculateur!BN124*VLOOKUP('Données projet'!$B$11,Paramètres!$A$1:$I$89,3,0)*0.475*44/12</f>
        <v>22.331151549071073</v>
      </c>
      <c r="BR124" s="21">
        <f>EXP(-LN(2)/2)*BR123+(1-EXP(-LN(2)/2))/(LN(2)/2)*BL124*BO124*VLOOKUP('Données projet'!$B$11,Paramètres!$A$1:$I$89,3,0)*0.475*44/12</f>
        <v>0.50785224618610303</v>
      </c>
      <c r="BS124" s="22">
        <f t="shared" si="63"/>
        <v>56.222281542681039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8.9160000000000021</v>
      </c>
      <c r="BY124" s="12">
        <f>IF('Données projet'!$A$114&gt;35,BY123+BX124-CG123,IF(A124&lt;'Données projet'!$A$114,$BV$205^A124,IF(A124='Données projet'!$A$114,'Données projet'!$B$114,BY123+BX124-CG123)))</f>
        <v>425.11200000000071</v>
      </c>
      <c r="BZ124" s="13">
        <f>BY124*VLOOKUP('Données projet'!$B$12,Paramètres!$A$1:$I$89,3,0)*VLOOKUP('Données projet'!$B$12,Paramètres!$A$1:$I$89,5,0)</f>
        <v>457.5905568000008</v>
      </c>
      <c r="CA124" s="13">
        <f t="shared" si="93"/>
        <v>103.35930711084725</v>
      </c>
      <c r="CB124" s="20">
        <f t="shared" si="64"/>
        <v>976.987679644727</v>
      </c>
      <c r="CC124" s="59">
        <f t="shared" si="65"/>
        <v>1270.3210129780603</v>
      </c>
      <c r="CD124" s="59">
        <f ca="1">AVERAGE(OFFSET($CC$3,0,0,'Données projet'!$E$12+1,1))-AVERAGE(OFFSET($H$3,0,0,'Données projet'!$E$12+1,1))</f>
        <v>747.18304127457918</v>
      </c>
      <c r="CE124" s="59">
        <f t="shared" si="94"/>
        <v>327.03701004966723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37.761412533971225</v>
      </c>
      <c r="CL124" s="21">
        <f>EXP(-LN(2)/25)*CL123+(1-EXP(-LN(2)/25))/(LN(2)/25)*Calculateur!CG124*Calculateur!CI124*VLOOKUP('Données projet'!$B$12,Paramètres!$A$1:$I$89,3,0)*0.475*44/12</f>
        <v>25.259827162063999</v>
      </c>
      <c r="CM124" s="21">
        <f>EXP(-LN(2)/2)*CM123+(1-EXP(-LN(2)/2))/(LN(2)/2)*CG124*CJ124*VLOOKUP('Données projet'!$B$12,Paramètres!$A$1:$I$89,3,0)*0.475*44/12</f>
        <v>0.57445581945641166</v>
      </c>
      <c r="CN124" s="22">
        <f t="shared" si="66"/>
        <v>63.595695515491634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8.9160000000000021</v>
      </c>
      <c r="CT124" s="12">
        <f>IF('Données projet'!$A$140&gt;35,CT123+CS124-DB123,IF(A124&lt;'Données projet'!$A$140,$CQ$205^A124,IF(A124='Données projet'!$A$140,'Données projet'!$B$140,CT123+CS124-DB123)))</f>
        <v>425.11200000000071</v>
      </c>
      <c r="CU124" s="17">
        <f>CT124*VLOOKUP('Données projet'!$B$13,Paramètres!$A$1:$I$89,3,0)*VLOOKUP('Données projet'!$B$13,Paramètres!$A$1:$I$89,5,0)</f>
        <v>411.16832640000069</v>
      </c>
      <c r="CV124" s="13">
        <f t="shared" si="95"/>
        <v>94.037230361045417</v>
      </c>
      <c r="CW124" s="20">
        <f t="shared" si="67"/>
        <v>879.8996780254887</v>
      </c>
      <c r="CX124" s="59">
        <f t="shared" si="68"/>
        <v>1173.2330113588221</v>
      </c>
      <c r="CY124" s="59">
        <f ca="1">AVERAGE(OFFSET($CX$3,0,0,'Données projet'!$E$13+1,1))-AVERAGE(OFFSET($H$3,0,0,'Données projet'!$E$13+1,1))</f>
        <v>676.29219382388692</v>
      </c>
      <c r="CZ124" s="59">
        <f t="shared" si="96"/>
        <v>298.25577221580448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33.930544595742283</v>
      </c>
      <c r="DG124" s="21">
        <f>EXP(-LN(2)/25)*DG123+(1-EXP(-LN(2)/25))/(LN(2)/25)*Calculateur!DB124*Calculateur!DD124*VLOOKUP('Données projet'!$B$13,Paramètres!$A$1:$I$89,3,0)*0.475*44/12</f>
        <v>22.697236000695188</v>
      </c>
      <c r="DH124" s="21">
        <f>EXP(-LN(2)/2)*DH123+(1-EXP(-LN(2)/2))/(LN(2)/2)*DB124*DE124*VLOOKUP('Données projet'!$B$13,Paramètres!$A$1:$I$89,3,0)*0.475*44/12</f>
        <v>0.51617769284489201</v>
      </c>
      <c r="DI124" s="22">
        <f t="shared" si="69"/>
        <v>57.143958289282367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-1.1368683772161603E-13</v>
      </c>
      <c r="EK124" s="17">
        <f>EJ124*VLOOKUP('Données projet'!$B$15,Paramètres!$A$1:$I$89,3,0)*VLOOKUP('Données projet'!$B$15,Paramètres!$A$1:$I$89,5,0)</f>
        <v>-8.8675733422860506E-14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197.51452239559433</v>
      </c>
      <c r="EP124" s="59">
        <f t="shared" si="100"/>
        <v>196.65166921588821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9.84203604606898</v>
      </c>
      <c r="EW124" s="21">
        <f>EXP(-LN(2)/25)*EW123+(1-EXP(-LN(2)/25))/(LN(2)/25)*Calculateur!ER124*Calculateur!ET124*VLOOKUP('Données projet'!$B$15,Paramètres!$A$1:$I$89,3,0)*0.475*44/12</f>
        <v>6.4185132341332638</v>
      </c>
      <c r="EX124" s="21">
        <f>EXP(-LN(2)/2)*EX123+(1-EXP(-LN(2)/2))/(LN(2)/2)*ER124*EU124*VLOOKUP('Données projet'!$B$15,Paramètres!$A$1:$I$89,3,0)*0.475*44/12</f>
        <v>5.803431231746633E-7</v>
      </c>
      <c r="EY124" s="22">
        <f t="shared" si="75"/>
        <v>16.260549860545368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1134.56771718614</v>
      </c>
      <c r="S125" s="59">
        <f ca="1">AVERAGE(OFFSET($R$3,0,0,'Données projet'!$E$9+1,1))-AVERAGE(OFFSET($H$3,0,0,'Données projet'!$E$9+1,1))</f>
        <v>635.71275911100679</v>
      </c>
      <c r="T125" s="59">
        <f t="shared" si="88"/>
        <v>281.7776857269169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8.9160000000000021</v>
      </c>
      <c r="AI125" s="13">
        <f>IF('Données projet'!$A$62&gt;35,AI124+AH125-AQ124,IF(A125&lt;'Données projet'!$A$62,$AF$205^A125,IF(A125='Données projet'!$A$62,'Données projet'!$B$62,AI124+AH125-AQ124)))</f>
        <v>434.0280000000007</v>
      </c>
      <c r="AJ125" s="13">
        <f>AI125*VLOOKUP('Données projet'!$B$10,Paramètres!$A$1:$I$89,3,0)*VLOOKUP('Données projet'!$B$10,Paramètres!$A$1:$I$89,5,0)</f>
        <v>440.1043920000007</v>
      </c>
      <c r="AK125" s="13">
        <f t="shared" si="89"/>
        <v>99.861453660492415</v>
      </c>
      <c r="AL125" s="20">
        <f t="shared" si="58"/>
        <v>940.44051452535894</v>
      </c>
      <c r="AM125" s="59">
        <f t="shared" si="59"/>
        <v>1233.7738478586923</v>
      </c>
      <c r="AN125" s="59">
        <f ca="1">AVERAGE(OFFSET($AM$3,0,0,'Données projet'!$E$10+1,1))-AVERAGE(OFFSET($H$3,0,0,'Données projet'!$E$10+1,1))</f>
        <v>706.69239849991595</v>
      </c>
      <c r="AO125" s="59">
        <f t="shared" si="90"/>
        <v>310.59887275116529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34.874793149476609</v>
      </c>
      <c r="AV125" s="21">
        <f>EXP(-LN(2)/25)*AV124+(1-EXP(-LN(2)/25))/(LN(2)/25)*Calculateur!AQ125*Calculateur!AS125*VLOOKUP('Données projet'!$B$10,Paramètres!$A$1:$I$89,3,0)*0.475*44/12</f>
        <v>23.144800447789148</v>
      </c>
      <c r="AW125" s="21">
        <f>EXP(-LN(2)/2)*AW124+(1-EXP(-LN(2)/2))/(LN(2)/2)*AQ125*AT125*VLOOKUP('Données projet'!$B$10,Paramètres!$A$1:$I$89,3,0)*0.475*44/12</f>
        <v>0.3826536862743587</v>
      </c>
      <c r="AX125" s="21">
        <f t="shared" si="60"/>
        <v>58.402247283540113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413.02104480000071</v>
      </c>
      <c r="BF125" s="13">
        <f t="shared" si="91"/>
        <v>94.411540492092271</v>
      </c>
      <c r="BG125" s="20">
        <f t="shared" si="61"/>
        <v>883.77841938372865</v>
      </c>
      <c r="BH125" s="59">
        <f t="shared" si="62"/>
        <v>1177.111752717062</v>
      </c>
      <c r="BI125" s="59">
        <f ca="1">AVERAGE(OFFSET($BH$3,0,0,'Données projet'!$E$11+1,1))-AVERAGE(OFFSET($H$3,0,0,'Données projet'!$E$11+1,1))</f>
        <v>666.1523645983184</v>
      </c>
      <c r="BJ125" s="59">
        <f t="shared" si="92"/>
        <v>294.13851344047526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32.728652032585742</v>
      </c>
      <c r="BQ125" s="21">
        <f>EXP(-LN(2)/25)*BQ124+(1-EXP(-LN(2)/25))/(LN(2)/25)*Calculateur!BL125*Calculateur!BN125*VLOOKUP('Données projet'!$B$11,Paramètres!$A$1:$I$89,3,0)*0.475*44/12</f>
        <v>21.720505035617503</v>
      </c>
      <c r="BR125" s="21">
        <f>EXP(-LN(2)/2)*BR124+(1-EXP(-LN(2)/2))/(LN(2)/2)*BL125*BO125*VLOOKUP('Données projet'!$B$11,Paramètres!$A$1:$I$89,3,0)*0.475*44/12</f>
        <v>0.35910576711901343</v>
      </c>
      <c r="BS125" s="22">
        <f t="shared" si="63"/>
        <v>54.80826283532226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8.9160000000000021</v>
      </c>
      <c r="BY125" s="12">
        <f>IF('Données projet'!$A$114&gt;35,BY124+BX125-CG124,IF(A125&lt;'Données projet'!$A$114,$BV$205^A125,IF(A125='Données projet'!$A$114,'Données projet'!$B$114,BY124+BX125-CG124)))</f>
        <v>434.0280000000007</v>
      </c>
      <c r="BZ125" s="13">
        <f>BY125*VLOOKUP('Données projet'!$B$12,Paramètres!$A$1:$I$89,3,0)*VLOOKUP('Données projet'!$B$12,Paramètres!$A$1:$I$89,5,0)</f>
        <v>467.18773920000075</v>
      </c>
      <c r="CA125" s="13">
        <f t="shared" si="93"/>
        <v>105.27244223657124</v>
      </c>
      <c r="CB125" s="20">
        <f t="shared" si="64"/>
        <v>997.0348160020294</v>
      </c>
      <c r="CC125" s="59">
        <f t="shared" si="65"/>
        <v>1290.3681493353627</v>
      </c>
      <c r="CD125" s="59">
        <f ca="1">AVERAGE(OFFSET($CC$3,0,0,'Données projet'!$E$12+1,1))-AVERAGE(OFFSET($H$3,0,0,'Données projet'!$E$12+1,1))</f>
        <v>747.18304127457918</v>
      </c>
      <c r="CE125" s="59">
        <f t="shared" si="94"/>
        <v>327.03701004966723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37.020934266367455</v>
      </c>
      <c r="CL125" s="21">
        <f>EXP(-LN(2)/25)*CL124+(1-EXP(-LN(2)/25))/(LN(2)/25)*Calculateur!CG125*Calculateur!CI125*VLOOKUP('Données projet'!$B$12,Paramètres!$A$1:$I$89,3,0)*0.475*44/12</f>
        <v>24.569095859960782</v>
      </c>
      <c r="CM125" s="21">
        <f>EXP(-LN(2)/2)*CM124+(1-EXP(-LN(2)/2))/(LN(2)/2)*CG125*CJ125*VLOOKUP('Données projet'!$B$12,Paramètres!$A$1:$I$89,3,0)*0.475*44/12</f>
        <v>0.40620160542970374</v>
      </c>
      <c r="CN125" s="22">
        <f t="shared" si="66"/>
        <v>61.996231731757938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8.9160000000000021</v>
      </c>
      <c r="CT125" s="12">
        <f>IF('Données projet'!$A$140&gt;35,CT124+CS125-DB124,IF(A125&lt;'Données projet'!$A$140,$CQ$205^A125,IF(A125='Données projet'!$A$140,'Données projet'!$B$140,CT124+CS125-DB124)))</f>
        <v>434.0280000000007</v>
      </c>
      <c r="CU125" s="17">
        <f>CT125*VLOOKUP('Données projet'!$B$13,Paramètres!$A$1:$I$89,3,0)*VLOOKUP('Données projet'!$B$13,Paramètres!$A$1:$I$89,5,0)</f>
        <v>419.79188160000069</v>
      </c>
      <c r="CV125" s="13">
        <f t="shared" si="95"/>
        <v>95.77781796324912</v>
      </c>
      <c r="CW125" s="20">
        <f t="shared" si="67"/>
        <v>897.9505600726601</v>
      </c>
      <c r="CX125" s="59">
        <f t="shared" si="68"/>
        <v>1191.2838934059935</v>
      </c>
      <c r="CY125" s="59">
        <f ca="1">AVERAGE(OFFSET($CX$3,0,0,'Données projet'!$E$13+1,1))-AVERAGE(OFFSET($H$3,0,0,'Données projet'!$E$13+1,1))</f>
        <v>676.29219382388692</v>
      </c>
      <c r="CZ125" s="59">
        <f t="shared" si="96"/>
        <v>298.25577221580448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33.265187311808461</v>
      </c>
      <c r="DG125" s="21">
        <f>EXP(-LN(2)/25)*DG124+(1-EXP(-LN(2)/25))/(LN(2)/25)*Calculateur!DB125*Calculateur!DD125*VLOOKUP('Données projet'!$B$13,Paramètres!$A$1:$I$89,3,0)*0.475*44/12</f>
        <v>22.076578888660411</v>
      </c>
      <c r="DH125" s="21">
        <f>EXP(-LN(2)/2)*DH124+(1-EXP(-LN(2)/2))/(LN(2)/2)*DB125*DE125*VLOOKUP('Données projet'!$B$13,Paramètres!$A$1:$I$89,3,0)*0.475*44/12</f>
        <v>0.36499274690785</v>
      </c>
      <c r="DI125" s="22">
        <f t="shared" si="69"/>
        <v>55.70675894737672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-1.1368683772161603E-13</v>
      </c>
      <c r="EK125" s="17">
        <f>EJ125*VLOOKUP('Données projet'!$B$15,Paramètres!$A$1:$I$89,3,0)*VLOOKUP('Données projet'!$B$15,Paramètres!$A$1:$I$89,5,0)</f>
        <v>-8.8675733422860506E-14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197.51452239559433</v>
      </c>
      <c r="EP125" s="59">
        <f t="shared" si="100"/>
        <v>196.65166921588821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9.6490397222548037</v>
      </c>
      <c r="EW125" s="21">
        <f>EXP(-LN(2)/25)*EW124+(1-EXP(-LN(2)/25))/(LN(2)/25)*Calculateur!ER125*Calculateur!ET125*VLOOKUP('Données projet'!$B$15,Paramètres!$A$1:$I$89,3,0)*0.475*44/12</f>
        <v>6.2429986522109484</v>
      </c>
      <c r="EX125" s="21">
        <f>EXP(-LN(2)/2)*EX124+(1-EXP(-LN(2)/2))/(LN(2)/2)*ER125*EU125*VLOOKUP('Données projet'!$B$15,Paramètres!$A$1:$I$89,3,0)*0.475*44/12</f>
        <v>4.1036455781178424E-7</v>
      </c>
      <c r="EY125" s="22">
        <f t="shared" si="75"/>
        <v>15.89203878483031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1151.4693006033674</v>
      </c>
      <c r="S126" s="59">
        <f ca="1">AVERAGE(OFFSET($R$3,0,0,'Données projet'!$E$9+1,1))-AVERAGE(OFFSET($H$3,0,0,'Données projet'!$E$9+1,1))</f>
        <v>635.71275911100679</v>
      </c>
      <c r="T126" s="59">
        <f t="shared" si="88"/>
        <v>281.7776857269169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8.9160000000000021</v>
      </c>
      <c r="AI126" s="13">
        <f>IF('Données projet'!$A$62&gt;35,AI125+AH126-AQ125,IF(A126&lt;'Données projet'!$A$62,$AF$205^A126,IF(A126='Données projet'!$A$62,'Données projet'!$B$62,AI125+AH126-AQ125)))</f>
        <v>442.9440000000007</v>
      </c>
      <c r="AJ126" s="13">
        <f>AI126*VLOOKUP('Données projet'!$B$10,Paramètres!$A$1:$I$89,3,0)*VLOOKUP('Données projet'!$B$10,Paramètres!$A$1:$I$89,5,0)</f>
        <v>449.1452160000008</v>
      </c>
      <c r="AK126" s="13">
        <f t="shared" si="89"/>
        <v>101.67191932991005</v>
      </c>
      <c r="AL126" s="20">
        <f t="shared" si="58"/>
        <v>959.33984403292789</v>
      </c>
      <c r="AM126" s="59">
        <f t="shared" si="59"/>
        <v>1252.6731773662611</v>
      </c>
      <c r="AN126" s="59">
        <f ca="1">AVERAGE(OFFSET($AM$3,0,0,'Données projet'!$E$10+1,1))-AVERAGE(OFFSET($H$3,0,0,'Données projet'!$E$10+1,1))</f>
        <v>706.69239849991595</v>
      </c>
      <c r="AO126" s="59">
        <f t="shared" si="90"/>
        <v>310.59887275116529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34.190919727338809</v>
      </c>
      <c r="AV126" s="21">
        <f>EXP(-LN(2)/25)*AV125+(1-EXP(-LN(2)/25))/(LN(2)/25)*Calculateur!AQ126*Calculateur!AS126*VLOOKUP('Données projet'!$B$10,Paramètres!$A$1:$I$89,3,0)*0.475*44/12</f>
        <v>22.511904662412196</v>
      </c>
      <c r="AW126" s="21">
        <f>EXP(-LN(2)/2)*AW125+(1-EXP(-LN(2)/2))/(LN(2)/2)*AQ126*AT126*VLOOKUP('Données projet'!$B$10,Paramètres!$A$1:$I$89,3,0)*0.475*44/12</f>
        <v>0.27057701641062876</v>
      </c>
      <c r="AX126" s="21">
        <f t="shared" si="60"/>
        <v>56.973401406161628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421.50551040000067</v>
      </c>
      <c r="BF126" s="13">
        <f t="shared" si="91"/>
        <v>96.123200462904308</v>
      </c>
      <c r="BG126" s="20">
        <f t="shared" si="61"/>
        <v>901.53667141955941</v>
      </c>
      <c r="BH126" s="59">
        <f t="shared" si="62"/>
        <v>1194.8700047528928</v>
      </c>
      <c r="BI126" s="59">
        <f ca="1">AVERAGE(OFFSET($BH$3,0,0,'Données projet'!$E$11+1,1))-AVERAGE(OFFSET($H$3,0,0,'Données projet'!$E$11+1,1))</f>
        <v>666.1523645983184</v>
      </c>
      <c r="BJ126" s="59">
        <f t="shared" si="92"/>
        <v>294.13851344047526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32.086863128733341</v>
      </c>
      <c r="BQ126" s="21">
        <f>EXP(-LN(2)/25)*BQ125+(1-EXP(-LN(2)/25))/(LN(2)/25)*Calculateur!BL126*Calculateur!BN126*VLOOKUP('Données projet'!$B$11,Paramètres!$A$1:$I$89,3,0)*0.475*44/12</f>
        <v>21.126556683186827</v>
      </c>
      <c r="BR126" s="21">
        <f>EXP(-LN(2)/2)*BR125+(1-EXP(-LN(2)/2))/(LN(2)/2)*BL126*BO126*VLOOKUP('Données projet'!$B$11,Paramètres!$A$1:$I$89,3,0)*0.475*44/12</f>
        <v>0.25392612309305151</v>
      </c>
      <c r="BS126" s="22">
        <f t="shared" si="63"/>
        <v>53.467345935013221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8.9160000000000021</v>
      </c>
      <c r="BY126" s="12">
        <f>IF('Données projet'!$A$114&gt;35,BY125+BX126-CG125,IF(A126&lt;'Données projet'!$A$114,$BV$205^A126,IF(A126='Données projet'!$A$114,'Données projet'!$B$114,BY125+BX126-CG125)))</f>
        <v>442.9440000000007</v>
      </c>
      <c r="BZ126" s="13">
        <f>BY126*VLOOKUP('Données projet'!$B$12,Paramètres!$A$1:$I$89,3,0)*VLOOKUP('Données projet'!$B$12,Paramètres!$A$1:$I$89,5,0)</f>
        <v>476.78492160000076</v>
      </c>
      <c r="CA126" s="13">
        <f t="shared" si="93"/>
        <v>107.1810079105002</v>
      </c>
      <c r="CB126" s="20">
        <f t="shared" si="64"/>
        <v>1017.0739938974557</v>
      </c>
      <c r="CC126" s="59">
        <f t="shared" si="65"/>
        <v>1310.407327230789</v>
      </c>
      <c r="CD126" s="59">
        <f ca="1">AVERAGE(OFFSET($CC$3,0,0,'Données projet'!$E$12+1,1))-AVERAGE(OFFSET($H$3,0,0,'Données projet'!$E$12+1,1))</f>
        <v>747.18304127457918</v>
      </c>
      <c r="CE126" s="59">
        <f t="shared" si="94"/>
        <v>327.03701004966723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36.294976325944248</v>
      </c>
      <c r="CL126" s="21">
        <f>EXP(-LN(2)/25)*CL125+(1-EXP(-LN(2)/25))/(LN(2)/25)*Calculateur!CG126*Calculateur!CI126*VLOOKUP('Données projet'!$B$12,Paramètres!$A$1:$I$89,3,0)*0.475*44/12</f>
        <v>23.897252641637557</v>
      </c>
      <c r="CM126" s="21">
        <f>EXP(-LN(2)/2)*CM125+(1-EXP(-LN(2)/2))/(LN(2)/2)*CG126*CJ126*VLOOKUP('Données projet'!$B$12,Paramètres!$A$1:$I$89,3,0)*0.475*44/12</f>
        <v>0.28722790972820583</v>
      </c>
      <c r="CN126" s="22">
        <f t="shared" si="66"/>
        <v>60.479456877310014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8.9160000000000021</v>
      </c>
      <c r="CT126" s="12">
        <f>IF('Données projet'!$A$140&gt;35,CT125+CS126-DB125,IF(A126&lt;'Données projet'!$A$140,$CQ$205^A126,IF(A126='Données projet'!$A$140,'Données projet'!$B$140,CT125+CS126-DB125)))</f>
        <v>442.9440000000007</v>
      </c>
      <c r="CU126" s="17">
        <f>CT126*VLOOKUP('Données projet'!$B$13,Paramètres!$A$1:$I$89,3,0)*VLOOKUP('Données projet'!$B$13,Paramètres!$A$1:$I$89,5,0)</f>
        <v>428.41543680000069</v>
      </c>
      <c r="CV126" s="13">
        <f t="shared" si="95"/>
        <v>97.514248236973415</v>
      </c>
      <c r="CW126" s="20">
        <f t="shared" si="67"/>
        <v>915.99420143939653</v>
      </c>
      <c r="CX126" s="59">
        <f t="shared" si="68"/>
        <v>1209.3275347727299</v>
      </c>
      <c r="CY126" s="59">
        <f ca="1">AVERAGE(OFFSET($CX$3,0,0,'Données projet'!$E$13+1,1))-AVERAGE(OFFSET($H$3,0,0,'Données projet'!$E$13+1,1))</f>
        <v>676.29219382388692</v>
      </c>
      <c r="CZ126" s="59">
        <f t="shared" si="96"/>
        <v>298.25577221580448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32.612877278384708</v>
      </c>
      <c r="DG126" s="21">
        <f>EXP(-LN(2)/25)*DG125+(1-EXP(-LN(2)/25))/(LN(2)/25)*Calculateur!DB126*Calculateur!DD126*VLOOKUP('Données projet'!$B$13,Paramètres!$A$1:$I$89,3,0)*0.475*44/12</f>
        <v>21.472893677993163</v>
      </c>
      <c r="DH126" s="21">
        <f>EXP(-LN(2)/2)*DH125+(1-EXP(-LN(2)/2))/(LN(2)/2)*DB126*DE126*VLOOKUP('Données projet'!$B$13,Paramètres!$A$1:$I$89,3,0)*0.475*44/12</f>
        <v>0.25808884642244601</v>
      </c>
      <c r="DI126" s="22">
        <f t="shared" si="69"/>
        <v>54.343859802800317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-1.1368683772161603E-13</v>
      </c>
      <c r="EK126" s="17">
        <f>EJ126*VLOOKUP('Données projet'!$B$15,Paramètres!$A$1:$I$89,3,0)*VLOOKUP('Données projet'!$B$15,Paramètres!$A$1:$I$89,5,0)</f>
        <v>-8.8675733422860506E-14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197.51452239559433</v>
      </c>
      <c r="EP126" s="59">
        <f t="shared" si="100"/>
        <v>196.65166921588821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9.4598279386344899</v>
      </c>
      <c r="EW126" s="21">
        <f>EXP(-LN(2)/25)*EW125+(1-EXP(-LN(2)/25))/(LN(2)/25)*Calculateur!ER126*Calculateur!ET126*VLOOKUP('Données projet'!$B$15,Paramètres!$A$1:$I$89,3,0)*0.475*44/12</f>
        <v>6.0722835257612093</v>
      </c>
      <c r="EX126" s="21">
        <f>EXP(-LN(2)/2)*EX125+(1-EXP(-LN(2)/2))/(LN(2)/2)*ER126*EU126*VLOOKUP('Données projet'!$B$15,Paramètres!$A$1:$I$89,3,0)*0.475*44/12</f>
        <v>2.9017156158733165E-7</v>
      </c>
      <c r="EY126" s="22">
        <f t="shared" si="75"/>
        <v>15.532111754567261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1168.3642109363534</v>
      </c>
      <c r="S127" s="59">
        <f ca="1">AVERAGE(OFFSET($R$3,0,0,'Données projet'!$E$9+1,1))-AVERAGE(OFFSET($H$3,0,0,'Données projet'!$E$9+1,1))</f>
        <v>635.71275911100679</v>
      </c>
      <c r="T127" s="59">
        <f t="shared" si="88"/>
        <v>281.7776857269169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8.9160000000000021</v>
      </c>
      <c r="AH127" s="12">
        <f t="array" ref="AH127">INDEX(AG:AG,MIN(IF(ISNUMBER(AG127:AG323),ROW(AG127:AG323),"")))</f>
        <v>8.9160000000000021</v>
      </c>
      <c r="AI127" s="13">
        <f>IF('Données projet'!$A$62&gt;35,AI126+AH127-AQ126,IF(A127&lt;'Données projet'!$A$62,$AF$205^A127,IF(A127='Données projet'!$A$62,'Données projet'!$B$62,AI126+AH127-AQ126)))</f>
        <v>451.8600000000007</v>
      </c>
      <c r="AJ127" s="13">
        <f>AI127*VLOOKUP('Données projet'!$B$10,Paramètres!$A$1:$I$89,3,0)*VLOOKUP('Données projet'!$B$10,Paramètres!$A$1:$I$89,5,0)</f>
        <v>458.18604000000073</v>
      </c>
      <c r="AK127" s="13">
        <f t="shared" si="89"/>
        <v>103.47814772253736</v>
      </c>
      <c r="AL127" s="20">
        <f t="shared" si="58"/>
        <v>978.23179361675386</v>
      </c>
      <c r="AM127" s="59">
        <f t="shared" si="59"/>
        <v>1271.5651269500872</v>
      </c>
      <c r="AN127" s="59">
        <f ca="1">AVERAGE(OFFSET($AM$3,0,0,'Données projet'!$E$10+1,1))-AVERAGE(OFFSET($H$3,0,0,'Données projet'!$E$10+1,1))</f>
        <v>706.69239849991595</v>
      </c>
      <c r="AO127" s="59">
        <f t="shared" si="90"/>
        <v>310.59887275116529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57.81</v>
      </c>
      <c r="AR127" s="16">
        <f>IF(ISNA(VLOOKUP(A127,'Données projet'!$A$61:$I$81,5,0)),0%,VLOOKUP(A127,'Données projet'!$A$61:$I$81,5,0)*VLOOKUP('Données projet'!$B$10,Paramètres!$A$1:$I$89,7,0))</f>
        <v>0.15049999999999999</v>
      </c>
      <c r="AS127" s="16">
        <f>IF(ISNA(VLOOKUP(A127,'Données projet'!$A$61:$I$81,6,0)),0%,VLOOKUP(A127,'Données projet'!$A$61:$I$81,6,0)*VLOOKUP('Données projet'!$B$10,Paramètres!$A$1:$I$89,7,0))</f>
        <v>8.6000000000000007E-2</v>
      </c>
      <c r="AT127" s="16">
        <f>IF(ISNA(VLOOKUP(A127,'Données projet'!$A$61:$I$81,7,0)),0%,VLOOKUP(A127,'Données projet'!$A$61:$I$81,7,0))</f>
        <v>0.1</v>
      </c>
      <c r="AU127" s="21">
        <f>EXP(-LN(2)/35)*AU126+(1-EXP(-LN(2)/35))/(LN(2)/35)*AQ127*AR127*VLOOKUP('Données projet'!$B$10,Paramètres!$A$1:$I$89,3,0)*0.475*44/12</f>
        <v>43.273149223572069</v>
      </c>
      <c r="AV127" s="21">
        <f>EXP(-LN(2)/25)*AV126+(1-EXP(-LN(2)/25))/(LN(2)/25)*Calculateur!AQ127*Calculateur!AS127*VLOOKUP('Données projet'!$B$10,Paramètres!$A$1:$I$89,3,0)*0.475*44/12</f>
        <v>27.447339737534058</v>
      </c>
      <c r="AW127" s="21">
        <f>EXP(-LN(2)/2)*AW126+(1-EXP(-LN(2)/2))/(LN(2)/2)*AQ127*AT127*VLOOKUP('Données projet'!$B$10,Paramètres!$A$1:$I$89,3,0)*0.475*44/12</f>
        <v>5.7222193437776019</v>
      </c>
      <c r="AX127" s="21">
        <f t="shared" si="60"/>
        <v>76.442708304883723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429.98997600000069</v>
      </c>
      <c r="BF127" s="13">
        <f t="shared" si="91"/>
        <v>97.830854405217835</v>
      </c>
      <c r="BG127" s="20">
        <f t="shared" si="61"/>
        <v>919.28794628908884</v>
      </c>
      <c r="BH127" s="59">
        <f t="shared" si="62"/>
        <v>1212.6212796224222</v>
      </c>
      <c r="BI127" s="59">
        <f ca="1">AVERAGE(OFFSET($BH$3,0,0,'Données projet'!$E$11+1,1))-AVERAGE(OFFSET($H$3,0,0,'Données projet'!$E$11+1,1))</f>
        <v>666.1523645983184</v>
      </c>
      <c r="BJ127" s="59">
        <f t="shared" si="92"/>
        <v>294.13851344047526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40.610186194429176</v>
      </c>
      <c r="BQ127" s="21">
        <f>EXP(-LN(2)/25)*BQ126+(1-EXP(-LN(2)/25))/(LN(2)/25)*Calculateur!BL127*Calculateur!BN127*VLOOKUP('Données projet'!$B$11,Paramètres!$A$1:$I$89,3,0)*0.475*44/12</f>
        <v>25.758272676762729</v>
      </c>
      <c r="BR127" s="21">
        <f>EXP(-LN(2)/2)*BR126+(1-EXP(-LN(2)/2))/(LN(2)/2)*BL127*BO127*VLOOKUP('Données projet'!$B$11,Paramètres!$A$1:$I$89,3,0)*0.475*44/12</f>
        <v>5.3700827687759034</v>
      </c>
      <c r="BS127" s="22">
        <f t="shared" si="63"/>
        <v>71.738541639967806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8.9160000000000021</v>
      </c>
      <c r="BX127" s="12">
        <f t="array" ref="BX127">INDEX(BW:BW,MIN(IF(ISNUMBER(BW127:BW323),ROW(BW127:BW323),"")))</f>
        <v>8.9160000000000021</v>
      </c>
      <c r="BY127" s="12">
        <f>IF('Données projet'!$A$114&gt;35,BY126+BX127-CG126,IF(A127&lt;'Données projet'!$A$114,$BV$205^A127,IF(A127='Données projet'!$A$114,'Données projet'!$B$114,BY126+BX127-CG126)))</f>
        <v>451.8600000000007</v>
      </c>
      <c r="BZ127" s="13">
        <f>BY127*VLOOKUP('Données projet'!$B$12,Paramètres!$A$1:$I$89,3,0)*VLOOKUP('Données projet'!$B$12,Paramètres!$A$1:$I$89,5,0)</f>
        <v>486.38210400000077</v>
      </c>
      <c r="CA127" s="13">
        <f t="shared" si="93"/>
        <v>109.085106710978</v>
      </c>
      <c r="CB127" s="20">
        <f t="shared" si="64"/>
        <v>1037.1053919882879</v>
      </c>
      <c r="CC127" s="59">
        <f t="shared" si="65"/>
        <v>1330.4387253216212</v>
      </c>
      <c r="CD127" s="59">
        <f ca="1">AVERAGE(OFFSET($CC$3,0,0,'Données projet'!$E$12+1,1))-AVERAGE(OFFSET($H$3,0,0,'Données projet'!$E$12+1,1))</f>
        <v>747.18304127457918</v>
      </c>
      <c r="CE127" s="59">
        <f t="shared" si="94"/>
        <v>327.03701004966723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57.81</v>
      </c>
      <c r="CH127" s="16">
        <f>IF(ISNA(VLOOKUP(A127,'Données projet'!$A$113:$I$133,5,0)),0%,VLOOKUP(A127,'Données projet'!$A$113:$I$133,5,0)*VLOOKUP('Données projet'!$B$12,Paramètres!$A$1:$I$89,7,0))</f>
        <v>0.15049999999999999</v>
      </c>
      <c r="CI127" s="16">
        <f>IF(ISNA(VLOOKUP(A127,'Données projet'!$A$113:$I$133,6,0)),0%,VLOOKUP(A127,'Données projet'!$A$113:$I$133,6,0)*VLOOKUP('Données projet'!$B$12,Paramètres!$A$1:$I$89,7,0))</f>
        <v>8.6000000000000007E-2</v>
      </c>
      <c r="CJ127" s="16">
        <f>IF(ISNA(VLOOKUP(A127,'Données projet'!$A$113:$I$133,7,0)),0%,VLOOKUP(A127,'Données projet'!$A$113:$I$133,7,0))</f>
        <v>0.1</v>
      </c>
      <c r="CK127" s="21">
        <f>EXP(-LN(2)/35)*CK126+(1-EXP(-LN(2)/35))/(LN(2)/35)*CG127*CH127*VLOOKUP('Données projet'!$B$12,Paramètres!$A$1:$I$89,3,0)*0.475*44/12</f>
        <v>45.936112252714942</v>
      </c>
      <c r="CL127" s="21">
        <f>EXP(-LN(2)/25)*CL126+(1-EXP(-LN(2)/25))/(LN(2)/25)*Calculateur!CG127*Calculateur!CI127*VLOOKUP('Données projet'!$B$12,Paramètres!$A$1:$I$89,3,0)*0.475*44/12</f>
        <v>29.13640679830538</v>
      </c>
      <c r="CM127" s="21">
        <f>EXP(-LN(2)/2)*CM126+(1-EXP(-LN(2)/2))/(LN(2)/2)*CG127*CJ127*VLOOKUP('Données projet'!$B$12,Paramètres!$A$1:$I$89,3,0)*0.475*44/12</f>
        <v>6.0743559187792995</v>
      </c>
      <c r="CN127" s="22">
        <f t="shared" si="66"/>
        <v>81.146874969799626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8.9160000000000021</v>
      </c>
      <c r="CS127" s="12">
        <f t="array" ref="CS127">INDEX(CR:CR,MIN(IF(ISNUMBER(CR127:CR323),ROW(CR127:CR323),"")))</f>
        <v>8.9160000000000021</v>
      </c>
      <c r="CT127" s="12">
        <f>IF('Données projet'!$A$140&gt;35,CT126+CS127-DB126,IF(A127&lt;'Données projet'!$A$140,$CQ$205^A127,IF(A127='Données projet'!$A$140,'Données projet'!$B$140,CT126+CS127-DB126)))</f>
        <v>451.8600000000007</v>
      </c>
      <c r="CU127" s="17">
        <f>CT127*VLOOKUP('Données projet'!$B$13,Paramètres!$A$1:$I$89,3,0)*VLOOKUP('Données projet'!$B$13,Paramètres!$A$1:$I$89,5,0)</f>
        <v>437.03899200000069</v>
      </c>
      <c r="CV127" s="13">
        <f t="shared" si="95"/>
        <v>99.24661450892107</v>
      </c>
      <c r="CW127" s="20">
        <f t="shared" si="67"/>
        <v>934.03076466970526</v>
      </c>
      <c r="CX127" s="59">
        <f t="shared" si="68"/>
        <v>1227.3640980030386</v>
      </c>
      <c r="CY127" s="59">
        <f ca="1">AVERAGE(OFFSET($CX$3,0,0,'Données projet'!$E$13+1,1))-AVERAGE(OFFSET($H$3,0,0,'Données projet'!$E$13+1,1))</f>
        <v>676.29219382388692</v>
      </c>
      <c r="CZ127" s="59">
        <f t="shared" si="96"/>
        <v>298.25577221580448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57.81</v>
      </c>
      <c r="DC127" s="16">
        <f>IF(ISNA(VLOOKUP(A127,'Données projet'!$A$139:$I$159,5,0)),0%,VLOOKUP(A127,'Données projet'!$A$139:$I$159,5,0)*VLOOKUP('Données projet'!$B$13,Paramètres!$A$1:$I$89,7,0))</f>
        <v>0.15049999999999999</v>
      </c>
      <c r="DD127" s="16">
        <f>IF(ISNA(VLOOKUP(A127,'Données projet'!$A$139:$I$159,6,0)),0%,VLOOKUP(A127,'Données projet'!$A$139:$I$159,6,0)*VLOOKUP('Données projet'!$B$13,Paramètres!$A$1:$I$89,7,0))</f>
        <v>8.6000000000000007E-2</v>
      </c>
      <c r="DE127" s="16">
        <f>IF(ISNA(VLOOKUP(A127,'Données projet'!$A$139:$I$159,7,0)),0%,VLOOKUP(A127,'Données projet'!$A$139:$I$159,7,0))</f>
        <v>0.1</v>
      </c>
      <c r="DF127" s="21">
        <f>EXP(-LN(2)/35)*DF126+(1-EXP(-LN(2)/35))/(LN(2)/35)*DB127*DC127*VLOOKUP('Données projet'!$B$13,Paramètres!$A$1:$I$89,3,0)*0.475*44/12</f>
        <v>41.275926951714894</v>
      </c>
      <c r="DG127" s="21">
        <f>EXP(-LN(2)/25)*DG126+(1-EXP(-LN(2)/25))/(LN(2)/25)*Calculateur!DB127*Calculateur!DD127*VLOOKUP('Données projet'!$B$13,Paramètres!$A$1:$I$89,3,0)*0.475*44/12</f>
        <v>26.180539441955553</v>
      </c>
      <c r="DH127" s="21">
        <f>EXP(-LN(2)/2)*DH126+(1-EXP(-LN(2)/2))/(LN(2)/2)*DB127*DE127*VLOOKUP('Données projet'!$B$13,Paramètres!$A$1:$I$89,3,0)*0.475*44/12</f>
        <v>5.4581169125263278</v>
      </c>
      <c r="DI127" s="22">
        <f t="shared" si="69"/>
        <v>72.914583306196761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-1.1368683772161603E-13</v>
      </c>
      <c r="EK127" s="17">
        <f>EJ127*VLOOKUP('Données projet'!$B$15,Paramètres!$A$1:$I$89,3,0)*VLOOKUP('Données projet'!$B$15,Paramètres!$A$1:$I$89,5,0)</f>
        <v>-8.8675733422860506E-14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197.51452239559433</v>
      </c>
      <c r="EP127" s="59">
        <f t="shared" si="100"/>
        <v>196.65166921588821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9.2743264826831773</v>
      </c>
      <c r="EW127" s="21">
        <f>EXP(-LN(2)/25)*EW126+(1-EXP(-LN(2)/25))/(LN(2)/25)*Calculateur!ER127*Calculateur!ET127*VLOOKUP('Données projet'!$B$15,Paramètres!$A$1:$I$89,3,0)*0.475*44/12</f>
        <v>5.9062366134217568</v>
      </c>
      <c r="EX127" s="21">
        <f>EXP(-LN(2)/2)*EX126+(1-EXP(-LN(2)/2))/(LN(2)/2)*ER127*EU127*VLOOKUP('Données projet'!$B$15,Paramètres!$A$1:$I$89,3,0)*0.475*44/12</f>
        <v>2.0518227890589212E-7</v>
      </c>
      <c r="EY127" s="22">
        <f t="shared" si="75"/>
        <v>15.180563301287211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1075.8339501950368</v>
      </c>
      <c r="S128" s="59">
        <f ca="1">AVERAGE(OFFSET($R$3,0,0,'Données projet'!$E$9+1,1))-AVERAGE(OFFSET($H$3,0,0,'Données projet'!$E$9+1,1))</f>
        <v>635.71275911100679</v>
      </c>
      <c r="T128" s="59">
        <f t="shared" si="88"/>
        <v>281.7776857269169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9.0229999999999961</v>
      </c>
      <c r="AI128" s="13">
        <f>IF('Données projet'!$A$62&gt;35,AI127+AH128-AQ127,IF(A128&lt;'Données projet'!$A$62,$AF$205^A128,IF(A128='Données projet'!$A$62,'Données projet'!$B$62,AI127+AH128-AQ127)))</f>
        <v>403.07300000000072</v>
      </c>
      <c r="AJ128" s="13">
        <f>AI128*VLOOKUP('Données projet'!$B$10,Paramètres!$A$1:$I$89,3,0)*VLOOKUP('Données projet'!$B$10,Paramètres!$A$1:$I$89,5,0)</f>
        <v>408.71602200000075</v>
      </c>
      <c r="AK128" s="13">
        <f t="shared" si="89"/>
        <v>93.541481959099485</v>
      </c>
      <c r="AL128" s="20">
        <f t="shared" si="58"/>
        <v>874.76515272876622</v>
      </c>
      <c r="AM128" s="59">
        <f t="shared" si="59"/>
        <v>1168.0984860620995</v>
      </c>
      <c r="AN128" s="59">
        <f ca="1">AVERAGE(OFFSET($AM$3,0,0,'Données projet'!$E$10+1,1))-AVERAGE(OFFSET($H$3,0,0,'Données projet'!$E$10+1,1))</f>
        <v>706.69239849991595</v>
      </c>
      <c r="AO128" s="59">
        <f t="shared" si="90"/>
        <v>310.59887275116529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42.424589161312653</v>
      </c>
      <c r="AV128" s="21">
        <f>EXP(-LN(2)/25)*AV127+(1-EXP(-LN(2)/25))/(LN(2)/25)*Calculateur!AQ128*Calculateur!AS128*VLOOKUP('Données projet'!$B$10,Paramètres!$A$1:$I$89,3,0)*0.475*44/12</f>
        <v>26.696790789018323</v>
      </c>
      <c r="AW128" s="21">
        <f>EXP(-LN(2)/2)*AW127+(1-EXP(-LN(2)/2))/(LN(2)/2)*AQ128*AT128*VLOOKUP('Données projet'!$B$10,Paramètres!$A$1:$I$89,3,0)*0.475*44/12</f>
        <v>4.0462201014219783</v>
      </c>
      <c r="AX128" s="21">
        <f t="shared" si="60"/>
        <v>73.167600051752956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383.56426680000067</v>
      </c>
      <c r="BF128" s="13">
        <f t="shared" si="91"/>
        <v>88.436479622024081</v>
      </c>
      <c r="BG128" s="20">
        <f t="shared" si="61"/>
        <v>822.06796668502648</v>
      </c>
      <c r="BH128" s="59">
        <f t="shared" si="62"/>
        <v>1115.4013000183597</v>
      </c>
      <c r="BI128" s="59">
        <f ca="1">AVERAGE(OFFSET($BH$3,0,0,'Données projet'!$E$11+1,1))-AVERAGE(OFFSET($H$3,0,0,'Données projet'!$E$11+1,1))</f>
        <v>666.1523645983184</v>
      </c>
      <c r="BJ128" s="59">
        <f t="shared" si="92"/>
        <v>294.13851344047526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39.813845212924186</v>
      </c>
      <c r="BQ128" s="21">
        <f>EXP(-LN(2)/25)*BQ127+(1-EXP(-LN(2)/25))/(LN(2)/25)*Calculateur!BL128*Calculateur!BN128*VLOOKUP('Données projet'!$B$11,Paramètres!$A$1:$I$89,3,0)*0.475*44/12</f>
        <v>25.053911355847962</v>
      </c>
      <c r="BR128" s="21">
        <f>EXP(-LN(2)/2)*BR127+(1-EXP(-LN(2)/2))/(LN(2)/2)*BL128*BO128*VLOOKUP('Données projet'!$B$11,Paramètres!$A$1:$I$89,3,0)*0.475*44/12</f>
        <v>3.7972219413344721</v>
      </c>
      <c r="BS128" s="22">
        <f t="shared" si="63"/>
        <v>68.664978510106621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9.0229999999999961</v>
      </c>
      <c r="BY128" s="12">
        <f>IF('Données projet'!$A$114&gt;35,BY127+BX128-CG127,IF(A128&lt;'Données projet'!$A$114,$BV$205^A128,IF(A128='Données projet'!$A$114,'Données projet'!$B$114,BY127+BX128-CG127)))</f>
        <v>403.07300000000072</v>
      </c>
      <c r="BZ128" s="13">
        <f>BY128*VLOOKUP('Données projet'!$B$12,Paramètres!$A$1:$I$89,3,0)*VLOOKUP('Données projet'!$B$12,Paramètres!$A$1:$I$89,5,0)</f>
        <v>433.86777720000077</v>
      </c>
      <c r="CA128" s="13">
        <f t="shared" si="93"/>
        <v>98.610023140073864</v>
      </c>
      <c r="CB128" s="20">
        <f t="shared" si="64"/>
        <v>927.39883559229656</v>
      </c>
      <c r="CC128" s="59">
        <f t="shared" si="65"/>
        <v>1220.7321689256298</v>
      </c>
      <c r="CD128" s="59">
        <f ca="1">AVERAGE(OFFSET($CC$3,0,0,'Données projet'!$E$12+1,1))-AVERAGE(OFFSET($H$3,0,0,'Données projet'!$E$12+1,1))</f>
        <v>747.18304127457918</v>
      </c>
      <c r="CE128" s="59">
        <f t="shared" si="94"/>
        <v>327.03701004966723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45.035333109701099</v>
      </c>
      <c r="CL128" s="21">
        <f>EXP(-LN(2)/25)*CL127+(1-EXP(-LN(2)/25))/(LN(2)/25)*Calculateur!CG128*Calculateur!CI128*VLOOKUP('Données projet'!$B$12,Paramètres!$A$1:$I$89,3,0)*0.475*44/12</f>
        <v>28.33967022218868</v>
      </c>
      <c r="CM128" s="21">
        <f>EXP(-LN(2)/2)*CM127+(1-EXP(-LN(2)/2))/(LN(2)/2)*CG128*CJ128*VLOOKUP('Données projet'!$B$12,Paramètres!$A$1:$I$89,3,0)*0.475*44/12</f>
        <v>4.2952182615094845</v>
      </c>
      <c r="CN128" s="22">
        <f t="shared" si="66"/>
        <v>77.670221593399276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9.0229999999999961</v>
      </c>
      <c r="CT128" s="12">
        <f>IF('Données projet'!$A$140&gt;35,CT127+CS128-DB127,IF(A128&lt;'Données projet'!$A$140,$CQ$205^A128,IF(A128='Données projet'!$A$140,'Données projet'!$B$140,CT127+CS128-DB127)))</f>
        <v>403.07300000000072</v>
      </c>
      <c r="CU128" s="17">
        <f>CT128*VLOOKUP('Données projet'!$B$13,Paramètres!$A$1:$I$89,3,0)*VLOOKUP('Données projet'!$B$13,Paramètres!$A$1:$I$89,5,0)</f>
        <v>389.85220560000073</v>
      </c>
      <c r="CV128" s="13">
        <f t="shared" si="95"/>
        <v>89.716288945187429</v>
      </c>
      <c r="CW128" s="20">
        <f t="shared" si="67"/>
        <v>835.24846133286928</v>
      </c>
      <c r="CX128" s="59">
        <f t="shared" si="68"/>
        <v>1128.5817946662025</v>
      </c>
      <c r="CY128" s="59">
        <f ca="1">AVERAGE(OFFSET($CX$3,0,0,'Données projet'!$E$13+1,1))-AVERAGE(OFFSET($H$3,0,0,'Données projet'!$E$13+1,1))</f>
        <v>676.29219382388692</v>
      </c>
      <c r="CZ128" s="59">
        <f t="shared" si="96"/>
        <v>298.25577221580448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40.466531200021301</v>
      </c>
      <c r="DG128" s="21">
        <f>EXP(-LN(2)/25)*DG127+(1-EXP(-LN(2)/25))/(LN(2)/25)*Calculateur!DB128*Calculateur!DD128*VLOOKUP('Données projet'!$B$13,Paramètres!$A$1:$I$89,3,0)*0.475*44/12</f>
        <v>25.464631214140546</v>
      </c>
      <c r="DH128" s="21">
        <f>EXP(-LN(2)/2)*DH127+(1-EXP(-LN(2)/2))/(LN(2)/2)*DB128*DE128*VLOOKUP('Données projet'!$B$13,Paramètres!$A$1:$I$89,3,0)*0.475*44/12</f>
        <v>3.8594714813563487</v>
      </c>
      <c r="DI128" s="22">
        <f t="shared" si="69"/>
        <v>69.790633895518198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-1.1368683772161603E-13</v>
      </c>
      <c r="EK128" s="17">
        <f>EJ128*VLOOKUP('Données projet'!$B$15,Paramètres!$A$1:$I$89,3,0)*VLOOKUP('Données projet'!$B$15,Paramètres!$A$1:$I$89,5,0)</f>
        <v>-8.8675733422860506E-14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197.51452239559433</v>
      </c>
      <c r="EP128" s="59">
        <f t="shared" si="100"/>
        <v>196.65166921588821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9.0924625971383541</v>
      </c>
      <c r="EW128" s="21">
        <f>EXP(-LN(2)/25)*EW127+(1-EXP(-LN(2)/25))/(LN(2)/25)*Calculateur!ER128*Calculateur!ET128*VLOOKUP('Données projet'!$B$15,Paramètres!$A$1:$I$89,3,0)*0.475*44/12</f>
        <v>5.7447302626322543</v>
      </c>
      <c r="EX128" s="21">
        <f>EXP(-LN(2)/2)*EX127+(1-EXP(-LN(2)/2))/(LN(2)/2)*ER128*EU128*VLOOKUP('Données projet'!$B$15,Paramètres!$A$1:$I$89,3,0)*0.475*44/12</f>
        <v>1.4508578079366582E-7</v>
      </c>
      <c r="EY128" s="22">
        <f t="shared" si="75"/>
        <v>14.83719300485639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1092.9630185156038</v>
      </c>
      <c r="S129" s="59">
        <f ca="1">AVERAGE(OFFSET($R$3,0,0,'Données projet'!$E$9+1,1))-AVERAGE(OFFSET($H$3,0,0,'Données projet'!$E$9+1,1))</f>
        <v>635.71275911100679</v>
      </c>
      <c r="T129" s="59">
        <f t="shared" si="88"/>
        <v>281.7776857269169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9.0229999999999961</v>
      </c>
      <c r="AI129" s="13">
        <f>IF('Données projet'!$A$62&gt;35,AI128+AH129-AQ128,IF(A129&lt;'Données projet'!$A$62,$AF$205^A129,IF(A129='Données projet'!$A$62,'Données projet'!$B$62,AI128+AH129-AQ128)))</f>
        <v>412.09600000000069</v>
      </c>
      <c r="AJ129" s="13">
        <f>AI129*VLOOKUP('Données projet'!$B$10,Paramètres!$A$1:$I$89,3,0)*VLOOKUP('Données projet'!$B$10,Paramètres!$A$1:$I$89,5,0)</f>
        <v>417.86534400000068</v>
      </c>
      <c r="AK129" s="13">
        <f t="shared" si="89"/>
        <v>95.389327572593899</v>
      </c>
      <c r="AL129" s="20">
        <f t="shared" si="58"/>
        <v>893.91855298893552</v>
      </c>
      <c r="AM129" s="59">
        <f t="shared" si="59"/>
        <v>1187.2518863222688</v>
      </c>
      <c r="AN129" s="59">
        <f ca="1">AVERAGE(OFFSET($AM$3,0,0,'Données projet'!$E$10+1,1))-AVERAGE(OFFSET($H$3,0,0,'Données projet'!$E$10+1,1))</f>
        <v>706.69239849991595</v>
      </c>
      <c r="AO129" s="59">
        <f t="shared" si="90"/>
        <v>310.59887275116529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41.592668844303617</v>
      </c>
      <c r="AV129" s="21">
        <f>EXP(-LN(2)/25)*AV128+(1-EXP(-LN(2)/25))/(LN(2)/25)*Calculateur!AQ129*Calculateur!AS129*VLOOKUP('Données projet'!$B$10,Paramètres!$A$1:$I$89,3,0)*0.475*44/12</f>
        <v>25.966765640969406</v>
      </c>
      <c r="AW129" s="21">
        <f>EXP(-LN(2)/2)*AW128+(1-EXP(-LN(2)/2))/(LN(2)/2)*AQ129*AT129*VLOOKUP('Données projet'!$B$10,Paramètres!$A$1:$I$89,3,0)*0.475*44/12</f>
        <v>2.8611096718888009</v>
      </c>
      <c r="AX129" s="21">
        <f t="shared" si="60"/>
        <v>70.420544157161814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392.15055360000065</v>
      </c>
      <c r="BF129" s="13">
        <f t="shared" si="91"/>
        <v>90.183479536071829</v>
      </c>
      <c r="BG129" s="20">
        <f t="shared" si="61"/>
        <v>840.06510771199294</v>
      </c>
      <c r="BH129" s="59">
        <f t="shared" si="62"/>
        <v>1133.3984410453263</v>
      </c>
      <c r="BI129" s="59">
        <f ca="1">AVERAGE(OFFSET($BH$3,0,0,'Données projet'!$E$11+1,1))-AVERAGE(OFFSET($H$3,0,0,'Données projet'!$E$11+1,1))</f>
        <v>666.1523645983184</v>
      </c>
      <c r="BJ129" s="59">
        <f t="shared" si="92"/>
        <v>294.13851344047526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39.033119992346471</v>
      </c>
      <c r="BQ129" s="21">
        <f>EXP(-LN(2)/25)*BQ128+(1-EXP(-LN(2)/25))/(LN(2)/25)*Calculateur!BL129*Calculateur!BN129*VLOOKUP('Données projet'!$B$11,Paramètres!$A$1:$I$89,3,0)*0.475*44/12</f>
        <v>24.368810832294361</v>
      </c>
      <c r="BR129" s="21">
        <f>EXP(-LN(2)/2)*BR128+(1-EXP(-LN(2)/2))/(LN(2)/2)*BL129*BO129*VLOOKUP('Données projet'!$B$11,Paramètres!$A$1:$I$89,3,0)*0.475*44/12</f>
        <v>2.6850413843879521</v>
      </c>
      <c r="BS129" s="22">
        <f t="shared" si="63"/>
        <v>66.086972209028787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9.0229999999999961</v>
      </c>
      <c r="BY129" s="12">
        <f>IF('Données projet'!$A$114&gt;35,BY128+BX129-CG128,IF(A129&lt;'Données projet'!$A$114,$BV$205^A129,IF(A129='Données projet'!$A$114,'Données projet'!$B$114,BY128+BX129-CG128)))</f>
        <v>412.09600000000069</v>
      </c>
      <c r="BZ129" s="13">
        <f>BY129*VLOOKUP('Données projet'!$B$12,Paramètres!$A$1:$I$89,3,0)*VLOOKUP('Données projet'!$B$12,Paramètres!$A$1:$I$89,5,0)</f>
        <v>443.58013440000076</v>
      </c>
      <c r="CA129" s="13">
        <f t="shared" si="93"/>
        <v>100.55799418874339</v>
      </c>
      <c r="CB129" s="20">
        <f t="shared" si="64"/>
        <v>947.70724062539603</v>
      </c>
      <c r="CC129" s="59">
        <f t="shared" si="65"/>
        <v>1241.0405739587293</v>
      </c>
      <c r="CD129" s="59">
        <f ca="1">AVERAGE(OFFSET($CC$3,0,0,'Données projet'!$E$12+1,1))-AVERAGE(OFFSET($H$3,0,0,'Données projet'!$E$12+1,1))</f>
        <v>747.18304127457918</v>
      </c>
      <c r="CE129" s="59">
        <f t="shared" si="94"/>
        <v>327.03701004966723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44.152217696260735</v>
      </c>
      <c r="CL129" s="21">
        <f>EXP(-LN(2)/25)*CL128+(1-EXP(-LN(2)/25))/(LN(2)/25)*Calculateur!CG129*Calculateur!CI129*VLOOKUP('Données projet'!$B$12,Paramètres!$A$1:$I$89,3,0)*0.475*44/12</f>
        <v>27.564720449644444</v>
      </c>
      <c r="CM129" s="21">
        <f>EXP(-LN(2)/2)*CM128+(1-EXP(-LN(2)/2))/(LN(2)/2)*CG129*CJ129*VLOOKUP('Données projet'!$B$12,Paramètres!$A$1:$I$89,3,0)*0.475*44/12</f>
        <v>3.0371779593896502</v>
      </c>
      <c r="CN129" s="22">
        <f t="shared" si="66"/>
        <v>74.754116105294827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9.0229999999999961</v>
      </c>
      <c r="CT129" s="12">
        <f>IF('Données projet'!$A$140&gt;35,CT128+CS129-DB128,IF(A129&lt;'Données projet'!$A$140,$CQ$205^A129,IF(A129='Données projet'!$A$140,'Données projet'!$B$140,CT128+CS129-DB128)))</f>
        <v>412.09600000000069</v>
      </c>
      <c r="CU129" s="17">
        <f>CT129*VLOOKUP('Données projet'!$B$13,Paramètres!$A$1:$I$89,3,0)*VLOOKUP('Données projet'!$B$13,Paramètres!$A$1:$I$89,5,0)</f>
        <v>398.57925120000067</v>
      </c>
      <c r="CV129" s="13">
        <f t="shared" si="95"/>
        <v>91.488570584458984</v>
      </c>
      <c r="CW129" s="20">
        <f t="shared" si="67"/>
        <v>853.53478960793382</v>
      </c>
      <c r="CX129" s="59">
        <f t="shared" si="68"/>
        <v>1146.8681229412671</v>
      </c>
      <c r="CY129" s="59">
        <f ca="1">AVERAGE(OFFSET($CX$3,0,0,'Données projet'!$E$13+1,1))-AVERAGE(OFFSET($H$3,0,0,'Données projet'!$E$13+1,1))</f>
        <v>676.29219382388692</v>
      </c>
      <c r="CZ129" s="59">
        <f t="shared" si="96"/>
        <v>298.25577221580448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39.673007205335757</v>
      </c>
      <c r="DG129" s="21">
        <f>EXP(-LN(2)/25)*DG128+(1-EXP(-LN(2)/25))/(LN(2)/25)*Calculateur!DB129*Calculateur!DD129*VLOOKUP('Données projet'!$B$13,Paramètres!$A$1:$I$89,3,0)*0.475*44/12</f>
        <v>24.768299534463118</v>
      </c>
      <c r="DH129" s="21">
        <f>EXP(-LN(2)/2)*DH128+(1-EXP(-LN(2)/2))/(LN(2)/2)*DB129*DE129*VLOOKUP('Données projet'!$B$13,Paramètres!$A$1:$I$89,3,0)*0.475*44/12</f>
        <v>2.7290584562631643</v>
      </c>
      <c r="DI129" s="22">
        <f t="shared" si="69"/>
        <v>67.170365196062036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-1.1368683772161603E-13</v>
      </c>
      <c r="EK129" s="17">
        <f>EJ129*VLOOKUP('Données projet'!$B$15,Paramètres!$A$1:$I$89,3,0)*VLOOKUP('Données projet'!$B$15,Paramètres!$A$1:$I$89,5,0)</f>
        <v>-8.8675733422860506E-14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197.51452239559433</v>
      </c>
      <c r="EP129" s="59">
        <f t="shared" si="100"/>
        <v>196.65166921588821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8.9141649514630483</v>
      </c>
      <c r="EW129" s="21">
        <f>EXP(-LN(2)/25)*EW128+(1-EXP(-LN(2)/25))/(LN(2)/25)*Calculateur!ER129*Calculateur!ET129*VLOOKUP('Données projet'!$B$15,Paramètres!$A$1:$I$89,3,0)*0.475*44/12</f>
        <v>5.5876403114983404</v>
      </c>
      <c r="EX129" s="21">
        <f>EXP(-LN(2)/2)*EX128+(1-EXP(-LN(2)/2))/(LN(2)/2)*ER129*EU129*VLOOKUP('Données projet'!$B$15,Paramètres!$A$1:$I$89,3,0)*0.475*44/12</f>
        <v>1.0259113945294606E-7</v>
      </c>
      <c r="EY129" s="22">
        <f t="shared" si="75"/>
        <v>14.501805365552528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1110.0846789488869</v>
      </c>
      <c r="S130" s="59">
        <f ca="1">AVERAGE(OFFSET($R$3,0,0,'Données projet'!$E$9+1,1))-AVERAGE(OFFSET($H$3,0,0,'Données projet'!$E$9+1,1))</f>
        <v>635.71275911100679</v>
      </c>
      <c r="T130" s="59">
        <f t="shared" si="88"/>
        <v>281.7776857269169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9.0229999999999961</v>
      </c>
      <c r="AI130" s="13">
        <f>IF('Données projet'!$A$62&gt;35,AI129+AH130-AQ129,IF(A130&lt;'Données projet'!$A$62,$AF$205^A130,IF(A130='Données projet'!$A$62,'Données projet'!$B$62,AI129+AH130-AQ129)))</f>
        <v>421.11900000000071</v>
      </c>
      <c r="AJ130" s="13">
        <f>AI130*VLOOKUP('Données projet'!$B$10,Paramètres!$A$1:$I$89,3,0)*VLOOKUP('Données projet'!$B$10,Paramètres!$A$1:$I$89,5,0)</f>
        <v>427.01466600000072</v>
      </c>
      <c r="AK130" s="13">
        <f t="shared" si="89"/>
        <v>97.232469323868258</v>
      </c>
      <c r="AL130" s="20">
        <f t="shared" si="58"/>
        <v>913.06376068907173</v>
      </c>
      <c r="AM130" s="59">
        <f t="shared" si="59"/>
        <v>1206.3970940224051</v>
      </c>
      <c r="AN130" s="59">
        <f ca="1">AVERAGE(OFFSET($AM$3,0,0,'Données projet'!$E$10+1,1))-AVERAGE(OFFSET($H$3,0,0,'Données projet'!$E$10+1,1))</f>
        <v>706.69239849991595</v>
      </c>
      <c r="AO130" s="59">
        <f t="shared" si="90"/>
        <v>310.59887275116529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40.777061977289833</v>
      </c>
      <c r="AV130" s="21">
        <f>EXP(-LN(2)/25)*AV129+(1-EXP(-LN(2)/25))/(LN(2)/25)*Calculateur!AQ130*Calculateur!AS130*VLOOKUP('Données projet'!$B$10,Paramètres!$A$1:$I$89,3,0)*0.475*44/12</f>
        <v>25.25670306898424</v>
      </c>
      <c r="AW130" s="21">
        <f>EXP(-LN(2)/2)*AW129+(1-EXP(-LN(2)/2))/(LN(2)/2)*AQ130*AT130*VLOOKUP('Données projet'!$B$10,Paramètres!$A$1:$I$89,3,0)*0.475*44/12</f>
        <v>2.0231100507109891</v>
      </c>
      <c r="AX130" s="21">
        <f t="shared" si="60"/>
        <v>68.056875096985053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400.73684040000069</v>
      </c>
      <c r="BF130" s="13">
        <f t="shared" si="91"/>
        <v>91.92603229997124</v>
      </c>
      <c r="BG130" s="20">
        <f t="shared" si="61"/>
        <v>858.05450328578445</v>
      </c>
      <c r="BH130" s="59">
        <f t="shared" si="62"/>
        <v>1151.3878366191177</v>
      </c>
      <c r="BI130" s="59">
        <f ca="1">AVERAGE(OFFSET($BH$3,0,0,'Données projet'!$E$11+1,1))-AVERAGE(OFFSET($H$3,0,0,'Données projet'!$E$11+1,1))</f>
        <v>666.1523645983184</v>
      </c>
      <c r="BJ130" s="59">
        <f t="shared" si="92"/>
        <v>294.13851344047526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38.267704317148919</v>
      </c>
      <c r="BQ130" s="21">
        <f>EXP(-LN(2)/25)*BQ129+(1-EXP(-LN(2)/25))/(LN(2)/25)*Calculateur!BL130*Calculateur!BN130*VLOOKUP('Données projet'!$B$11,Paramètres!$A$1:$I$89,3,0)*0.475*44/12</f>
        <v>23.702444418585205</v>
      </c>
      <c r="BR130" s="21">
        <f>EXP(-LN(2)/2)*BR129+(1-EXP(-LN(2)/2))/(LN(2)/2)*BL130*BO130*VLOOKUP('Données projet'!$B$11,Paramètres!$A$1:$I$89,3,0)*0.475*44/12</f>
        <v>1.8986109706672365</v>
      </c>
      <c r="BS130" s="22">
        <f t="shared" si="63"/>
        <v>63.868759706401363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9.0229999999999961</v>
      </c>
      <c r="BY130" s="12">
        <f>IF('Données projet'!$A$114&gt;35,BY129+BX130-CG129,IF(A130&lt;'Données projet'!$A$114,$BV$205^A130,IF(A130='Données projet'!$A$114,'Données projet'!$B$114,BY129+BX130-CG129)))</f>
        <v>421.11900000000071</v>
      </c>
      <c r="BZ130" s="13">
        <f>BY130*VLOOKUP('Données projet'!$B$12,Paramètres!$A$1:$I$89,3,0)*VLOOKUP('Données projet'!$B$12,Paramètres!$A$1:$I$89,5,0)</f>
        <v>453.29249160000074</v>
      </c>
      <c r="CA130" s="13">
        <f t="shared" si="93"/>
        <v>102.50100649662066</v>
      </c>
      <c r="CB130" s="20">
        <f t="shared" si="64"/>
        <v>968.00700918494886</v>
      </c>
      <c r="CC130" s="59">
        <f t="shared" si="65"/>
        <v>1261.3403425182821</v>
      </c>
      <c r="CD130" s="59">
        <f ca="1">AVERAGE(OFFSET($CC$3,0,0,'Données projet'!$E$12+1,1))-AVERAGE(OFFSET($H$3,0,0,'Données projet'!$E$12+1,1))</f>
        <v>747.18304127457918</v>
      </c>
      <c r="CE130" s="59">
        <f t="shared" si="94"/>
        <v>327.03701004966723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43.286419637430718</v>
      </c>
      <c r="CL130" s="21">
        <f>EXP(-LN(2)/25)*CL129+(1-EXP(-LN(2)/25))/(LN(2)/25)*Calculateur!CG130*Calculateur!CI130*VLOOKUP('Données projet'!$B$12,Paramètres!$A$1:$I$89,3,0)*0.475*44/12</f>
        <v>26.810961719383268</v>
      </c>
      <c r="CM130" s="21">
        <f>EXP(-LN(2)/2)*CM129+(1-EXP(-LN(2)/2))/(LN(2)/2)*CG130*CJ130*VLOOKUP('Données projet'!$B$12,Paramètres!$A$1:$I$89,3,0)*0.475*44/12</f>
        <v>2.1476091307547422</v>
      </c>
      <c r="CN130" s="22">
        <f t="shared" si="66"/>
        <v>72.244990487568728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9.0229999999999961</v>
      </c>
      <c r="CT130" s="12">
        <f>IF('Données projet'!$A$140&gt;35,CT129+CS130-DB129,IF(A130&lt;'Données projet'!$A$140,$CQ$205^A130,IF(A130='Données projet'!$A$140,'Données projet'!$B$140,CT129+CS130-DB129)))</f>
        <v>421.11900000000071</v>
      </c>
      <c r="CU130" s="17">
        <f>CT130*VLOOKUP('Données projet'!$B$13,Paramètres!$A$1:$I$89,3,0)*VLOOKUP('Données projet'!$B$13,Paramètres!$A$1:$I$89,5,0)</f>
        <v>407.30629680000067</v>
      </c>
      <c r="CV130" s="13">
        <f t="shared" si="95"/>
        <v>93.256340716608179</v>
      </c>
      <c r="CW130" s="20">
        <f t="shared" si="67"/>
        <v>871.81326034142705</v>
      </c>
      <c r="CX130" s="59">
        <f t="shared" si="68"/>
        <v>1165.1465936747604</v>
      </c>
      <c r="CY130" s="59">
        <f ca="1">AVERAGE(OFFSET($CX$3,0,0,'Données projet'!$E$13+1,1))-AVERAGE(OFFSET($H$3,0,0,'Données projet'!$E$13+1,1))</f>
        <v>676.29219382388692</v>
      </c>
      <c r="CZ130" s="59">
        <f t="shared" si="96"/>
        <v>298.25577221580448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38.895043732184149</v>
      </c>
      <c r="DG130" s="21">
        <f>EXP(-LN(2)/25)*DG129+(1-EXP(-LN(2)/25))/(LN(2)/25)*Calculateur!DB130*Calculateur!DD130*VLOOKUP('Données projet'!$B$13,Paramètres!$A$1:$I$89,3,0)*0.475*44/12</f>
        <v>24.091009081184961</v>
      </c>
      <c r="DH130" s="21">
        <f>EXP(-LN(2)/2)*DH129+(1-EXP(-LN(2)/2))/(LN(2)/2)*DB130*DE130*VLOOKUP('Données projet'!$B$13,Paramètres!$A$1:$I$89,3,0)*0.475*44/12</f>
        <v>1.9297357406781745</v>
      </c>
      <c r="DI130" s="22">
        <f t="shared" si="69"/>
        <v>64.915788554047282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-1.1368683772161603E-13</v>
      </c>
      <c r="EK130" s="17">
        <f>EJ130*VLOOKUP('Données projet'!$B$15,Paramètres!$A$1:$I$89,3,0)*VLOOKUP('Données projet'!$B$15,Paramètres!$A$1:$I$89,5,0)</f>
        <v>-8.8675733422860506E-14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197.51452239559433</v>
      </c>
      <c r="EP130" s="59">
        <f t="shared" si="100"/>
        <v>196.65166921588821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8.7393636138686084</v>
      </c>
      <c r="EW130" s="21">
        <f>EXP(-LN(2)/25)*EW129+(1-EXP(-LN(2)/25))/(LN(2)/25)*Calculateur!ER130*Calculateur!ET130*VLOOKUP('Données projet'!$B$15,Paramètres!$A$1:$I$89,3,0)*0.475*44/12</f>
        <v>5.4348459933391853</v>
      </c>
      <c r="EX130" s="21">
        <f>EXP(-LN(2)/2)*EX129+(1-EXP(-LN(2)/2))/(LN(2)/2)*ER130*EU130*VLOOKUP('Données projet'!$B$15,Paramètres!$A$1:$I$89,3,0)*0.475*44/12</f>
        <v>7.2542890396832912E-8</v>
      </c>
      <c r="EY130" s="22">
        <f t="shared" si="75"/>
        <v>14.174209679750684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1127.199108500065</v>
      </c>
      <c r="S131" s="59">
        <f ca="1">AVERAGE(OFFSET($R$3,0,0,'Données projet'!$E$9+1,1))-AVERAGE(OFFSET($H$3,0,0,'Données projet'!$E$9+1,1))</f>
        <v>635.71275911100679</v>
      </c>
      <c r="T131" s="59">
        <f t="shared" si="88"/>
        <v>281.7776857269169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9.0229999999999961</v>
      </c>
      <c r="AI131" s="13">
        <f>IF('Données projet'!$A$62&gt;35,AI130+AH131-AQ130,IF(A131&lt;'Données projet'!$A$62,$AF$205^A131,IF(A131='Données projet'!$A$62,'Données projet'!$B$62,AI130+AH131-AQ130)))</f>
        <v>430.14200000000073</v>
      </c>
      <c r="AJ131" s="13">
        <f>AI131*VLOOKUP('Données projet'!$B$10,Paramètres!$A$1:$I$89,3,0)*VLOOKUP('Données projet'!$B$10,Paramètres!$A$1:$I$89,5,0)</f>
        <v>436.16398800000076</v>
      </c>
      <c r="AK131" s="13">
        <f t="shared" si="89"/>
        <v>99.071019607718114</v>
      </c>
      <c r="AL131" s="20">
        <f t="shared" si="58"/>
        <v>932.20097158344367</v>
      </c>
      <c r="AM131" s="59">
        <f t="shared" si="59"/>
        <v>1225.534304916777</v>
      </c>
      <c r="AN131" s="59">
        <f ca="1">AVERAGE(OFFSET($AM$3,0,0,'Données projet'!$E$10+1,1))-AVERAGE(OFFSET($H$3,0,0,'Données projet'!$E$10+1,1))</f>
        <v>706.69239849991595</v>
      </c>
      <c r="AO131" s="59">
        <f t="shared" si="90"/>
        <v>310.59887275116529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39.977448663467122</v>
      </c>
      <c r="AV131" s="21">
        <f>EXP(-LN(2)/25)*AV130+(1-EXP(-LN(2)/25))/(LN(2)/25)*Calculateur!AQ131*Calculateur!AS131*VLOOKUP('Données projet'!$B$10,Paramètres!$A$1:$I$89,3,0)*0.475*44/12</f>
        <v>24.566057195370576</v>
      </c>
      <c r="AW131" s="21">
        <f>EXP(-LN(2)/2)*AW130+(1-EXP(-LN(2)/2))/(LN(2)/2)*AQ131*AT131*VLOOKUP('Données projet'!$B$10,Paramètres!$A$1:$I$89,3,0)*0.475*44/12</f>
        <v>1.4305548359444005</v>
      </c>
      <c r="AX131" s="21">
        <f t="shared" si="60"/>
        <v>65.974060694782111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409.32312720000073</v>
      </c>
      <c r="BF131" s="13">
        <f t="shared" si="91"/>
        <v>93.66424417460081</v>
      </c>
      <c r="BG131" s="20">
        <f t="shared" si="61"/>
        <v>876.03633847743095</v>
      </c>
      <c r="BH131" s="59">
        <f t="shared" si="62"/>
        <v>1169.3696718107642</v>
      </c>
      <c r="BI131" s="59">
        <f ca="1">AVERAGE(OFFSET($BH$3,0,0,'Données projet'!$E$11+1,1))-AVERAGE(OFFSET($H$3,0,0,'Données projet'!$E$11+1,1))</f>
        <v>666.1523645983184</v>
      </c>
      <c r="BJ131" s="59">
        <f t="shared" si="92"/>
        <v>294.13851344047526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37.517297976484528</v>
      </c>
      <c r="BQ131" s="21">
        <f>EXP(-LN(2)/25)*BQ130+(1-EXP(-LN(2)/25))/(LN(2)/25)*Calculateur!BL131*Calculateur!BN131*VLOOKUP('Données projet'!$B$11,Paramètres!$A$1:$I$89,3,0)*0.475*44/12</f>
        <v>23.054299829501613</v>
      </c>
      <c r="BR131" s="21">
        <f>EXP(-LN(2)/2)*BR130+(1-EXP(-LN(2)/2))/(LN(2)/2)*BL131*BO131*VLOOKUP('Données projet'!$B$11,Paramètres!$A$1:$I$89,3,0)*0.475*44/12</f>
        <v>1.3425206921939763</v>
      </c>
      <c r="BS131" s="22">
        <f t="shared" si="63"/>
        <v>61.914118498180123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9.0229999999999961</v>
      </c>
      <c r="BY131" s="12">
        <f>IF('Données projet'!$A$114&gt;35,BY130+BX131-CG130,IF(A131&lt;'Données projet'!$A$114,$BV$205^A131,IF(A131='Données projet'!$A$114,'Données projet'!$B$114,BY130+BX131-CG130)))</f>
        <v>430.14200000000073</v>
      </c>
      <c r="BZ131" s="13">
        <f>BY131*VLOOKUP('Données projet'!$B$12,Paramètres!$A$1:$I$89,3,0)*VLOOKUP('Données projet'!$B$12,Paramètres!$A$1:$I$89,5,0)</f>
        <v>463.00484880000079</v>
      </c>
      <c r="CA131" s="13">
        <f t="shared" si="93"/>
        <v>104.4391785486081</v>
      </c>
      <c r="CB131" s="20">
        <f t="shared" si="64"/>
        <v>988.29834763216047</v>
      </c>
      <c r="CC131" s="59">
        <f t="shared" si="65"/>
        <v>1281.6316809654938</v>
      </c>
      <c r="CD131" s="59">
        <f ca="1">AVERAGE(OFFSET($CC$3,0,0,'Données projet'!$E$12+1,1))-AVERAGE(OFFSET($H$3,0,0,'Données projet'!$E$12+1,1))</f>
        <v>747.18304127457918</v>
      </c>
      <c r="CE131" s="59">
        <f t="shared" si="94"/>
        <v>327.03701004966723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42.437599350449688</v>
      </c>
      <c r="CL131" s="21">
        <f>EXP(-LN(2)/25)*CL130+(1-EXP(-LN(2)/25))/(LN(2)/25)*Calculateur!CG131*Calculateur!CI131*VLOOKUP('Données projet'!$B$12,Paramètres!$A$1:$I$89,3,0)*0.475*44/12</f>
        <v>26.077814561239535</v>
      </c>
      <c r="CM131" s="21">
        <f>EXP(-LN(2)/2)*CM130+(1-EXP(-LN(2)/2))/(LN(2)/2)*CG131*CJ131*VLOOKUP('Données projet'!$B$12,Paramètres!$A$1:$I$89,3,0)*0.475*44/12</f>
        <v>1.5185889796948251</v>
      </c>
      <c r="CN131" s="22">
        <f t="shared" si="66"/>
        <v>70.034002891384048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9.0229999999999961</v>
      </c>
      <c r="CT131" s="12">
        <f>IF('Données projet'!$A$140&gt;35,CT130+CS131-DB130,IF(A131&lt;'Données projet'!$A$140,$CQ$205^A131,IF(A131='Données projet'!$A$140,'Données projet'!$B$140,CT130+CS131-DB130)))</f>
        <v>430.14200000000073</v>
      </c>
      <c r="CU131" s="17">
        <f>CT131*VLOOKUP('Données projet'!$B$13,Paramètres!$A$1:$I$89,3,0)*VLOOKUP('Données projet'!$B$13,Paramètres!$A$1:$I$89,5,0)</f>
        <v>416.03334240000072</v>
      </c>
      <c r="CV131" s="13">
        <f t="shared" si="95"/>
        <v>95.019707140268679</v>
      </c>
      <c r="CW131" s="20">
        <f t="shared" si="67"/>
        <v>890.08406128263584</v>
      </c>
      <c r="CX131" s="59">
        <f t="shared" si="68"/>
        <v>1183.4173946159692</v>
      </c>
      <c r="CY131" s="59">
        <f ca="1">AVERAGE(OFFSET($CX$3,0,0,'Données projet'!$E$13+1,1))-AVERAGE(OFFSET($H$3,0,0,'Données projet'!$E$13+1,1))</f>
        <v>676.29219382388692</v>
      </c>
      <c r="CZ131" s="59">
        <f t="shared" si="96"/>
        <v>298.25577221580448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38.132335648230182</v>
      </c>
      <c r="DG131" s="21">
        <f>EXP(-LN(2)/25)*DG130+(1-EXP(-LN(2)/25))/(LN(2)/25)*Calculateur!DB131*Calculateur!DD131*VLOOKUP('Données projet'!$B$13,Paramètres!$A$1:$I$89,3,0)*0.475*44/12</f>
        <v>23.432239170968852</v>
      </c>
      <c r="DH131" s="21">
        <f>EXP(-LN(2)/2)*DH130+(1-EXP(-LN(2)/2))/(LN(2)/2)*DB131*DE131*VLOOKUP('Données projet'!$B$13,Paramètres!$A$1:$I$89,3,0)*0.475*44/12</f>
        <v>1.3645292281315822</v>
      </c>
      <c r="DI131" s="22">
        <f t="shared" si="69"/>
        <v>62.929104047330618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-1.1368683772161603E-13</v>
      </c>
      <c r="EK131" s="17">
        <f>EJ131*VLOOKUP('Données projet'!$B$15,Paramètres!$A$1:$I$89,3,0)*VLOOKUP('Données projet'!$B$15,Paramètres!$A$1:$I$89,5,0)</f>
        <v>-8.8675733422860506E-14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197.51452239559433</v>
      </c>
      <c r="EP131" s="59">
        <f t="shared" si="100"/>
        <v>196.65166921588821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8.5679900238861073</v>
      </c>
      <c r="EW131" s="21">
        <f>EXP(-LN(2)/25)*EW130+(1-EXP(-LN(2)/25))/(LN(2)/25)*Calculateur!ER131*Calculateur!ET131*VLOOKUP('Données projet'!$B$15,Paramètres!$A$1:$I$89,3,0)*0.475*44/12</f>
        <v>5.286229843845196</v>
      </c>
      <c r="EX131" s="21">
        <f>EXP(-LN(2)/2)*EX130+(1-EXP(-LN(2)/2))/(LN(2)/2)*ER131*EU131*VLOOKUP('Données projet'!$B$15,Paramètres!$A$1:$I$89,3,0)*0.475*44/12</f>
        <v>5.129556972647303E-8</v>
      </c>
      <c r="EY131" s="22">
        <f t="shared" si="75"/>
        <v>13.854219919026873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1144.306476323979</v>
      </c>
      <c r="S132" s="59">
        <f ca="1">AVERAGE(OFFSET($R$3,0,0,'Données projet'!$E$9+1,1))-AVERAGE(OFFSET($H$3,0,0,'Données projet'!$E$9+1,1))</f>
        <v>635.71275911100679</v>
      </c>
      <c r="T132" s="59">
        <f t="shared" si="88"/>
        <v>281.7776857269169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9.0229999999999961</v>
      </c>
      <c r="AI132" s="13">
        <f>IF('Données projet'!$A$62&gt;35,AI131+AH132-AQ131,IF(A132&lt;'Données projet'!$A$62,$AF$205^A132,IF(A132='Données projet'!$A$62,'Données projet'!$B$62,AI131+AH132-AQ131)))</f>
        <v>439.16500000000076</v>
      </c>
      <c r="AJ132" s="13">
        <f>AI132*VLOOKUP('Données projet'!$B$10,Paramètres!$A$1:$I$89,3,0)*VLOOKUP('Données projet'!$B$10,Paramètres!$A$1:$I$89,5,0)</f>
        <v>445.3133100000008</v>
      </c>
      <c r="AK132" s="13">
        <f t="shared" si="89"/>
        <v>100.90508583412877</v>
      </c>
      <c r="AL132" s="20">
        <f t="shared" ref="AL132:AL153" si="112">(AJ132+AK132)*0.475*44/12</f>
        <v>951.33037274444223</v>
      </c>
      <c r="AM132" s="59">
        <f t="shared" ref="AM132:AM195" si="113">AL132+(AD132+AE132)*44/12</f>
        <v>1244.6637060777755</v>
      </c>
      <c r="AN132" s="59">
        <f ca="1">AVERAGE(OFFSET($AM$3,0,0,'Données projet'!$E$10+1,1))-AVERAGE(OFFSET($H$3,0,0,'Données projet'!$E$10+1,1))</f>
        <v>706.69239849991595</v>
      </c>
      <c r="AO132" s="59">
        <f t="shared" si="90"/>
        <v>310.59887275116529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39.193515279012516</v>
      </c>
      <c r="AV132" s="21">
        <f>EXP(-LN(2)/25)*AV131+(1-EXP(-LN(2)/25))/(LN(2)/25)*Calculateur!AQ132*Calculateur!AS132*VLOOKUP('Données projet'!$B$10,Paramètres!$A$1:$I$89,3,0)*0.475*44/12</f>
        <v>23.894297069490367</v>
      </c>
      <c r="AW132" s="21">
        <f>EXP(-LN(2)/2)*AW131+(1-EXP(-LN(2)/2))/(LN(2)/2)*AQ132*AT132*VLOOKUP('Données projet'!$B$10,Paramètres!$A$1:$I$89,3,0)*0.475*44/12</f>
        <v>1.0115550253554946</v>
      </c>
      <c r="AX132" s="21">
        <f t="shared" ref="AX132:AX153" si="114">SUM(AU132:AW132)</f>
        <v>64.099367373858371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417.90941400000071</v>
      </c>
      <c r="BF132" s="13">
        <f t="shared" si="91"/>
        <v>95.398216708073406</v>
      </c>
      <c r="BG132" s="20">
        <f t="shared" ref="BG132:BG153" si="115">(BE132+BF132)*0.475*44/12</f>
        <v>894.0107901498958</v>
      </c>
      <c r="BH132" s="59">
        <f t="shared" ref="BH132:BH195" si="116">BG132+(AY132+AZ132)*44/12</f>
        <v>1187.3441234832292</v>
      </c>
      <c r="BI132" s="59">
        <f ca="1">AVERAGE(OFFSET($BH$3,0,0,'Données projet'!$E$11+1,1))-AVERAGE(OFFSET($H$3,0,0,'Données projet'!$E$11+1,1))</f>
        <v>666.1523645983184</v>
      </c>
      <c r="BJ132" s="59">
        <f t="shared" si="92"/>
        <v>294.13851344047526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36.781606646457895</v>
      </c>
      <c r="BQ132" s="21">
        <f>EXP(-LN(2)/25)*BQ131+(1-EXP(-LN(2)/25))/(LN(2)/25)*Calculateur!BL132*Calculateur!BN132*VLOOKUP('Données projet'!$B$11,Paramètres!$A$1:$I$89,3,0)*0.475*44/12</f>
        <v>22.423878788290953</v>
      </c>
      <c r="BR132" s="21">
        <f>EXP(-LN(2)/2)*BR131+(1-EXP(-LN(2)/2))/(LN(2)/2)*BL132*BO132*VLOOKUP('Données projet'!$B$11,Paramètres!$A$1:$I$89,3,0)*0.475*44/12</f>
        <v>0.94930548533361836</v>
      </c>
      <c r="BS132" s="22">
        <f t="shared" ref="BS132:BS153" si="117">SUM(BP132:BR132)</f>
        <v>60.154790920082469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9.0229999999999961</v>
      </c>
      <c r="BY132" s="12">
        <f>IF('Données projet'!$A$114&gt;35,BY131+BX132-CG131,IF(A132&lt;'Données projet'!$A$114,$BV$205^A132,IF(A132='Données projet'!$A$114,'Données projet'!$B$114,BY131+BX132-CG131)))</f>
        <v>439.16500000000076</v>
      </c>
      <c r="BZ132" s="13">
        <f>BY132*VLOOKUP('Données projet'!$B$12,Paramètres!$A$1:$I$89,3,0)*VLOOKUP('Données projet'!$B$12,Paramètres!$A$1:$I$89,5,0)</f>
        <v>472.71720600000077</v>
      </c>
      <c r="CA132" s="13">
        <f t="shared" si="93"/>
        <v>106.37262357469676</v>
      </c>
      <c r="CB132" s="20">
        <f t="shared" ref="CB132:CB153" si="118">(BZ132+CA132)*0.475*44/12</f>
        <v>1008.5814531759315</v>
      </c>
      <c r="CC132" s="59">
        <f t="shared" ref="CC132:CC195" si="119">CB132+(BT132+BU132)*44/12</f>
        <v>1301.9147865092648</v>
      </c>
      <c r="CD132" s="59">
        <f ca="1">AVERAGE(OFFSET($CC$3,0,0,'Données projet'!$E$12+1,1))-AVERAGE(OFFSET($H$3,0,0,'Données projet'!$E$12+1,1))</f>
        <v>747.18304127457918</v>
      </c>
      <c r="CE132" s="59">
        <f t="shared" si="94"/>
        <v>327.03701004966723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41.605423911567101</v>
      </c>
      <c r="CL132" s="21">
        <f>EXP(-LN(2)/25)*CL131+(1-EXP(-LN(2)/25))/(LN(2)/25)*Calculateur!CG132*Calculateur!CI132*VLOOKUP('Données projet'!$B$12,Paramètres!$A$1:$I$89,3,0)*0.475*44/12</f>
        <v>25.364715350689774</v>
      </c>
      <c r="CM132" s="21">
        <f>EXP(-LN(2)/2)*CM131+(1-EXP(-LN(2)/2))/(LN(2)/2)*CG132*CJ132*VLOOKUP('Données projet'!$B$12,Paramètres!$A$1:$I$89,3,0)*0.475*44/12</f>
        <v>1.0738045653773711</v>
      </c>
      <c r="CN132" s="22">
        <f t="shared" ref="CN132:CN153" si="120">SUM(CK132:CM132)</f>
        <v>68.043943827634251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9.0229999999999961</v>
      </c>
      <c r="CT132" s="12">
        <f>IF('Données projet'!$A$140&gt;35,CT131+CS132-DB131,IF(A132&lt;'Données projet'!$A$140,$CQ$205^A132,IF(A132='Données projet'!$A$140,'Données projet'!$B$140,CT131+CS132-DB131)))</f>
        <v>439.16500000000076</v>
      </c>
      <c r="CU132" s="17">
        <f>CT132*VLOOKUP('Données projet'!$B$13,Paramètres!$A$1:$I$89,3,0)*VLOOKUP('Données projet'!$B$13,Paramètres!$A$1:$I$89,5,0)</f>
        <v>424.76038800000077</v>
      </c>
      <c r="CV132" s="13">
        <f t="shared" si="95"/>
        <v>96.778772873108181</v>
      </c>
      <c r="CW132" s="20">
        <f t="shared" ref="CW132:CW153" si="121">(CU132+CV132)*0.475*44/12</f>
        <v>908.34737185399808</v>
      </c>
      <c r="CX132" s="59">
        <f t="shared" ref="CX132:CX195" si="122">CW132+(CO132+CP132)*44/12</f>
        <v>1201.6807051873313</v>
      </c>
      <c r="CY132" s="59">
        <f ca="1">AVERAGE(OFFSET($CX$3,0,0,'Données projet'!$E$13+1,1))-AVERAGE(OFFSET($H$3,0,0,'Données projet'!$E$13+1,1))</f>
        <v>676.29219382388692</v>
      </c>
      <c r="CZ132" s="59">
        <f t="shared" si="96"/>
        <v>298.25577221580448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37.384583804596552</v>
      </c>
      <c r="DG132" s="21">
        <f>EXP(-LN(2)/25)*DG131+(1-EXP(-LN(2)/25))/(LN(2)/25)*Calculateur!DB132*Calculateur!DD132*VLOOKUP('Données projet'!$B$13,Paramètres!$A$1:$I$89,3,0)*0.475*44/12</f>
        <v>22.791483358590806</v>
      </c>
      <c r="DH132" s="21">
        <f>EXP(-LN(2)/2)*DH131+(1-EXP(-LN(2)/2))/(LN(2)/2)*DB132*DE132*VLOOKUP('Données projet'!$B$13,Paramètres!$A$1:$I$89,3,0)*0.475*44/12</f>
        <v>0.96486787033908727</v>
      </c>
      <c r="DI132" s="22">
        <f t="shared" ref="DI132:DI153" si="123">SUM(DF132:DH132)</f>
        <v>61.140935033526439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-1.1368683772161603E-13</v>
      </c>
      <c r="EK132" s="17">
        <f>EJ132*VLOOKUP('Données projet'!$B$15,Paramètres!$A$1:$I$89,3,0)*VLOOKUP('Données projet'!$B$15,Paramètres!$A$1:$I$89,5,0)</f>
        <v>-8.8675733422860506E-14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197.51452239559433</v>
      </c>
      <c r="EP132" s="59">
        <f t="shared" si="100"/>
        <v>196.65166921588821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8.3999769654755951</v>
      </c>
      <c r="EW132" s="21">
        <f>EXP(-LN(2)/25)*EW131+(1-EXP(-LN(2)/25))/(LN(2)/25)*Calculateur!ER132*Calculateur!ET132*VLOOKUP('Données projet'!$B$15,Paramètres!$A$1:$I$89,3,0)*0.475*44/12</f>
        <v>5.1416776107745035</v>
      </c>
      <c r="EX132" s="21">
        <f>EXP(-LN(2)/2)*EX131+(1-EXP(-LN(2)/2))/(LN(2)/2)*ER132*EU132*VLOOKUP('Données projet'!$B$15,Paramètres!$A$1:$I$89,3,0)*0.475*44/12</f>
        <v>3.6271445198416456E-8</v>
      </c>
      <c r="EY132" s="22">
        <f t="shared" ref="EY132:EY153" si="129">SUM(EV132:EX132)</f>
        <v>13.541654612521544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1161.4069442273214</v>
      </c>
      <c r="S133" s="59">
        <f ca="1">AVERAGE(OFFSET($R$3,0,0,'Données projet'!$E$9+1,1))-AVERAGE(OFFSET($H$3,0,0,'Données projet'!$E$9+1,1))</f>
        <v>635.71275911100679</v>
      </c>
      <c r="T133" s="59">
        <f t="shared" ref="T133:T196" si="142">$T$3</f>
        <v>281.7776857269169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9.0229999999999961</v>
      </c>
      <c r="AI133" s="13">
        <f>IF('Données projet'!$A$62&gt;35,AI132+AH133-AQ132,IF(A133&lt;'Données projet'!$A$62,$AF$205^A133,IF(A133='Données projet'!$A$62,'Données projet'!$B$62,AI132+AH133-AQ132)))</f>
        <v>448.18800000000078</v>
      </c>
      <c r="AJ133" s="13">
        <f>AI133*VLOOKUP('Données projet'!$B$10,Paramètres!$A$1:$I$89,3,0)*VLOOKUP('Données projet'!$B$10,Paramètres!$A$1:$I$89,5,0)</f>
        <v>454.46263200000084</v>
      </c>
      <c r="AK133" s="13">
        <f t="shared" ref="AK133:AK153" si="143">EXP(-1.0587+0.8836*LN(AJ133)+0.284)</f>
        <v>102.73477074715666</v>
      </c>
      <c r="AL133" s="20">
        <f t="shared" si="112"/>
        <v>970.45214311796599</v>
      </c>
      <c r="AM133" s="59">
        <f t="shared" si="113"/>
        <v>1263.7854764512992</v>
      </c>
      <c r="AN133" s="59">
        <f ca="1">AVERAGE(OFFSET($AM$3,0,0,'Données projet'!$E$10+1,1))-AVERAGE(OFFSET($H$3,0,0,'Données projet'!$E$10+1,1))</f>
        <v>706.69239849991595</v>
      </c>
      <c r="AO133" s="59">
        <f t="shared" ref="AO133:AO196" si="144">$AO$3</f>
        <v>310.59887275116529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38.424954350074913</v>
      </c>
      <c r="AV133" s="21">
        <f>EXP(-LN(2)/25)*AV132+(1-EXP(-LN(2)/25))/(LN(2)/25)*Calculateur!AQ133*Calculateur!AS133*VLOOKUP('Données projet'!$B$10,Paramètres!$A$1:$I$89,3,0)*0.475*44/12</f>
        <v>23.240906259578683</v>
      </c>
      <c r="AW133" s="21">
        <f>EXP(-LN(2)/2)*AW132+(1-EXP(-LN(2)/2))/(LN(2)/2)*AQ133*AT133*VLOOKUP('Données projet'!$B$10,Paramètres!$A$1:$I$89,3,0)*0.475*44/12</f>
        <v>0.71527741797220024</v>
      </c>
      <c r="AX133" s="21">
        <f t="shared" si="114"/>
        <v>62.381138027625795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426.49570080000069</v>
      </c>
      <c r="BF133" s="13">
        <f t="shared" ref="BF133:BF153" si="145">EXP(-1.0587+0.8836*LN(BE133)+0.284)</f>
        <v>97.128047037215154</v>
      </c>
      <c r="BG133" s="20">
        <f t="shared" si="115"/>
        <v>911.97802748315098</v>
      </c>
      <c r="BH133" s="59">
        <f t="shared" si="116"/>
        <v>1205.3113608164842</v>
      </c>
      <c r="BI133" s="59">
        <f ca="1">AVERAGE(OFFSET($BH$3,0,0,'Données projet'!$E$11+1,1))-AVERAGE(OFFSET($H$3,0,0,'Données projet'!$E$11+1,1))</f>
        <v>666.1523645983184</v>
      </c>
      <c r="BJ133" s="59">
        <f t="shared" ref="BJ133:BJ196" si="146">$BJ$3</f>
        <v>294.13851344047526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36.060341774685682</v>
      </c>
      <c r="BQ133" s="21">
        <f>EXP(-LN(2)/25)*BQ132+(1-EXP(-LN(2)/25))/(LN(2)/25)*Calculateur!BL133*Calculateur!BN133*VLOOKUP('Données projet'!$B$11,Paramètres!$A$1:$I$89,3,0)*0.475*44/12</f>
        <v>21.810696643604601</v>
      </c>
      <c r="BR133" s="21">
        <f>EXP(-LN(2)/2)*BR132+(1-EXP(-LN(2)/2))/(LN(2)/2)*BL133*BO133*VLOOKUP('Données projet'!$B$11,Paramètres!$A$1:$I$89,3,0)*0.475*44/12</f>
        <v>0.67126034609698826</v>
      </c>
      <c r="BS133" s="22">
        <f t="shared" si="117"/>
        <v>58.542298764387269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9.0229999999999961</v>
      </c>
      <c r="BY133" s="12">
        <f>IF('Données projet'!$A$114&gt;35,BY132+BX133-CG132,IF(A133&lt;'Données projet'!$A$114,$BV$205^A133,IF(A133='Données projet'!$A$114,'Données projet'!$B$114,BY132+BX133-CG132)))</f>
        <v>448.18800000000078</v>
      </c>
      <c r="BZ133" s="13">
        <f>BY133*VLOOKUP('Données projet'!$B$12,Paramètres!$A$1:$I$89,3,0)*VLOOKUP('Données projet'!$B$12,Paramètres!$A$1:$I$89,5,0)</f>
        <v>482.42956320000087</v>
      </c>
      <c r="CA133" s="13">
        <f t="shared" ref="CA133:CA153" si="147">EXP(-1.0587+0.8836*LN(BZ133)+0.284)</f>
        <v>108.30144988612524</v>
      </c>
      <c r="CB133" s="20">
        <f t="shared" si="118"/>
        <v>1028.8565144583363</v>
      </c>
      <c r="CC133" s="59">
        <f t="shared" si="119"/>
        <v>1322.1898477916695</v>
      </c>
      <c r="CD133" s="59">
        <f ca="1">AVERAGE(OFFSET($CC$3,0,0,'Données projet'!$E$12+1,1))-AVERAGE(OFFSET($H$3,0,0,'Données projet'!$E$12+1,1))</f>
        <v>747.18304127457918</v>
      </c>
      <c r="CE133" s="59">
        <f t="shared" ref="CE133:CE196" si="148">$CE$3</f>
        <v>327.03701004966723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40.789566925464108</v>
      </c>
      <c r="CL133" s="21">
        <f>EXP(-LN(2)/25)*CL132+(1-EXP(-LN(2)/25))/(LN(2)/25)*Calculateur!CG133*Calculateur!CI133*VLOOKUP('Données projet'!$B$12,Paramètres!$A$1:$I$89,3,0)*0.475*44/12</f>
        <v>24.671115875552754</v>
      </c>
      <c r="CM133" s="21">
        <f>EXP(-LN(2)/2)*CM132+(1-EXP(-LN(2)/2))/(LN(2)/2)*CG133*CJ133*VLOOKUP('Données projet'!$B$12,Paramètres!$A$1:$I$89,3,0)*0.475*44/12</f>
        <v>0.75929448984741255</v>
      </c>
      <c r="CN133" s="22">
        <f t="shared" si="120"/>
        <v>66.219977290864264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9.0229999999999961</v>
      </c>
      <c r="CT133" s="12">
        <f>IF('Données projet'!$A$140&gt;35,CT132+CS133-DB132,IF(A133&lt;'Données projet'!$A$140,$CQ$205^A133,IF(A133='Données projet'!$A$140,'Données projet'!$B$140,CT132+CS133-DB132)))</f>
        <v>448.18800000000078</v>
      </c>
      <c r="CU133" s="17">
        <f>CT133*VLOOKUP('Données projet'!$B$13,Paramètres!$A$1:$I$89,3,0)*VLOOKUP('Données projet'!$B$13,Paramètres!$A$1:$I$89,5,0)</f>
        <v>433.48743360000077</v>
      </c>
      <c r="CV133" s="13">
        <f t="shared" ref="CV133:CV153" si="149">EXP(-1.0587+0.8836*LN(CU133)+0.284)</f>
        <v>98.533636457668734</v>
      </c>
      <c r="CW133" s="20">
        <f t="shared" si="121"/>
        <v>926.60336368377432</v>
      </c>
      <c r="CX133" s="59">
        <f t="shared" si="122"/>
        <v>1219.9366970171077</v>
      </c>
      <c r="CY133" s="59">
        <f ca="1">AVERAGE(OFFSET($CX$3,0,0,'Données projet'!$E$13+1,1))-AVERAGE(OFFSET($H$3,0,0,'Données projet'!$E$13+1,1))</f>
        <v>676.29219382388692</v>
      </c>
      <c r="CZ133" s="59">
        <f t="shared" ref="CZ133:CZ196" si="150">$CZ$3</f>
        <v>298.25577221580448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36.65149491853299</v>
      </c>
      <c r="DG133" s="21">
        <f>EXP(-LN(2)/25)*DG132+(1-EXP(-LN(2)/25))/(LN(2)/25)*Calculateur!DB133*Calculateur!DD133*VLOOKUP('Données projet'!$B$13,Paramètres!$A$1:$I$89,3,0)*0.475*44/12</f>
        <v>22.16824904759812</v>
      </c>
      <c r="DH133" s="21">
        <f>EXP(-LN(2)/2)*DH132+(1-EXP(-LN(2)/2))/(LN(2)/2)*DB133*DE133*VLOOKUP('Données projet'!$B$13,Paramètres!$A$1:$I$89,3,0)*0.475*44/12</f>
        <v>0.68226461406579109</v>
      </c>
      <c r="DI133" s="22">
        <f t="shared" si="123"/>
        <v>59.502008580196907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-8.8675733422860506E-14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197.51452239559433</v>
      </c>
      <c r="EP133" s="59">
        <f t="shared" ref="EP133:EP196" si="154">$EP$3</f>
        <v>196.65166921588821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8.2352585406626666</v>
      </c>
      <c r="EW133" s="21">
        <f>EXP(-LN(2)/25)*EW132+(1-EXP(-LN(2)/25))/(LN(2)/25)*Calculateur!ER133*Calculateur!ET133*VLOOKUP('Données projet'!$B$15,Paramètres!$A$1:$I$89,3,0)*0.475*44/12</f>
        <v>5.0010781661188002</v>
      </c>
      <c r="EX133" s="21">
        <f>EXP(-LN(2)/2)*EX132+(1-EXP(-LN(2)/2))/(LN(2)/2)*ER133*EU133*VLOOKUP('Données projet'!$B$15,Paramètres!$A$1:$I$89,3,0)*0.475*44/12</f>
        <v>2.5647784863236515E-8</v>
      </c>
      <c r="EY133" s="22">
        <f t="shared" si="129"/>
        <v>13.236336732429251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1178.5006671292438</v>
      </c>
      <c r="S134" s="59">
        <f ca="1">AVERAGE(OFFSET($R$3,0,0,'Données projet'!$E$9+1,1))-AVERAGE(OFFSET($H$3,0,0,'Données projet'!$E$9+1,1))</f>
        <v>635.71275911100679</v>
      </c>
      <c r="T134" s="59">
        <f t="shared" si="142"/>
        <v>281.7776857269169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9.0229999999999961</v>
      </c>
      <c r="AI134" s="13">
        <f>IF('Données projet'!$A$62&gt;35,AI133+AH134-AQ133,IF(A134&lt;'Données projet'!$A$62,$AF$205^A134,IF(A134='Données projet'!$A$62,'Données projet'!$B$62,AI133+AH134-AQ133)))</f>
        <v>457.21100000000081</v>
      </c>
      <c r="AJ134" s="13">
        <f>AI134*VLOOKUP('Données projet'!$B$10,Paramètres!$A$1:$I$89,3,0)*VLOOKUP('Données projet'!$B$10,Paramètres!$A$1:$I$89,5,0)</f>
        <v>463.61195400000088</v>
      </c>
      <c r="AK134" s="13">
        <f t="shared" si="143"/>
        <v>104.56017271740512</v>
      </c>
      <c r="AL134" s="20">
        <f t="shared" si="112"/>
        <v>989.56645403281527</v>
      </c>
      <c r="AM134" s="59">
        <f t="shared" si="113"/>
        <v>1282.8997873661485</v>
      </c>
      <c r="AN134" s="59">
        <f ca="1">AVERAGE(OFFSET($AM$3,0,0,'Données projet'!$E$10+1,1))-AVERAGE(OFFSET($H$3,0,0,'Données projet'!$E$10+1,1))</f>
        <v>706.69239849991595</v>
      </c>
      <c r="AO134" s="59">
        <f t="shared" si="144"/>
        <v>310.59887275116529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37.671464432177892</v>
      </c>
      <c r="AV134" s="21">
        <f>EXP(-LN(2)/25)*AV133+(1-EXP(-LN(2)/25))/(LN(2)/25)*Calculateur!AQ134*Calculateur!AS134*VLOOKUP('Données projet'!$B$10,Paramètres!$A$1:$I$89,3,0)*0.475*44/12</f>
        <v>22.60538245572436</v>
      </c>
      <c r="AW134" s="21">
        <f>EXP(-LN(2)/2)*AW133+(1-EXP(-LN(2)/2))/(LN(2)/2)*AQ134*AT134*VLOOKUP('Données projet'!$B$10,Paramètres!$A$1:$I$89,3,0)*0.475*44/12</f>
        <v>0.50577751267774729</v>
      </c>
      <c r="AX134" s="21">
        <f t="shared" si="114"/>
        <v>60.782624400579998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435.08198760000079</v>
      </c>
      <c r="BF134" s="13">
        <f t="shared" si="145"/>
        <v>98.853828164079005</v>
      </c>
      <c r="BG134" s="20">
        <f t="shared" si="115"/>
        <v>929.93821245577226</v>
      </c>
      <c r="BH134" s="59">
        <f t="shared" si="116"/>
        <v>1223.2715457891056</v>
      </c>
      <c r="BI134" s="59">
        <f ca="1">AVERAGE(OFFSET($BH$3,0,0,'Données projet'!$E$11+1,1))-AVERAGE(OFFSET($H$3,0,0,'Données projet'!$E$11+1,1))</f>
        <v>666.1523645983184</v>
      </c>
      <c r="BJ134" s="59">
        <f t="shared" si="146"/>
        <v>294.13851344047526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35.353220467120785</v>
      </c>
      <c r="BQ134" s="21">
        <f>EXP(-LN(2)/25)*BQ133+(1-EXP(-LN(2)/25))/(LN(2)/25)*Calculateur!BL134*Calculateur!BN134*VLOOKUP('Données projet'!$B$11,Paramètres!$A$1:$I$89,3,0)*0.475*44/12</f>
        <v>21.214281996910547</v>
      </c>
      <c r="BR134" s="21">
        <f>EXP(-LN(2)/2)*BR133+(1-EXP(-LN(2)/2))/(LN(2)/2)*BL134*BO134*VLOOKUP('Données projet'!$B$11,Paramètres!$A$1:$I$89,3,0)*0.475*44/12</f>
        <v>0.47465274266680929</v>
      </c>
      <c r="BS134" s="22">
        <f t="shared" si="117"/>
        <v>57.042155206698148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9.0229999999999961</v>
      </c>
      <c r="BY134" s="12">
        <f>IF('Données projet'!$A$114&gt;35,BY133+BX134-CG133,IF(A134&lt;'Données projet'!$A$114,$BV$205^A134,IF(A134='Données projet'!$A$114,'Données projet'!$B$114,BY133+BX134-CG133)))</f>
        <v>457.21100000000081</v>
      </c>
      <c r="BZ134" s="13">
        <f>BY134*VLOOKUP('Données projet'!$B$12,Paramètres!$A$1:$I$89,3,0)*VLOOKUP('Données projet'!$B$12,Paramètres!$A$1:$I$89,5,0)</f>
        <v>492.14192040000086</v>
      </c>
      <c r="CA134" s="13">
        <f t="shared" si="147"/>
        <v>110.22576118370382</v>
      </c>
      <c r="CB134" s="20">
        <f t="shared" si="118"/>
        <v>1049.1237120916189</v>
      </c>
      <c r="CC134" s="59">
        <f t="shared" si="119"/>
        <v>1342.4570454249522</v>
      </c>
      <c r="CD134" s="59">
        <f ca="1">AVERAGE(OFFSET($CC$3,0,0,'Données projet'!$E$12+1,1))-AVERAGE(OFFSET($H$3,0,0,'Données projet'!$E$12+1,1))</f>
        <v>747.18304127457918</v>
      </c>
      <c r="CE134" s="59">
        <f t="shared" si="148"/>
        <v>327.03701004966723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39.989708397234963</v>
      </c>
      <c r="CL134" s="21">
        <f>EXP(-LN(2)/25)*CL133+(1-EXP(-LN(2)/25))/(LN(2)/25)*Calculateur!CG134*Calculateur!CI134*VLOOKUP('Données projet'!$B$12,Paramètres!$A$1:$I$89,3,0)*0.475*44/12</f>
        <v>23.996482914538166</v>
      </c>
      <c r="CM134" s="21">
        <f>EXP(-LN(2)/2)*CM133+(1-EXP(-LN(2)/2))/(LN(2)/2)*CG134*CJ134*VLOOKUP('Données projet'!$B$12,Paramètres!$A$1:$I$89,3,0)*0.475*44/12</f>
        <v>0.53690228268868556</v>
      </c>
      <c r="CN134" s="22">
        <f t="shared" si="120"/>
        <v>64.523093594461812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9.0229999999999961</v>
      </c>
      <c r="CT134" s="12">
        <f>IF('Données projet'!$A$140&gt;35,CT133+CS134-DB133,IF(A134&lt;'Données projet'!$A$140,$CQ$205^A134,IF(A134='Données projet'!$A$140,'Données projet'!$B$140,CT133+CS134-DB133)))</f>
        <v>457.21100000000081</v>
      </c>
      <c r="CU134" s="17">
        <f>CT134*VLOOKUP('Données projet'!$B$13,Paramètres!$A$1:$I$89,3,0)*VLOOKUP('Données projet'!$B$13,Paramètres!$A$1:$I$89,5,0)</f>
        <v>442.21447920000082</v>
      </c>
      <c r="CV134" s="13">
        <f t="shared" si="149"/>
        <v>100.28439224188371</v>
      </c>
      <c r="CW134" s="20">
        <f t="shared" si="121"/>
        <v>944.85220109461545</v>
      </c>
      <c r="CX134" s="59">
        <f t="shared" si="122"/>
        <v>1238.1855344279488</v>
      </c>
      <c r="CY134" s="59">
        <f ca="1">AVERAGE(OFFSET($CX$3,0,0,'Données projet'!$E$13+1,1))-AVERAGE(OFFSET($H$3,0,0,'Données projet'!$E$13+1,1))</f>
        <v>676.29219382388692</v>
      </c>
      <c r="CZ134" s="59">
        <f t="shared" si="150"/>
        <v>298.25577221580448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35.932781458385065</v>
      </c>
      <c r="DG134" s="21">
        <f>EXP(-LN(2)/25)*DG133+(1-EXP(-LN(2)/25))/(LN(2)/25)*Calculateur!DB134*Calculateur!DD134*VLOOKUP('Données projet'!$B$13,Paramètres!$A$1:$I$89,3,0)*0.475*44/12</f>
        <v>21.562057111613999</v>
      </c>
      <c r="DH134" s="21">
        <f>EXP(-LN(2)/2)*DH133+(1-EXP(-LN(2)/2))/(LN(2)/2)*DB134*DE134*VLOOKUP('Données projet'!$B$13,Paramètres!$A$1:$I$89,3,0)*0.475*44/12</f>
        <v>0.48243393516954364</v>
      </c>
      <c r="DI134" s="22">
        <f t="shared" si="123"/>
        <v>57.977272505168607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-8.8675733422860506E-14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197.51452239559433</v>
      </c>
      <c r="EP134" s="59">
        <f t="shared" si="154"/>
        <v>196.65166921588821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8.0737701436920002</v>
      </c>
      <c r="EW134" s="21">
        <f>EXP(-LN(2)/25)*EW133+(1-EXP(-LN(2)/25))/(LN(2)/25)*Calculateur!ER134*Calculateur!ET134*VLOOKUP('Données projet'!$B$15,Paramètres!$A$1:$I$89,3,0)*0.475*44/12</f>
        <v>4.8643234206710106</v>
      </c>
      <c r="EX134" s="21">
        <f>EXP(-LN(2)/2)*EX133+(1-EXP(-LN(2)/2))/(LN(2)/2)*ER134*EU134*VLOOKUP('Données projet'!$B$15,Paramètres!$A$1:$I$89,3,0)*0.475*44/12</f>
        <v>1.8135722599208228E-8</v>
      </c>
      <c r="EY134" s="22">
        <f t="shared" si="129"/>
        <v>12.938093582498734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1195.5877934845751</v>
      </c>
      <c r="S135" s="59">
        <f ca="1">AVERAGE(OFFSET($R$3,0,0,'Données projet'!$E$9+1,1))-AVERAGE(OFFSET($H$3,0,0,'Données projet'!$E$9+1,1))</f>
        <v>635.71275911100679</v>
      </c>
      <c r="T135" s="59">
        <f t="shared" si="142"/>
        <v>281.7776857269169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9.0229999999999961</v>
      </c>
      <c r="AI135" s="13">
        <f>IF('Données projet'!$A$62&gt;35,AI134+AH135-AQ134,IF(A135&lt;'Données projet'!$A$62,$AF$205^A135,IF(A135='Données projet'!$A$62,'Données projet'!$B$62,AI134+AH135-AQ134)))</f>
        <v>466.23400000000083</v>
      </c>
      <c r="AJ135" s="13">
        <f>AI135*VLOOKUP('Données projet'!$B$10,Paramètres!$A$1:$I$89,3,0)*VLOOKUP('Données projet'!$B$10,Paramètres!$A$1:$I$89,5,0)</f>
        <v>472.76127600000092</v>
      </c>
      <c r="AK135" s="13">
        <f t="shared" si="143"/>
        <v>106.38138601076099</v>
      </c>
      <c r="AL135" s="20">
        <f t="shared" si="112"/>
        <v>1008.6734696687436</v>
      </c>
      <c r="AM135" s="59">
        <f t="shared" si="113"/>
        <v>1302.0068030020768</v>
      </c>
      <c r="AN135" s="59">
        <f ca="1">AVERAGE(OFFSET($AM$3,0,0,'Données projet'!$E$10+1,1))-AVERAGE(OFFSET($H$3,0,0,'Données projet'!$E$10+1,1))</f>
        <v>706.69239849991595</v>
      </c>
      <c r="AO135" s="59">
        <f t="shared" si="144"/>
        <v>310.59887275116529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36.932749991987365</v>
      </c>
      <c r="AV135" s="21">
        <f>EXP(-LN(2)/25)*AV134+(1-EXP(-LN(2)/25))/(LN(2)/25)*Calculateur!AQ135*Calculateur!AS135*VLOOKUP('Données projet'!$B$10,Paramètres!$A$1:$I$89,3,0)*0.475*44/12</f>
        <v>21.987237083707178</v>
      </c>
      <c r="AW135" s="21">
        <f>EXP(-LN(2)/2)*AW134+(1-EXP(-LN(2)/2))/(LN(2)/2)*AQ135*AT135*VLOOKUP('Données projet'!$B$10,Paramètres!$A$1:$I$89,3,0)*0.475*44/12</f>
        <v>0.35763870898610012</v>
      </c>
      <c r="AX135" s="21">
        <f t="shared" si="114"/>
        <v>59.277625784680644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443.66827440000083</v>
      </c>
      <c r="BF135" s="13">
        <f t="shared" si="145"/>
        <v>100.57564921001506</v>
      </c>
      <c r="BG135" s="20">
        <f t="shared" si="115"/>
        <v>947.89150028744427</v>
      </c>
      <c r="BH135" s="59">
        <f t="shared" si="116"/>
        <v>1241.2248336207776</v>
      </c>
      <c r="BI135" s="59">
        <f ca="1">AVERAGE(OFFSET($BH$3,0,0,'Données projet'!$E$11+1,1))-AVERAGE(OFFSET($H$3,0,0,'Données projet'!$E$11+1,1))</f>
        <v>666.1523645983184</v>
      </c>
      <c r="BJ135" s="59">
        <f t="shared" si="146"/>
        <v>294.13851344047526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34.65996537709583</v>
      </c>
      <c r="BQ135" s="21">
        <f>EXP(-LN(2)/25)*BQ134+(1-EXP(-LN(2)/25))/(LN(2)/25)*Calculateur!BL135*Calculateur!BN135*VLOOKUP('Données projet'!$B$11,Paramètres!$A$1:$I$89,3,0)*0.475*44/12</f>
        <v>20.634176340094424</v>
      </c>
      <c r="BR135" s="21">
        <f>EXP(-LN(2)/2)*BR134+(1-EXP(-LN(2)/2))/(LN(2)/2)*BL135*BO135*VLOOKUP('Données projet'!$B$11,Paramètres!$A$1:$I$89,3,0)*0.475*44/12</f>
        <v>0.33563017304849418</v>
      </c>
      <c r="BS135" s="22">
        <f t="shared" si="117"/>
        <v>55.62977189023875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9.0229999999999961</v>
      </c>
      <c r="BY135" s="12">
        <f>IF('Données projet'!$A$114&gt;35,BY134+BX135-CG134,IF(A135&lt;'Données projet'!$A$114,$BV$205^A135,IF(A135='Données projet'!$A$114,'Données projet'!$B$114,BY134+BX135-CG134)))</f>
        <v>466.23400000000083</v>
      </c>
      <c r="BZ135" s="13">
        <f>BY135*VLOOKUP('Données projet'!$B$12,Paramètres!$A$1:$I$89,3,0)*VLOOKUP('Données projet'!$B$12,Paramètres!$A$1:$I$89,5,0)</f>
        <v>501.8542776000009</v>
      </c>
      <c r="CA135" s="13">
        <f t="shared" si="147"/>
        <v>112.14565684111234</v>
      </c>
      <c r="CB135" s="20">
        <f t="shared" si="118"/>
        <v>1069.3832191516055</v>
      </c>
      <c r="CC135" s="59">
        <f t="shared" si="119"/>
        <v>1362.7165524849388</v>
      </c>
      <c r="CD135" s="59">
        <f ca="1">AVERAGE(OFFSET($CC$3,0,0,'Données projet'!$E$12+1,1))-AVERAGE(OFFSET($H$3,0,0,'Données projet'!$E$12+1,1))</f>
        <v>747.18304127457918</v>
      </c>
      <c r="CE135" s="59">
        <f t="shared" si="148"/>
        <v>327.03701004966723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39.205534606878864</v>
      </c>
      <c r="CL135" s="21">
        <f>EXP(-LN(2)/25)*CL134+(1-EXP(-LN(2)/25))/(LN(2)/25)*Calculateur!CG135*Calculateur!CI135*VLOOKUP('Données projet'!$B$12,Paramètres!$A$1:$I$89,3,0)*0.475*44/12</f>
        <v>23.34029782731993</v>
      </c>
      <c r="CM135" s="21">
        <f>EXP(-LN(2)/2)*CM134+(1-EXP(-LN(2)/2))/(LN(2)/2)*CG135*CJ135*VLOOKUP('Données projet'!$B$12,Paramètres!$A$1:$I$89,3,0)*0.475*44/12</f>
        <v>0.37964724492370627</v>
      </c>
      <c r="CN135" s="22">
        <f t="shared" si="120"/>
        <v>62.925479679122496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9.0229999999999961</v>
      </c>
      <c r="CT135" s="12">
        <f>IF('Données projet'!$A$140&gt;35,CT134+CS135-DB134,IF(A135&lt;'Données projet'!$A$140,$CQ$205^A135,IF(A135='Données projet'!$A$140,'Données projet'!$B$140,CT134+CS135-DB134)))</f>
        <v>466.23400000000083</v>
      </c>
      <c r="CU135" s="17">
        <f>CT135*VLOOKUP('Données projet'!$B$13,Paramètres!$A$1:$I$89,3,0)*VLOOKUP('Données projet'!$B$13,Paramètres!$A$1:$I$89,5,0)</f>
        <v>450.94152480000088</v>
      </c>
      <c r="CV135" s="13">
        <f t="shared" si="149"/>
        <v>102.03113063682355</v>
      </c>
      <c r="CW135" s="20">
        <f t="shared" si="121"/>
        <v>963.09404155246921</v>
      </c>
      <c r="CX135" s="59">
        <f t="shared" si="122"/>
        <v>1256.4273748858025</v>
      </c>
      <c r="CY135" s="59">
        <f ca="1">AVERAGE(OFFSET($CX$3,0,0,'Données projet'!$E$13+1,1))-AVERAGE(OFFSET($H$3,0,0,'Données projet'!$E$13+1,1))</f>
        <v>676.29219382388692</v>
      </c>
      <c r="CZ135" s="59">
        <f t="shared" si="150"/>
        <v>298.25577221580448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35.228161530818717</v>
      </c>
      <c r="DG135" s="21">
        <f>EXP(-LN(2)/25)*DG134+(1-EXP(-LN(2)/25))/(LN(2)/25)*Calculateur!DB135*Calculateur!DD135*VLOOKUP('Données projet'!$B$13,Paramètres!$A$1:$I$89,3,0)*0.475*44/12</f>
        <v>20.972441525997613</v>
      </c>
      <c r="DH135" s="21">
        <f>EXP(-LN(2)/2)*DH134+(1-EXP(-LN(2)/2))/(LN(2)/2)*DB135*DE135*VLOOKUP('Données projet'!$B$13,Paramètres!$A$1:$I$89,3,0)*0.475*44/12</f>
        <v>0.34113230703289554</v>
      </c>
      <c r="DI135" s="22">
        <f t="shared" si="123"/>
        <v>56.541735363849227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-8.8675733422860506E-14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197.51452239559433</v>
      </c>
      <c r="EP135" s="59">
        <f t="shared" si="154"/>
        <v>196.65166921588821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7.9154484356877326</v>
      </c>
      <c r="EW135" s="21">
        <f>EXP(-LN(2)/25)*EW134+(1-EXP(-LN(2)/25))/(LN(2)/25)*Calculateur!ER135*Calculateur!ET135*VLOOKUP('Données projet'!$B$15,Paramètres!$A$1:$I$89,3,0)*0.475*44/12</f>
        <v>4.7313082409291107</v>
      </c>
      <c r="EX135" s="21">
        <f>EXP(-LN(2)/2)*EX134+(1-EXP(-LN(2)/2))/(LN(2)/2)*ER135*EU135*VLOOKUP('Données projet'!$B$15,Paramètres!$A$1:$I$89,3,0)*0.475*44/12</f>
        <v>1.2823892431618258E-8</v>
      </c>
      <c r="EY135" s="22">
        <f t="shared" si="129"/>
        <v>12.646756689440735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1212.6684656733548</v>
      </c>
      <c r="S136" s="59">
        <f ca="1">AVERAGE(OFFSET($R$3,0,0,'Données projet'!$E$9+1,1))-AVERAGE(OFFSET($H$3,0,0,'Données projet'!$E$9+1,1))</f>
        <v>635.71275911100679</v>
      </c>
      <c r="T136" s="59">
        <f t="shared" si="142"/>
        <v>281.7776857269169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9.0229999999999961</v>
      </c>
      <c r="AI136" s="13">
        <f>IF('Données projet'!$A$62&gt;35,AI135+AH136-AQ135,IF(A136&lt;'Données projet'!$A$62,$AF$205^A136,IF(A136='Données projet'!$A$62,'Données projet'!$B$62,AI135+AH136-AQ135)))</f>
        <v>475.25700000000086</v>
      </c>
      <c r="AJ136" s="13">
        <f>AI136*VLOOKUP('Données projet'!$B$10,Paramètres!$A$1:$I$89,3,0)*VLOOKUP('Données projet'!$B$10,Paramètres!$A$1:$I$89,5,0)</f>
        <v>481.9105980000009</v>
      </c>
      <c r="AK136" s="13">
        <f t="shared" si="143"/>
        <v>108.19850103573877</v>
      </c>
      <c r="AL136" s="20">
        <f t="shared" si="112"/>
        <v>1027.7733474872464</v>
      </c>
      <c r="AM136" s="59">
        <f t="shared" si="113"/>
        <v>1321.1066808205796</v>
      </c>
      <c r="AN136" s="59">
        <f ca="1">AVERAGE(OFFSET($AM$3,0,0,'Données projet'!$E$10+1,1))-AVERAGE(OFFSET($H$3,0,0,'Données projet'!$E$10+1,1))</f>
        <v>706.69239849991595</v>
      </c>
      <c r="AO136" s="59">
        <f t="shared" si="144"/>
        <v>310.59887275116529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36.208521291397652</v>
      </c>
      <c r="AV136" s="21">
        <f>EXP(-LN(2)/25)*AV135+(1-EXP(-LN(2)/25))/(LN(2)/25)*Calculateur!AQ136*Calculateur!AS136*VLOOKUP('Données projet'!$B$10,Paramètres!$A$1:$I$89,3,0)*0.475*44/12</f>
        <v>21.385994929394659</v>
      </c>
      <c r="AW136" s="21">
        <f>EXP(-LN(2)/2)*AW135+(1-EXP(-LN(2)/2))/(LN(2)/2)*AQ136*AT136*VLOOKUP('Données projet'!$B$10,Paramètres!$A$1:$I$89,3,0)*0.475*44/12</f>
        <v>0.25288875633887364</v>
      </c>
      <c r="AX136" s="21">
        <f t="shared" si="114"/>
        <v>57.847404977131191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452.25456120000081</v>
      </c>
      <c r="BF136" s="13">
        <f t="shared" si="145"/>
        <v>102.29359564951639</v>
      </c>
      <c r="BG136" s="20">
        <f t="shared" si="115"/>
        <v>965.83803984624228</v>
      </c>
      <c r="BH136" s="59">
        <f t="shared" si="116"/>
        <v>1259.1713731795755</v>
      </c>
      <c r="BI136" s="59">
        <f ca="1">AVERAGE(OFFSET($BH$3,0,0,'Données projet'!$E$11+1,1))-AVERAGE(OFFSET($H$3,0,0,'Données projet'!$E$11+1,1))</f>
        <v>666.1523645983184</v>
      </c>
      <c r="BJ136" s="59">
        <f t="shared" si="146"/>
        <v>294.13851344047526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33.98030459654241</v>
      </c>
      <c r="BQ136" s="21">
        <f>EXP(-LN(2)/25)*BQ135+(1-EXP(-LN(2)/25))/(LN(2)/25)*Calculateur!BL136*Calculateur!BN136*VLOOKUP('Données projet'!$B$11,Paramètres!$A$1:$I$89,3,0)*0.475*44/12</f>
        <v>20.069933702970367</v>
      </c>
      <c r="BR136" s="21">
        <f>EXP(-LN(2)/2)*BR135+(1-EXP(-LN(2)/2))/(LN(2)/2)*BL136*BO136*VLOOKUP('Données projet'!$B$11,Paramètres!$A$1:$I$89,3,0)*0.475*44/12</f>
        <v>0.23732637133340467</v>
      </c>
      <c r="BS136" s="22">
        <f t="shared" si="117"/>
        <v>54.28756467084618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9.0229999999999961</v>
      </c>
      <c r="BY136" s="12">
        <f>IF('Données projet'!$A$114&gt;35,BY135+BX136-CG135,IF(A136&lt;'Données projet'!$A$114,$BV$205^A136,IF(A136='Données projet'!$A$114,'Données projet'!$B$114,BY135+BX136-CG135)))</f>
        <v>475.25700000000086</v>
      </c>
      <c r="BZ136" s="13">
        <f>BY136*VLOOKUP('Données projet'!$B$12,Paramètres!$A$1:$I$89,3,0)*VLOOKUP('Données projet'!$B$12,Paramètres!$A$1:$I$89,5,0)</f>
        <v>511.56663480000088</v>
      </c>
      <c r="CA136" s="13">
        <f t="shared" si="147"/>
        <v>114.0612321656468</v>
      </c>
      <c r="CB136" s="20">
        <f t="shared" si="118"/>
        <v>1089.6352016318363</v>
      </c>
      <c r="CC136" s="59">
        <f t="shared" si="119"/>
        <v>1382.9685349651695</v>
      </c>
      <c r="CD136" s="59">
        <f ca="1">AVERAGE(OFFSET($CC$3,0,0,'Données projet'!$E$12+1,1))-AVERAGE(OFFSET($H$3,0,0,'Données projet'!$E$12+1,1))</f>
        <v>747.18304127457918</v>
      </c>
      <c r="CE136" s="59">
        <f t="shared" si="148"/>
        <v>327.03701004966723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38.436737986252865</v>
      </c>
      <c r="CL136" s="21">
        <f>EXP(-LN(2)/25)*CL135+(1-EXP(-LN(2)/25))/(LN(2)/25)*Calculateur!CG136*Calculateur!CI136*VLOOKUP('Données projet'!$B$12,Paramètres!$A$1:$I$89,3,0)*0.475*44/12</f>
        <v>22.702056155818948</v>
      </c>
      <c r="CM136" s="21">
        <f>EXP(-LN(2)/2)*CM135+(1-EXP(-LN(2)/2))/(LN(2)/2)*CG136*CJ136*VLOOKUP('Données projet'!$B$12,Paramètres!$A$1:$I$89,3,0)*0.475*44/12</f>
        <v>0.26845114134434278</v>
      </c>
      <c r="CN136" s="22">
        <f t="shared" si="120"/>
        <v>61.40724528341616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9.0229999999999961</v>
      </c>
      <c r="CT136" s="12">
        <f>IF('Données projet'!$A$140&gt;35,CT135+CS136-DB135,IF(A136&lt;'Données projet'!$A$140,$CQ$205^A136,IF(A136='Données projet'!$A$140,'Données projet'!$B$140,CT135+CS136-DB135)))</f>
        <v>475.25700000000086</v>
      </c>
      <c r="CU136" s="17">
        <f>CT136*VLOOKUP('Données projet'!$B$13,Paramètres!$A$1:$I$89,3,0)*VLOOKUP('Données projet'!$B$13,Paramètres!$A$1:$I$89,5,0)</f>
        <v>459.66857040000087</v>
      </c>
      <c r="CV136" s="13">
        <f t="shared" si="149"/>
        <v>103.77393835392633</v>
      </c>
      <c r="CW136" s="20">
        <f t="shared" si="121"/>
        <v>981.32903607975641</v>
      </c>
      <c r="CX136" s="59">
        <f t="shared" si="122"/>
        <v>1274.6623694130897</v>
      </c>
      <c r="CY136" s="59">
        <f ca="1">AVERAGE(OFFSET($CX$3,0,0,'Données projet'!$E$13+1,1))-AVERAGE(OFFSET($H$3,0,0,'Données projet'!$E$13+1,1))</f>
        <v>676.29219382388692</v>
      </c>
      <c r="CZ136" s="59">
        <f t="shared" si="150"/>
        <v>298.25577221580448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34.537358770256226</v>
      </c>
      <c r="DG136" s="21">
        <f>EXP(-LN(2)/25)*DG135+(1-EXP(-LN(2)/25))/(LN(2)/25)*Calculateur!DB136*Calculateur!DD136*VLOOKUP('Données projet'!$B$13,Paramètres!$A$1:$I$89,3,0)*0.475*44/12</f>
        <v>20.398949009576441</v>
      </c>
      <c r="DH136" s="21">
        <f>EXP(-LN(2)/2)*DH135+(1-EXP(-LN(2)/2))/(LN(2)/2)*DB136*DE136*VLOOKUP('Données projet'!$B$13,Paramètres!$A$1:$I$89,3,0)*0.475*44/12</f>
        <v>0.24121696758477182</v>
      </c>
      <c r="DI136" s="22">
        <f t="shared" si="123"/>
        <v>55.177524747417436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-8.8675733422860506E-14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197.51452239559433</v>
      </c>
      <c r="EP136" s="59">
        <f t="shared" si="154"/>
        <v>196.65166921588821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7.760231319810722</v>
      </c>
      <c r="EW136" s="21">
        <f>EXP(-LN(2)/25)*EW135+(1-EXP(-LN(2)/25))/(LN(2)/25)*Calculateur!ER136*Calculateur!ET136*VLOOKUP('Données projet'!$B$15,Paramètres!$A$1:$I$89,3,0)*0.475*44/12</f>
        <v>4.6019303682722175</v>
      </c>
      <c r="EX136" s="21">
        <f>EXP(-LN(2)/2)*EX135+(1-EXP(-LN(2)/2))/(LN(2)/2)*ER136*EU136*VLOOKUP('Données projet'!$B$15,Paramètres!$A$1:$I$89,3,0)*0.475*44/12</f>
        <v>9.067861299604114E-9</v>
      </c>
      <c r="EY136" s="22">
        <f t="shared" si="129"/>
        <v>12.3621616971508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1229.7428203599443</v>
      </c>
      <c r="S137" s="59">
        <f ca="1">AVERAGE(OFFSET($R$3,0,0,'Données projet'!$E$9+1,1))-AVERAGE(OFFSET($H$3,0,0,'Données projet'!$E$9+1,1))</f>
        <v>635.71275911100679</v>
      </c>
      <c r="T137" s="59">
        <f t="shared" si="142"/>
        <v>281.7776857269169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9.0229999999999961</v>
      </c>
      <c r="AH137" s="12">
        <f t="array" ref="AH137">INDEX(AG:AG,MIN(IF(ISNUMBER(AG137:AG333),ROW(AG137:AG333),"")))</f>
        <v>9.0229999999999961</v>
      </c>
      <c r="AI137" s="13">
        <f>IF('Données projet'!$A$62&gt;35,AI136+AH137-AQ136,IF(A137&lt;'Données projet'!$A$62,$AF$205^A137,IF(A137='Données projet'!$A$62,'Données projet'!$B$62,AI136+AH137-AQ136)))</f>
        <v>484.28000000000088</v>
      </c>
      <c r="AJ137" s="13">
        <f>AI137*VLOOKUP('Données projet'!$B$10,Paramètres!$A$1:$I$89,3,0)*VLOOKUP('Données projet'!$B$10,Paramètres!$A$1:$I$89,5,0)</f>
        <v>491.05992000000094</v>
      </c>
      <c r="AK137" s="13">
        <f t="shared" si="143"/>
        <v>110.01160457151111</v>
      </c>
      <c r="AL137" s="20">
        <f t="shared" si="112"/>
        <v>1046.8662386287169</v>
      </c>
      <c r="AM137" s="59">
        <f t="shared" si="113"/>
        <v>1340.1995719620502</v>
      </c>
      <c r="AN137" s="59">
        <f ca="1">AVERAGE(OFFSET($AM$3,0,0,'Données projet'!$E$10+1,1))-AVERAGE(OFFSET($H$3,0,0,'Données projet'!$E$10+1,1))</f>
        <v>706.69239849991595</v>
      </c>
      <c r="AO137" s="59">
        <f t="shared" si="144"/>
        <v>310.59887275116529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60.779999999999973</v>
      </c>
      <c r="AR137" s="16">
        <f>IF(ISNA(VLOOKUP(A137,'Données projet'!$A$61:$I$81,5,0)),0%,VLOOKUP(A137,'Données projet'!$A$61:$I$81,5,0)*VLOOKUP('Données projet'!$B$10,Paramètres!$A$1:$I$89,7,0))</f>
        <v>0.215</v>
      </c>
      <c r="AS137" s="16">
        <f>IF(ISNA(VLOOKUP(A137,'Données projet'!$A$61:$I$81,6,0)),0%,VLOOKUP(A137,'Données projet'!$A$61:$I$81,6,0)*VLOOKUP('Données projet'!$B$10,Paramètres!$A$1:$I$89,7,0))</f>
        <v>8.6000000000000007E-2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50.146692926414062</v>
      </c>
      <c r="AV137" s="21">
        <f>EXP(-LN(2)/25)*AV136+(1-EXP(-LN(2)/25))/(LN(2)/25)*Calculateur!AQ137*Calculateur!AS137*VLOOKUP('Données projet'!$B$10,Paramètres!$A$1:$I$89,3,0)*0.475*44/12</f>
        <v>26.637403018620649</v>
      </c>
      <c r="AW137" s="21">
        <f>EXP(-LN(2)/2)*AW136+(1-EXP(-LN(2)/2))/(LN(2)/2)*AQ137*AT137*VLOOKUP('Données projet'!$B$10,Paramètres!$A$1:$I$89,3,0)*0.475*44/12</f>
        <v>0.17881935449305006</v>
      </c>
      <c r="AX137" s="21">
        <f t="shared" si="114"/>
        <v>76.962915299527751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460.84084800000079</v>
      </c>
      <c r="BF137" s="13">
        <f t="shared" si="145"/>
        <v>104.00774952580478</v>
      </c>
      <c r="BG137" s="20">
        <f t="shared" si="115"/>
        <v>983.77797402411124</v>
      </c>
      <c r="BH137" s="59">
        <f t="shared" si="116"/>
        <v>1277.1113073574445</v>
      </c>
      <c r="BI137" s="59">
        <f ca="1">AVERAGE(OFFSET($BH$3,0,0,'Données projet'!$E$11+1,1))-AVERAGE(OFFSET($H$3,0,0,'Données projet'!$E$11+1,1))</f>
        <v>666.1523645983184</v>
      </c>
      <c r="BJ137" s="59">
        <f t="shared" si="146"/>
        <v>294.13851344047526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47.060742592480885</v>
      </c>
      <c r="BQ137" s="21">
        <f>EXP(-LN(2)/25)*BQ136+(1-EXP(-LN(2)/25))/(LN(2)/25)*Calculateur!BL137*Calculateur!BN137*VLOOKUP('Données projet'!$B$11,Paramètres!$A$1:$I$89,3,0)*0.475*44/12</f>
        <v>24.998178217474756</v>
      </c>
      <c r="BR137" s="21">
        <f>EXP(-LN(2)/2)*BR136+(1-EXP(-LN(2)/2))/(LN(2)/2)*BL137*BO137*VLOOKUP('Données projet'!$B$11,Paramètres!$A$1:$I$89,3,0)*0.475*44/12</f>
        <v>0.16781508652424712</v>
      </c>
      <c r="BS137" s="22">
        <f t="shared" si="117"/>
        <v>72.22673589647988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9.0229999999999961</v>
      </c>
      <c r="BX137" s="12">
        <f t="array" ref="BX137">INDEX(BW:BW,MIN(IF(ISNUMBER(BW137:BW333),ROW(BW137:BW333),"")))</f>
        <v>9.0229999999999961</v>
      </c>
      <c r="BY137" s="12">
        <f>IF('Données projet'!$A$114&gt;35,BY136+BX137-CG136,IF(A137&lt;'Données projet'!$A$114,$BV$205^A137,IF(A137='Données projet'!$A$114,'Données projet'!$B$114,BY136+BX137-CG136)))</f>
        <v>484.28000000000088</v>
      </c>
      <c r="BZ137" s="13">
        <f>BY137*VLOOKUP('Données projet'!$B$12,Paramètres!$A$1:$I$89,3,0)*VLOOKUP('Données projet'!$B$12,Paramètres!$A$1:$I$89,5,0)</f>
        <v>521.27899200000093</v>
      </c>
      <c r="CA137" s="13">
        <f t="shared" si="147"/>
        <v>115.97257863860555</v>
      </c>
      <c r="CB137" s="20">
        <f t="shared" si="118"/>
        <v>1109.8798188622395</v>
      </c>
      <c r="CC137" s="59">
        <f t="shared" si="119"/>
        <v>1403.2131521955728</v>
      </c>
      <c r="CD137" s="59">
        <f ca="1">AVERAGE(OFFSET($CC$3,0,0,'Données projet'!$E$12+1,1))-AVERAGE(OFFSET($H$3,0,0,'Données projet'!$E$12+1,1))</f>
        <v>747.18304127457918</v>
      </c>
      <c r="CE137" s="59">
        <f t="shared" si="148"/>
        <v>327.03701004966723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60.779999999999973</v>
      </c>
      <c r="CH137" s="16">
        <f>IF(ISNA(VLOOKUP(A137,'Données projet'!$A$113:$I$133,5,0)),0%,VLOOKUP(A137,'Données projet'!$A$113:$I$133,5,0)*VLOOKUP('Données projet'!$B$12,Paramètres!$A$1:$I$89,7,0))</f>
        <v>0.215</v>
      </c>
      <c r="CI137" s="16">
        <f>IF(ISNA(VLOOKUP(A137,'Données projet'!$A$113:$I$133,6,0)),0%,VLOOKUP(A137,'Données projet'!$A$113:$I$133,6,0)*VLOOKUP('Données projet'!$B$12,Paramètres!$A$1:$I$89,7,0))</f>
        <v>8.6000000000000007E-2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53.232643260347203</v>
      </c>
      <c r="CL137" s="21">
        <f>EXP(-LN(2)/25)*CL136+(1-EXP(-LN(2)/25))/(LN(2)/25)*Calculateur!CG137*Calculateur!CI137*VLOOKUP('Données projet'!$B$12,Paramètres!$A$1:$I$89,3,0)*0.475*44/12</f>
        <v>28.276627819766535</v>
      </c>
      <c r="CM137" s="21">
        <f>EXP(-LN(2)/2)*CM136+(1-EXP(-LN(2)/2))/(LN(2)/2)*CG137*CJ137*VLOOKUP('Données projet'!$B$12,Paramètres!$A$1:$I$89,3,0)*0.475*44/12</f>
        <v>0.18982362246185314</v>
      </c>
      <c r="CN137" s="22">
        <f t="shared" si="120"/>
        <v>81.699094702575593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9.0229999999999961</v>
      </c>
      <c r="CS137" s="12">
        <f t="array" ref="CS137">INDEX(CR:CR,MIN(IF(ISNUMBER(CR137:CR333),ROW(CR137:CR333),"")))</f>
        <v>9.0229999999999961</v>
      </c>
      <c r="CT137" s="12">
        <f>IF('Données projet'!$A$140&gt;35,CT136+CS137-DB136,IF(A137&lt;'Données projet'!$A$140,$CQ$205^A137,IF(A137='Données projet'!$A$140,'Données projet'!$B$140,CT136+CS137-DB136)))</f>
        <v>484.28000000000088</v>
      </c>
      <c r="CU137" s="17">
        <f>CT137*VLOOKUP('Données projet'!$B$13,Paramètres!$A$1:$I$89,3,0)*VLOOKUP('Données projet'!$B$13,Paramètres!$A$1:$I$89,5,0)</f>
        <v>468.39561600000081</v>
      </c>
      <c r="CV137" s="13">
        <f t="shared" si="149"/>
        <v>105.51289862370277</v>
      </c>
      <c r="CW137" s="20">
        <f t="shared" si="121"/>
        <v>999.55732963628373</v>
      </c>
      <c r="CX137" s="59">
        <f t="shared" si="122"/>
        <v>1292.8906629696171</v>
      </c>
      <c r="CY137" s="59">
        <f ca="1">AVERAGE(OFFSET($CX$3,0,0,'Données projet'!$E$13+1,1))-AVERAGE(OFFSET($H$3,0,0,'Données projet'!$E$13+1,1))</f>
        <v>676.29219382388692</v>
      </c>
      <c r="CZ137" s="59">
        <f t="shared" si="150"/>
        <v>298.25577221580448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60.779999999999973</v>
      </c>
      <c r="DC137" s="16">
        <f>IF(ISNA(VLOOKUP(A137,'Données projet'!$A$139:$I$159,5,0)),0%,VLOOKUP(A137,'Données projet'!$A$139:$I$159,5,0)*VLOOKUP('Données projet'!$B$13,Paramètres!$A$1:$I$89,7,0))</f>
        <v>0.215</v>
      </c>
      <c r="DD137" s="16">
        <f>IF(ISNA(VLOOKUP(A137,'Données projet'!$A$139:$I$159,6,0)),0%,VLOOKUP(A137,'Données projet'!$A$139:$I$159,6,0)*VLOOKUP('Données projet'!$B$13,Paramètres!$A$1:$I$89,7,0))</f>
        <v>8.6000000000000007E-2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47.832230175964185</v>
      </c>
      <c r="DG137" s="21">
        <f>EXP(-LN(2)/25)*DG136+(1-EXP(-LN(2)/25))/(LN(2)/25)*Calculateur!DB137*Calculateur!DD137*VLOOKUP('Données projet'!$B$13,Paramètres!$A$1:$I$89,3,0)*0.475*44/12</f>
        <v>25.407984417761231</v>
      </c>
      <c r="DH137" s="21">
        <f>EXP(-LN(2)/2)*DH136+(1-EXP(-LN(2)/2))/(LN(2)/2)*DB137*DE137*VLOOKUP('Données projet'!$B$13,Paramètres!$A$1:$I$89,3,0)*0.475*44/12</f>
        <v>0.17056615351644777</v>
      </c>
      <c r="DI137" s="22">
        <f t="shared" si="123"/>
        <v>73.410780747241859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-8.8675733422860506E-14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197.51452239559433</v>
      </c>
      <c r="EP137" s="59">
        <f t="shared" si="154"/>
        <v>196.65166921588821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7.6080579169029665</v>
      </c>
      <c r="EW137" s="21">
        <f>EXP(-LN(2)/25)*EW136+(1-EXP(-LN(2)/25))/(LN(2)/25)*Calculateur!ER137*Calculateur!ET137*VLOOKUP('Données projet'!$B$15,Paramètres!$A$1:$I$89,3,0)*0.475*44/12</f>
        <v>4.4760903403468131</v>
      </c>
      <c r="EX137" s="21">
        <f>EXP(-LN(2)/2)*EX136+(1-EXP(-LN(2)/2))/(LN(2)/2)*ER137*EU137*VLOOKUP('Données projet'!$B$15,Paramètres!$A$1:$I$89,3,0)*0.475*44/12</f>
        <v>6.4119462158091288E-9</v>
      </c>
      <c r="EY137" s="22">
        <f t="shared" si="129"/>
        <v>12.084148263661726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1131.9435344554777</v>
      </c>
      <c r="S138" s="59">
        <f ca="1">AVERAGE(OFFSET($R$3,0,0,'Données projet'!$E$9+1,1))-AVERAGE(OFFSET($H$3,0,0,'Données projet'!$E$9+1,1))</f>
        <v>635.71275911100679</v>
      </c>
      <c r="T138" s="59">
        <f t="shared" si="142"/>
        <v>281.7776857269169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9.1440000000000055</v>
      </c>
      <c r="AI138" s="13">
        <f>IF('Données projet'!$A$62&gt;35,AI137+AH138-AQ137,IF(A138&lt;'Données projet'!$A$62,$AF$205^A138,IF(A138='Données projet'!$A$62,'Données projet'!$B$62,AI137+AH138-AQ137)))</f>
        <v>432.64400000000091</v>
      </c>
      <c r="AJ138" s="13">
        <f>AI138*VLOOKUP('Données projet'!$B$10,Paramètres!$A$1:$I$89,3,0)*VLOOKUP('Données projet'!$B$10,Paramètres!$A$1:$I$89,5,0)</f>
        <v>438.70101600000095</v>
      </c>
      <c r="AK138" s="13">
        <f t="shared" si="143"/>
        <v>99.580035175975198</v>
      </c>
      <c r="AL138" s="20">
        <f t="shared" si="112"/>
        <v>937.50616413149157</v>
      </c>
      <c r="AM138" s="59">
        <f t="shared" si="113"/>
        <v>1230.8394974648249</v>
      </c>
      <c r="AN138" s="59">
        <f ca="1">AVERAGE(OFFSET($AM$3,0,0,'Données projet'!$E$10+1,1))-AVERAGE(OFFSET($H$3,0,0,'Données projet'!$E$10+1,1))</f>
        <v>706.69239849991595</v>
      </c>
      <c r="AO138" s="59">
        <f t="shared" si="144"/>
        <v>310.59887275116529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49.163346864589606</v>
      </c>
      <c r="AV138" s="21">
        <f>EXP(-LN(2)/25)*AV137+(1-EXP(-LN(2)/25))/(LN(2)/25)*Calculateur!AQ138*Calculateur!AS138*VLOOKUP('Données projet'!$B$10,Paramètres!$A$1:$I$89,3,0)*0.475*44/12</f>
        <v>25.909001832276324</v>
      </c>
      <c r="AW138" s="21">
        <f>EXP(-LN(2)/2)*AW137+(1-EXP(-LN(2)/2))/(LN(2)/2)*AQ138*AT138*VLOOKUP('Données projet'!$B$10,Paramètres!$A$1:$I$89,3,0)*0.475*44/12</f>
        <v>0.12644437816943682</v>
      </c>
      <c r="AX138" s="21">
        <f t="shared" si="114"/>
        <v>75.198793075035368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411.70403040000082</v>
      </c>
      <c r="BF138" s="13">
        <f t="shared" si="145"/>
        <v>94.145480349040895</v>
      </c>
      <c r="BG138" s="20">
        <f t="shared" si="115"/>
        <v>881.0212312212476</v>
      </c>
      <c r="BH138" s="59">
        <f t="shared" si="116"/>
        <v>1174.354564554581</v>
      </c>
      <c r="BI138" s="59">
        <f ca="1">AVERAGE(OFFSET($BH$3,0,0,'Données projet'!$E$11+1,1))-AVERAGE(OFFSET($H$3,0,0,'Données projet'!$E$11+1,1))</f>
        <v>666.1523645983184</v>
      </c>
      <c r="BJ138" s="59">
        <f t="shared" si="146"/>
        <v>294.13851344047526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46.137910134461009</v>
      </c>
      <c r="BQ138" s="21">
        <f>EXP(-LN(2)/25)*BQ137+(1-EXP(-LN(2)/25))/(LN(2)/25)*Calculateur!BL138*Calculateur!BN138*VLOOKUP('Données projet'!$B$11,Paramètres!$A$1:$I$89,3,0)*0.475*44/12</f>
        <v>24.314601719520851</v>
      </c>
      <c r="BR138" s="21">
        <f>EXP(-LN(2)/2)*BR137+(1-EXP(-LN(2)/2))/(LN(2)/2)*BL138*BO138*VLOOKUP('Données projet'!$B$11,Paramètres!$A$1:$I$89,3,0)*0.475*44/12</f>
        <v>0.11866318566670235</v>
      </c>
      <c r="BS138" s="22">
        <f t="shared" si="117"/>
        <v>70.571175039648566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9.1440000000000055</v>
      </c>
      <c r="BY138" s="12">
        <f>IF('Données projet'!$A$114&gt;35,BY137+BX138-CG137,IF(A138&lt;'Données projet'!$A$114,$BV$205^A138,IF(A138='Données projet'!$A$114,'Données projet'!$B$114,BY137+BX138-CG137)))</f>
        <v>432.64400000000091</v>
      </c>
      <c r="BZ138" s="13">
        <f>BY138*VLOOKUP('Données projet'!$B$12,Paramètres!$A$1:$I$89,3,0)*VLOOKUP('Données projet'!$B$12,Paramètres!$A$1:$I$89,5,0)</f>
        <v>465.69800160000102</v>
      </c>
      <c r="CA138" s="13">
        <f t="shared" si="147"/>
        <v>104.97577510356142</v>
      </c>
      <c r="CB138" s="20">
        <f t="shared" si="118"/>
        <v>993.92349442537125</v>
      </c>
      <c r="CC138" s="59">
        <f t="shared" si="119"/>
        <v>1287.2568277587045</v>
      </c>
      <c r="CD138" s="59">
        <f ca="1">AVERAGE(OFFSET($CC$3,0,0,'Données projet'!$E$12+1,1))-AVERAGE(OFFSET($H$3,0,0,'Données projet'!$E$12+1,1))</f>
        <v>747.18304127457918</v>
      </c>
      <c r="CE138" s="59">
        <f t="shared" si="148"/>
        <v>327.03701004966723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52.188783594718167</v>
      </c>
      <c r="CL138" s="21">
        <f>EXP(-LN(2)/25)*CL137+(1-EXP(-LN(2)/25))/(LN(2)/25)*Calculateur!CG138*Calculateur!CI138*VLOOKUP('Données projet'!$B$12,Paramètres!$A$1:$I$89,3,0)*0.475*44/12</f>
        <v>27.50340194503179</v>
      </c>
      <c r="CM138" s="21">
        <f>EXP(-LN(2)/2)*CM137+(1-EXP(-LN(2)/2))/(LN(2)/2)*CG138*CJ138*VLOOKUP('Données projet'!$B$12,Paramètres!$A$1:$I$89,3,0)*0.475*44/12</f>
        <v>0.13422557067217139</v>
      </c>
      <c r="CN138" s="22">
        <f t="shared" si="120"/>
        <v>79.826411110422129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9.1440000000000055</v>
      </c>
      <c r="CT138" s="12">
        <f>IF('Données projet'!$A$140&gt;35,CT137+CS138-DB137,IF(A138&lt;'Données projet'!$A$140,$CQ$205^A138,IF(A138='Données projet'!$A$140,'Données projet'!$B$140,CT137+CS138-DB137)))</f>
        <v>432.64400000000091</v>
      </c>
      <c r="CU138" s="17">
        <f>CT138*VLOOKUP('Données projet'!$B$13,Paramètres!$A$1:$I$89,3,0)*VLOOKUP('Données projet'!$B$13,Paramètres!$A$1:$I$89,5,0)</f>
        <v>418.45327680000094</v>
      </c>
      <c r="CV138" s="13">
        <f t="shared" si="149"/>
        <v>95.507907528405781</v>
      </c>
      <c r="CW138" s="20">
        <f t="shared" si="121"/>
        <v>895.14906270530844</v>
      </c>
      <c r="CX138" s="59">
        <f t="shared" si="122"/>
        <v>1188.4823960386418</v>
      </c>
      <c r="CY138" s="59">
        <f ca="1">AVERAGE(OFFSET($CX$3,0,0,'Données projet'!$E$13+1,1))-AVERAGE(OFFSET($H$3,0,0,'Données projet'!$E$13+1,1))</f>
        <v>676.29219382388692</v>
      </c>
      <c r="CZ138" s="59">
        <f t="shared" si="150"/>
        <v>298.25577221580448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46.894269316993167</v>
      </c>
      <c r="DG138" s="21">
        <f>EXP(-LN(2)/25)*DG137+(1-EXP(-LN(2)/25))/(LN(2)/25)*Calculateur!DB138*Calculateur!DD138*VLOOKUP('Données projet'!$B$13,Paramètres!$A$1:$I$89,3,0)*0.475*44/12</f>
        <v>24.713201747709721</v>
      </c>
      <c r="DH138" s="21">
        <f>EXP(-LN(2)/2)*DH137+(1-EXP(-LN(2)/2))/(LN(2)/2)*DB138*DE138*VLOOKUP('Données projet'!$B$13,Paramètres!$A$1:$I$89,3,0)*0.475*44/12</f>
        <v>0.12060848379238591</v>
      </c>
      <c r="DI138" s="22">
        <f t="shared" si="123"/>
        <v>71.728079548495273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-8.8675733422860506E-14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197.51452239559433</v>
      </c>
      <c r="EP138" s="59">
        <f t="shared" si="154"/>
        <v>196.65166921588821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7.4588685416096219</v>
      </c>
      <c r="EW138" s="21">
        <f>EXP(-LN(2)/25)*EW137+(1-EXP(-LN(2)/25))/(LN(2)/25)*Calculateur!ER138*Calculateur!ET138*VLOOKUP('Données projet'!$B$15,Paramètres!$A$1:$I$89,3,0)*0.475*44/12</f>
        <v>4.3536914146026691</v>
      </c>
      <c r="EX138" s="21">
        <f>EXP(-LN(2)/2)*EX137+(1-EXP(-LN(2)/2))/(LN(2)/2)*ER138*EU138*VLOOKUP('Données projet'!$B$15,Paramètres!$A$1:$I$89,3,0)*0.475*44/12</f>
        <v>4.533930649802057E-9</v>
      </c>
      <c r="EY138" s="22">
        <f t="shared" si="129"/>
        <v>11.812559960746221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1149.2783130502216</v>
      </c>
      <c r="S139" s="59">
        <f ca="1">AVERAGE(OFFSET($R$3,0,0,'Données projet'!$E$9+1,1))-AVERAGE(OFFSET($H$3,0,0,'Données projet'!$E$9+1,1))</f>
        <v>635.71275911100679</v>
      </c>
      <c r="T139" s="59">
        <f t="shared" si="142"/>
        <v>281.7776857269169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9.1440000000000055</v>
      </c>
      <c r="AI139" s="13">
        <f>IF('Données projet'!$A$62&gt;35,AI138+AH139-AQ138,IF(A139&lt;'Données projet'!$A$62,$AF$205^A139,IF(A139='Données projet'!$A$62,'Données projet'!$B$62,AI138+AH139-AQ138)))</f>
        <v>441.78800000000092</v>
      </c>
      <c r="AJ139" s="13">
        <f>AI139*VLOOKUP('Données projet'!$B$10,Paramètres!$A$1:$I$89,3,0)*VLOOKUP('Données projet'!$B$10,Paramètres!$A$1:$I$89,5,0)</f>
        <v>447.97303200000096</v>
      </c>
      <c r="AK139" s="13">
        <f t="shared" si="143"/>
        <v>101.43742531380877</v>
      </c>
      <c r="AL139" s="20">
        <f t="shared" si="112"/>
        <v>956.88987982155186</v>
      </c>
      <c r="AM139" s="59">
        <f t="shared" si="113"/>
        <v>1250.2232131548851</v>
      </c>
      <c r="AN139" s="59">
        <f ca="1">AVERAGE(OFFSET($AM$3,0,0,'Données projet'!$E$10+1,1))-AVERAGE(OFFSET($H$3,0,0,'Données projet'!$E$10+1,1))</f>
        <v>706.69239849991595</v>
      </c>
      <c r="AO139" s="59">
        <f t="shared" si="144"/>
        <v>310.59887275116529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48.199283619255652</v>
      </c>
      <c r="AV139" s="21">
        <f>EXP(-LN(2)/25)*AV138+(1-EXP(-LN(2)/25))/(LN(2)/25)*Calculateur!AQ139*Calculateur!AS139*VLOOKUP('Données projet'!$B$10,Paramètres!$A$1:$I$89,3,0)*0.475*44/12</f>
        <v>25.200518814677537</v>
      </c>
      <c r="AW139" s="21">
        <f>EXP(-LN(2)/2)*AW138+(1-EXP(-LN(2)/2))/(LN(2)/2)*AQ139*AT139*VLOOKUP('Données projet'!$B$10,Paramètres!$A$1:$I$89,3,0)*0.475*44/12</f>
        <v>8.9409677246525029E-2</v>
      </c>
      <c r="AX139" s="21">
        <f t="shared" si="114"/>
        <v>73.489212111179711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420.40546080000092</v>
      </c>
      <c r="BF139" s="13">
        <f t="shared" si="145"/>
        <v>95.901503897465091</v>
      </c>
      <c r="BG139" s="20">
        <f t="shared" si="115"/>
        <v>899.2346301814199</v>
      </c>
      <c r="BH139" s="59">
        <f t="shared" si="116"/>
        <v>1192.5679635147533</v>
      </c>
      <c r="BI139" s="59">
        <f ca="1">AVERAGE(OFFSET($BH$3,0,0,'Données projet'!$E$11+1,1))-AVERAGE(OFFSET($H$3,0,0,'Données projet'!$E$11+1,1))</f>
        <v>666.1523645983184</v>
      </c>
      <c r="BJ139" s="59">
        <f t="shared" si="146"/>
        <v>294.13851344047526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45.233173858070685</v>
      </c>
      <c r="BQ139" s="21">
        <f>EXP(-LN(2)/25)*BQ138+(1-EXP(-LN(2)/25))/(LN(2)/25)*Calculateur!BL139*Calculateur!BN139*VLOOKUP('Données projet'!$B$11,Paramètres!$A$1:$I$89,3,0)*0.475*44/12</f>
        <v>23.64971765685122</v>
      </c>
      <c r="BR139" s="21">
        <f>EXP(-LN(2)/2)*BR138+(1-EXP(-LN(2)/2))/(LN(2)/2)*BL139*BO139*VLOOKUP('Données projet'!$B$11,Paramètres!$A$1:$I$89,3,0)*0.475*44/12</f>
        <v>8.3907543262123574E-2</v>
      </c>
      <c r="BS139" s="22">
        <f t="shared" si="117"/>
        <v>68.966799058184037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9.1440000000000055</v>
      </c>
      <c r="BY139" s="12">
        <f>IF('Données projet'!$A$114&gt;35,BY138+BX139-CG138,IF(A139&lt;'Données projet'!$A$114,$BV$205^A139,IF(A139='Données projet'!$A$114,'Données projet'!$B$114,BY138+BX139-CG138)))</f>
        <v>441.78800000000092</v>
      </c>
      <c r="BZ139" s="13">
        <f>BY139*VLOOKUP('Données projet'!$B$12,Paramètres!$A$1:$I$89,3,0)*VLOOKUP('Données projet'!$B$12,Paramètres!$A$1:$I$89,5,0)</f>
        <v>475.54060320000093</v>
      </c>
      <c r="CA139" s="13">
        <f t="shared" si="147"/>
        <v>106.93380784621144</v>
      </c>
      <c r="CB139" s="20">
        <f t="shared" si="118"/>
        <v>1014.4762659054865</v>
      </c>
      <c r="CC139" s="59">
        <f t="shared" si="119"/>
        <v>1307.8095992388198</v>
      </c>
      <c r="CD139" s="59">
        <f ca="1">AVERAGE(OFFSET($CC$3,0,0,'Données projet'!$E$12+1,1))-AVERAGE(OFFSET($H$3,0,0,'Données projet'!$E$12+1,1))</f>
        <v>747.18304127457918</v>
      </c>
      <c r="CE139" s="59">
        <f t="shared" si="148"/>
        <v>327.03701004966723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51.165393380440584</v>
      </c>
      <c r="CL139" s="21">
        <f>EXP(-LN(2)/25)*CL138+(1-EXP(-LN(2)/25))/(LN(2)/25)*Calculateur!CG139*Calculateur!CI139*VLOOKUP('Données projet'!$B$12,Paramètres!$A$1:$I$89,3,0)*0.475*44/12</f>
        <v>26.751319972503847</v>
      </c>
      <c r="CM139" s="21">
        <f>EXP(-LN(2)/2)*CM138+(1-EXP(-LN(2)/2))/(LN(2)/2)*CG139*CJ139*VLOOKUP('Données projet'!$B$12,Paramètres!$A$1:$I$89,3,0)*0.475*44/12</f>
        <v>9.4911811230926568E-2</v>
      </c>
      <c r="CN139" s="22">
        <f t="shared" si="120"/>
        <v>78.011625164175356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9.1440000000000055</v>
      </c>
      <c r="CT139" s="12">
        <f>IF('Données projet'!$A$140&gt;35,CT138+CS139-DB138,IF(A139&lt;'Données projet'!$A$140,$CQ$205^A139,IF(A139='Données projet'!$A$140,'Données projet'!$B$140,CT138+CS139-DB138)))</f>
        <v>441.78800000000092</v>
      </c>
      <c r="CU139" s="17">
        <f>CT139*VLOOKUP('Données projet'!$B$13,Paramètres!$A$1:$I$89,3,0)*VLOOKUP('Données projet'!$B$13,Paramètres!$A$1:$I$89,5,0)</f>
        <v>427.29735360000092</v>
      </c>
      <c r="CV139" s="13">
        <f t="shared" si="149"/>
        <v>97.289343387661134</v>
      </c>
      <c r="CW139" s="20">
        <f t="shared" si="121"/>
        <v>913.6551639201781</v>
      </c>
      <c r="CX139" s="59">
        <f t="shared" si="122"/>
        <v>1206.9884972535115</v>
      </c>
      <c r="CY139" s="59">
        <f ca="1">AVERAGE(OFFSET($CX$3,0,0,'Données projet'!$E$13+1,1))-AVERAGE(OFFSET($H$3,0,0,'Données projet'!$E$13+1,1))</f>
        <v>676.29219382388692</v>
      </c>
      <c r="CZ139" s="59">
        <f t="shared" si="150"/>
        <v>298.25577221580448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45.974701298366938</v>
      </c>
      <c r="DG139" s="21">
        <f>EXP(-LN(2)/25)*DG138+(1-EXP(-LN(2)/25))/(LN(2)/25)*Calculateur!DB139*Calculateur!DD139*VLOOKUP('Données projet'!$B$13,Paramètres!$A$1:$I$89,3,0)*0.475*44/12</f>
        <v>24.037417946307801</v>
      </c>
      <c r="DH139" s="21">
        <f>EXP(-LN(2)/2)*DH138+(1-EXP(-LN(2)/2))/(LN(2)/2)*DB139*DE139*VLOOKUP('Données projet'!$B$13,Paramètres!$A$1:$I$89,3,0)*0.475*44/12</f>
        <v>8.5283076758223886E-2</v>
      </c>
      <c r="DI139" s="22">
        <f t="shared" si="123"/>
        <v>70.097402321432966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-8.8675733422860506E-14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197.51452239559433</v>
      </c>
      <c r="EP139" s="59">
        <f t="shared" si="154"/>
        <v>196.65166921588821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7.3126046789692456</v>
      </c>
      <c r="EW139" s="21">
        <f>EXP(-LN(2)/25)*EW138+(1-EXP(-LN(2)/25))/(LN(2)/25)*Calculateur!ER139*Calculateur!ET139*VLOOKUP('Données projet'!$B$15,Paramètres!$A$1:$I$89,3,0)*0.475*44/12</f>
        <v>4.2346394939196781</v>
      </c>
      <c r="EX139" s="21">
        <f>EXP(-LN(2)/2)*EX138+(1-EXP(-LN(2)/2))/(LN(2)/2)*ER139*EU139*VLOOKUP('Données projet'!$B$15,Paramètres!$A$1:$I$89,3,0)*0.475*44/12</f>
        <v>3.2059731079045644E-9</v>
      </c>
      <c r="EY139" s="22">
        <f t="shared" si="129"/>
        <v>11.547244176094896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1166.6060523701585</v>
      </c>
      <c r="S140" s="59">
        <f ca="1">AVERAGE(OFFSET($R$3,0,0,'Données projet'!$E$9+1,1))-AVERAGE(OFFSET($H$3,0,0,'Données projet'!$E$9+1,1))</f>
        <v>635.71275911100679</v>
      </c>
      <c r="T140" s="59">
        <f t="shared" si="142"/>
        <v>281.7776857269169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9.1440000000000055</v>
      </c>
      <c r="AI140" s="13">
        <f>IF('Données projet'!$A$62&gt;35,AI139+AH140-AQ139,IF(A140&lt;'Données projet'!$A$62,$AF$205^A140,IF(A140='Données projet'!$A$62,'Données projet'!$B$62,AI139+AH140-AQ139)))</f>
        <v>450.93200000000093</v>
      </c>
      <c r="AJ140" s="13">
        <f>AI140*VLOOKUP('Données projet'!$B$10,Paramètres!$A$1:$I$89,3,0)*VLOOKUP('Données projet'!$B$10,Paramètres!$A$1:$I$89,5,0)</f>
        <v>457.24504800000096</v>
      </c>
      <c r="AK140" s="13">
        <f t="shared" si="143"/>
        <v>103.29034565107023</v>
      </c>
      <c r="AL140" s="20">
        <f t="shared" si="112"/>
        <v>976.26581060894898</v>
      </c>
      <c r="AM140" s="59">
        <f t="shared" si="113"/>
        <v>1269.5991439422824</v>
      </c>
      <c r="AN140" s="59">
        <f ca="1">AVERAGE(OFFSET($AM$3,0,0,'Données projet'!$E$10+1,1))-AVERAGE(OFFSET($H$3,0,0,'Données projet'!$E$10+1,1))</f>
        <v>706.69239849991595</v>
      </c>
      <c r="AO140" s="59">
        <f t="shared" si="144"/>
        <v>310.59887275116529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47.25412506614218</v>
      </c>
      <c r="AV140" s="21">
        <f>EXP(-LN(2)/25)*AV139+(1-EXP(-LN(2)/25))/(LN(2)/25)*Calculateur!AQ140*Calculateur!AS140*VLOOKUP('Données projet'!$B$10,Paramètres!$A$1:$I$89,3,0)*0.475*44/12</f>
        <v>24.511409302452492</v>
      </c>
      <c r="AW140" s="21">
        <f>EXP(-LN(2)/2)*AW139+(1-EXP(-LN(2)/2))/(LN(2)/2)*AQ140*AT140*VLOOKUP('Données projet'!$B$10,Paramètres!$A$1:$I$89,3,0)*0.475*44/12</f>
        <v>6.3222189084718411E-2</v>
      </c>
      <c r="AX140" s="21">
        <f t="shared" si="114"/>
        <v>71.828756557679384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429.10689120000086</v>
      </c>
      <c r="BF140" s="13">
        <f t="shared" si="145"/>
        <v>97.653301583534528</v>
      </c>
      <c r="BG140" s="20">
        <f t="shared" si="115"/>
        <v>917.44066909799074</v>
      </c>
      <c r="BH140" s="59">
        <f t="shared" si="116"/>
        <v>1210.7740024313241</v>
      </c>
      <c r="BI140" s="59">
        <f ca="1">AVERAGE(OFFSET($BH$3,0,0,'Données projet'!$E$11+1,1))-AVERAGE(OFFSET($H$3,0,0,'Données projet'!$E$11+1,1))</f>
        <v>666.1523645983184</v>
      </c>
      <c r="BJ140" s="59">
        <f t="shared" si="146"/>
        <v>294.13851344047526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44.346178908225738</v>
      </c>
      <c r="BQ140" s="21">
        <f>EXP(-LN(2)/25)*BQ139+(1-EXP(-LN(2)/25))/(LN(2)/25)*Calculateur!BL140*Calculateur!BN140*VLOOKUP('Données projet'!$B$11,Paramètres!$A$1:$I$89,3,0)*0.475*44/12</f>
        <v>23.003014883840024</v>
      </c>
      <c r="BR140" s="21">
        <f>EXP(-LN(2)/2)*BR139+(1-EXP(-LN(2)/2))/(LN(2)/2)*BL140*BO140*VLOOKUP('Données projet'!$B$11,Paramètres!$A$1:$I$89,3,0)*0.475*44/12</f>
        <v>5.9331592833351189E-2</v>
      </c>
      <c r="BS140" s="22">
        <f t="shared" si="117"/>
        <v>67.408525384899107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9.1440000000000055</v>
      </c>
      <c r="BY140" s="12">
        <f>IF('Données projet'!$A$114&gt;35,BY139+BX140-CG139,IF(A140&lt;'Données projet'!$A$114,$BV$205^A140,IF(A140='Données projet'!$A$114,'Données projet'!$B$114,BY139+BX140-CG139)))</f>
        <v>450.93200000000093</v>
      </c>
      <c r="BZ140" s="13">
        <f>BY140*VLOOKUP('Données projet'!$B$12,Paramètres!$A$1:$I$89,3,0)*VLOOKUP('Données projet'!$B$12,Paramètres!$A$1:$I$89,5,0)</f>
        <v>485.38320480000101</v>
      </c>
      <c r="CA140" s="13">
        <f t="shared" si="147"/>
        <v>108.88712859233728</v>
      </c>
      <c r="CB140" s="20">
        <f t="shared" si="118"/>
        <v>1035.0208306583224</v>
      </c>
      <c r="CC140" s="59">
        <f t="shared" si="119"/>
        <v>1328.3541639916557</v>
      </c>
      <c r="CD140" s="59">
        <f ca="1">AVERAGE(OFFSET($CC$3,0,0,'Données projet'!$E$12+1,1))-AVERAGE(OFFSET($H$3,0,0,'Données projet'!$E$12+1,1))</f>
        <v>747.18304127457918</v>
      </c>
      <c r="CE140" s="59">
        <f t="shared" si="148"/>
        <v>327.03701004966723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50.162071224058593</v>
      </c>
      <c r="CL140" s="21">
        <f>EXP(-LN(2)/25)*CL139+(1-EXP(-LN(2)/25))/(LN(2)/25)*Calculateur!CG140*Calculateur!CI140*VLOOKUP('Données projet'!$B$12,Paramètres!$A$1:$I$89,3,0)*0.475*44/12</f>
        <v>26.019803721064953</v>
      </c>
      <c r="CM140" s="21">
        <f>EXP(-LN(2)/2)*CM139+(1-EXP(-LN(2)/2))/(LN(2)/2)*CG140*CJ140*VLOOKUP('Données projet'!$B$12,Paramètres!$A$1:$I$89,3,0)*0.475*44/12</f>
        <v>6.7112785336085695E-2</v>
      </c>
      <c r="CN140" s="22">
        <f t="shared" si="120"/>
        <v>76.248987730459632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9.1440000000000055</v>
      </c>
      <c r="CT140" s="12">
        <f>IF('Données projet'!$A$140&gt;35,CT139+CS140-DB139,IF(A140&lt;'Données projet'!$A$140,$CQ$205^A140,IF(A140='Données projet'!$A$140,'Données projet'!$B$140,CT139+CS140-DB139)))</f>
        <v>450.93200000000093</v>
      </c>
      <c r="CU140" s="17">
        <f>CT140*VLOOKUP('Données projet'!$B$13,Paramètres!$A$1:$I$89,3,0)*VLOOKUP('Données projet'!$B$13,Paramètres!$A$1:$I$89,5,0)</f>
        <v>436.1414304000009</v>
      </c>
      <c r="CV140" s="13">
        <f t="shared" si="149"/>
        <v>99.066492229956026</v>
      </c>
      <c r="CW140" s="20">
        <f t="shared" si="121"/>
        <v>932.15379858050812</v>
      </c>
      <c r="CX140" s="59">
        <f t="shared" si="122"/>
        <v>1225.4871319138415</v>
      </c>
      <c r="CY140" s="59">
        <f ca="1">AVERAGE(OFFSET($CX$3,0,0,'Données projet'!$E$13+1,1))-AVERAGE(OFFSET($H$3,0,0,'Données projet'!$E$13+1,1))</f>
        <v>676.29219382388692</v>
      </c>
      <c r="CZ140" s="59">
        <f t="shared" si="150"/>
        <v>298.25577221580448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45.073165447704859</v>
      </c>
      <c r="DG140" s="21">
        <f>EXP(-LN(2)/25)*DG139+(1-EXP(-LN(2)/25))/(LN(2)/25)*Calculateur!DB140*Calculateur!DD140*VLOOKUP('Données projet'!$B$13,Paramètres!$A$1:$I$89,3,0)*0.475*44/12</f>
        <v>23.380113488493144</v>
      </c>
      <c r="DH140" s="21">
        <f>EXP(-LN(2)/2)*DH139+(1-EXP(-LN(2)/2))/(LN(2)/2)*DB140*DE140*VLOOKUP('Données projet'!$B$13,Paramètres!$A$1:$I$89,3,0)*0.475*44/12</f>
        <v>6.0304241896192955E-2</v>
      </c>
      <c r="DI140" s="22">
        <f t="shared" si="123"/>
        <v>68.513583178094194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-8.8675733422860506E-14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197.51452239559433</v>
      </c>
      <c r="EP140" s="59">
        <f t="shared" si="154"/>
        <v>196.65166921588821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7.1692089614630996</v>
      </c>
      <c r="EW140" s="21">
        <f>EXP(-LN(2)/25)*EW139+(1-EXP(-LN(2)/25))/(LN(2)/25)*Calculateur!ER140*Calculateur!ET140*VLOOKUP('Données projet'!$B$15,Paramètres!$A$1:$I$89,3,0)*0.475*44/12</f>
        <v>4.1188430542684316</v>
      </c>
      <c r="EX140" s="21">
        <f>EXP(-LN(2)/2)*EX139+(1-EXP(-LN(2)/2))/(LN(2)/2)*ER140*EU140*VLOOKUP('Données projet'!$B$15,Paramètres!$A$1:$I$89,3,0)*0.475*44/12</f>
        <v>2.2669653249010285E-9</v>
      </c>
      <c r="EY140" s="22">
        <f t="shared" si="129"/>
        <v>11.288052017998496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1183.9269116070341</v>
      </c>
      <c r="S141" s="59">
        <f ca="1">AVERAGE(OFFSET($R$3,0,0,'Données projet'!$E$9+1,1))-AVERAGE(OFFSET($H$3,0,0,'Données projet'!$E$9+1,1))</f>
        <v>635.71275911100679</v>
      </c>
      <c r="T141" s="59">
        <f t="shared" si="142"/>
        <v>281.7776857269169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9.1440000000000055</v>
      </c>
      <c r="AI141" s="13">
        <f>IF('Données projet'!$A$62&gt;35,AI140+AH141-AQ140,IF(A141&lt;'Données projet'!$A$62,$AF$205^A141,IF(A141='Données projet'!$A$62,'Données projet'!$B$62,AI140+AH141-AQ140)))</f>
        <v>460.07600000000093</v>
      </c>
      <c r="AJ141" s="13">
        <f>AI141*VLOOKUP('Données projet'!$B$10,Paramètres!$A$1:$I$89,3,0)*VLOOKUP('Données projet'!$B$10,Paramètres!$A$1:$I$89,5,0)</f>
        <v>466.51706400000097</v>
      </c>
      <c r="AK141" s="13">
        <f t="shared" si="143"/>
        <v>105.13889727137632</v>
      </c>
      <c r="AL141" s="20">
        <f t="shared" si="112"/>
        <v>995.63413254764862</v>
      </c>
      <c r="AM141" s="59">
        <f t="shared" si="113"/>
        <v>1288.967465880982</v>
      </c>
      <c r="AN141" s="59">
        <f ca="1">AVERAGE(OFFSET($AM$3,0,0,'Données projet'!$E$10+1,1))-AVERAGE(OFFSET($H$3,0,0,'Données projet'!$E$10+1,1))</f>
        <v>706.69239849991595</v>
      </c>
      <c r="AO141" s="59">
        <f t="shared" si="144"/>
        <v>310.59887275116529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46.32750049576547</v>
      </c>
      <c r="AV141" s="21">
        <f>EXP(-LN(2)/25)*AV140+(1-EXP(-LN(2)/25))/(LN(2)/25)*Calculateur!AQ141*Calculateur!AS141*VLOOKUP('Données projet'!$B$10,Paramètres!$A$1:$I$89,3,0)*0.475*44/12</f>
        <v>23.841143526077936</v>
      </c>
      <c r="AW141" s="21">
        <f>EXP(-LN(2)/2)*AW140+(1-EXP(-LN(2)/2))/(LN(2)/2)*AQ141*AT141*VLOOKUP('Données projet'!$B$10,Paramètres!$A$1:$I$89,3,0)*0.475*44/12</f>
        <v>4.4704838623262515E-2</v>
      </c>
      <c r="AX141" s="21">
        <f t="shared" si="114"/>
        <v>70.213348860466667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437.80832160000091</v>
      </c>
      <c r="BF141" s="13">
        <f t="shared" si="145"/>
        <v>99.400968974253743</v>
      </c>
      <c r="BG141" s="20">
        <f t="shared" si="115"/>
        <v>935.63951441682673</v>
      </c>
      <c r="BH141" s="59">
        <f t="shared" si="116"/>
        <v>1228.9728477501601</v>
      </c>
      <c r="BI141" s="59">
        <f ca="1">AVERAGE(OFFSET($BH$3,0,0,'Données projet'!$E$11+1,1))-AVERAGE(OFFSET($H$3,0,0,'Données projet'!$E$11+1,1))</f>
        <v>666.1523645983184</v>
      </c>
      <c r="BJ141" s="59">
        <f t="shared" si="146"/>
        <v>294.13851344047526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43.476577388333752</v>
      </c>
      <c r="BQ141" s="21">
        <f>EXP(-LN(2)/25)*BQ140+(1-EXP(-LN(2)/25))/(LN(2)/25)*Calculateur!BL141*Calculateur!BN141*VLOOKUP('Données projet'!$B$11,Paramètres!$A$1:$I$89,3,0)*0.475*44/12</f>
        <v>22.373996232165439</v>
      </c>
      <c r="BR141" s="21">
        <f>EXP(-LN(2)/2)*BR140+(1-EXP(-LN(2)/2))/(LN(2)/2)*BL141*BO141*VLOOKUP('Données projet'!$B$11,Paramètres!$A$1:$I$89,3,0)*0.475*44/12</f>
        <v>4.1953771631061794E-2</v>
      </c>
      <c r="BS141" s="22">
        <f t="shared" si="117"/>
        <v>65.892527392130248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9.1440000000000055</v>
      </c>
      <c r="BY141" s="12">
        <f>IF('Données projet'!$A$114&gt;35,BY140+BX141-CG140,IF(A141&lt;'Données projet'!$A$114,$BV$205^A141,IF(A141='Données projet'!$A$114,'Données projet'!$B$114,BY140+BX141-CG140)))</f>
        <v>460.07600000000093</v>
      </c>
      <c r="BZ141" s="13">
        <f>BY141*VLOOKUP('Données projet'!$B$12,Paramètres!$A$1:$I$89,3,0)*VLOOKUP('Données projet'!$B$12,Paramètres!$A$1:$I$89,5,0)</f>
        <v>495.22580640000092</v>
      </c>
      <c r="CA141" s="13">
        <f t="shared" si="147"/>
        <v>110.83584390276725</v>
      </c>
      <c r="CB141" s="20">
        <f t="shared" si="118"/>
        <v>1055.5573742773213</v>
      </c>
      <c r="CC141" s="59">
        <f t="shared" si="119"/>
        <v>1348.8907076106545</v>
      </c>
      <c r="CD141" s="59">
        <f ca="1">AVERAGE(OFFSET($CC$3,0,0,'Données projet'!$E$12+1,1))-AVERAGE(OFFSET($H$3,0,0,'Données projet'!$E$12+1,1))</f>
        <v>747.18304127457918</v>
      </c>
      <c r="CE141" s="59">
        <f t="shared" si="148"/>
        <v>327.03701004966723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49.17842360319716</v>
      </c>
      <c r="CL141" s="21">
        <f>EXP(-LN(2)/25)*CL140+(1-EXP(-LN(2)/25))/(LN(2)/25)*Calculateur!CG141*Calculateur!CI141*VLOOKUP('Données projet'!$B$12,Paramètres!$A$1:$I$89,3,0)*0.475*44/12</f>
        <v>25.308290819990422</v>
      </c>
      <c r="CM141" s="21">
        <f>EXP(-LN(2)/2)*CM140+(1-EXP(-LN(2)/2))/(LN(2)/2)*CG141*CJ141*VLOOKUP('Données projet'!$B$12,Paramètres!$A$1:$I$89,3,0)*0.475*44/12</f>
        <v>4.7455905615463284E-2</v>
      </c>
      <c r="CN141" s="22">
        <f t="shared" si="120"/>
        <v>74.534170328803043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9.1440000000000055</v>
      </c>
      <c r="CT141" s="12">
        <f>IF('Données projet'!$A$140&gt;35,CT140+CS141-DB140,IF(A141&lt;'Données projet'!$A$140,$CQ$205^A141,IF(A141='Données projet'!$A$140,'Données projet'!$B$140,CT140+CS141-DB140)))</f>
        <v>460.07600000000093</v>
      </c>
      <c r="CU141" s="17">
        <f>CT141*VLOOKUP('Données projet'!$B$13,Paramètres!$A$1:$I$89,3,0)*VLOOKUP('Données projet'!$B$13,Paramètres!$A$1:$I$89,5,0)</f>
        <v>444.98550720000088</v>
      </c>
      <c r="CV141" s="13">
        <f t="shared" si="149"/>
        <v>100.8394510052938</v>
      </c>
      <c r="CW141" s="20">
        <f t="shared" si="121"/>
        <v>950.64513554088808</v>
      </c>
      <c r="CX141" s="59">
        <f t="shared" si="122"/>
        <v>1243.9784688742213</v>
      </c>
      <c r="CY141" s="59">
        <f ca="1">AVERAGE(OFFSET($CX$3,0,0,'Données projet'!$E$13+1,1))-AVERAGE(OFFSET($H$3,0,0,'Données projet'!$E$13+1,1))</f>
        <v>676.29219382388692</v>
      </c>
      <c r="CZ141" s="59">
        <f t="shared" si="150"/>
        <v>298.25577221580448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44.18930816519169</v>
      </c>
      <c r="DG141" s="21">
        <f>EXP(-LN(2)/25)*DG140+(1-EXP(-LN(2)/25))/(LN(2)/25)*Calculateur!DB141*Calculateur!DD141*VLOOKUP('Données projet'!$B$13,Paramètres!$A$1:$I$89,3,0)*0.475*44/12</f>
        <v>22.740783055643568</v>
      </c>
      <c r="DH141" s="21">
        <f>EXP(-LN(2)/2)*DH140+(1-EXP(-LN(2)/2))/(LN(2)/2)*DB141*DE141*VLOOKUP('Données projet'!$B$13,Paramètres!$A$1:$I$89,3,0)*0.475*44/12</f>
        <v>4.2641538379111943E-2</v>
      </c>
      <c r="DI141" s="22">
        <f t="shared" si="123"/>
        <v>66.972732759214381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-8.8675733422860506E-14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197.51452239559433</v>
      </c>
      <c r="EP141" s="59">
        <f t="shared" si="154"/>
        <v>196.65166921588821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7.0286251465144982</v>
      </c>
      <c r="EW141" s="21">
        <f>EXP(-LN(2)/25)*EW140+(1-EXP(-LN(2)/25))/(LN(2)/25)*Calculateur!ER141*Calculateur!ET141*VLOOKUP('Données projet'!$B$15,Paramètres!$A$1:$I$89,3,0)*0.475*44/12</f>
        <v>4.0062130743489188</v>
      </c>
      <c r="EX141" s="21">
        <f>EXP(-LN(2)/2)*EX140+(1-EXP(-LN(2)/2))/(LN(2)/2)*ER141*EU141*VLOOKUP('Données projet'!$B$15,Paramètres!$A$1:$I$89,3,0)*0.475*44/12</f>
        <v>1.6029865539522822E-9</v>
      </c>
      <c r="EY141" s="22">
        <f t="shared" si="129"/>
        <v>11.034838222466403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1201.2410432628674</v>
      </c>
      <c r="S142" s="59">
        <f ca="1">AVERAGE(OFFSET($R$3,0,0,'Données projet'!$E$9+1,1))-AVERAGE(OFFSET($H$3,0,0,'Données projet'!$E$9+1,1))</f>
        <v>635.71275911100679</v>
      </c>
      <c r="T142" s="59">
        <f t="shared" si="142"/>
        <v>281.7776857269169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9.1440000000000055</v>
      </c>
      <c r="AI142" s="13">
        <f>IF('Données projet'!$A$62&gt;35,AI141+AH142-AQ141,IF(A142&lt;'Données projet'!$A$62,$AF$205^A142,IF(A142='Données projet'!$A$62,'Données projet'!$B$62,AI141+AH142-AQ141)))</f>
        <v>469.22000000000094</v>
      </c>
      <c r="AJ142" s="13">
        <f>AI142*VLOOKUP('Données projet'!$B$10,Paramètres!$A$1:$I$89,3,0)*VLOOKUP('Données projet'!$B$10,Paramètres!$A$1:$I$89,5,0)</f>
        <v>475.78908000000098</v>
      </c>
      <c r="AK142" s="13">
        <f t="shared" si="143"/>
        <v>106.98317701049932</v>
      </c>
      <c r="AL142" s="20">
        <f t="shared" si="112"/>
        <v>1014.9950142932879</v>
      </c>
      <c r="AM142" s="59">
        <f t="shared" si="113"/>
        <v>1308.3283476266213</v>
      </c>
      <c r="AN142" s="59">
        <f ca="1">AVERAGE(OFFSET($AM$3,0,0,'Données projet'!$E$10+1,1))-AVERAGE(OFFSET($H$3,0,0,'Données projet'!$E$10+1,1))</f>
        <v>706.69239849991595</v>
      </c>
      <c r="AO142" s="59">
        <f t="shared" si="144"/>
        <v>310.59887275116529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45.419046468028668</v>
      </c>
      <c r="AV142" s="21">
        <f>EXP(-LN(2)/25)*AV141+(1-EXP(-LN(2)/25))/(LN(2)/25)*Calculateur!AQ142*Calculateur!AS142*VLOOKUP('Données projet'!$B$10,Paramètres!$A$1:$I$89,3,0)*0.475*44/12</f>
        <v>23.189206202606087</v>
      </c>
      <c r="AW142" s="21">
        <f>EXP(-LN(2)/2)*AW141+(1-EXP(-LN(2)/2))/(LN(2)/2)*AQ142*AT142*VLOOKUP('Données projet'!$B$10,Paramètres!$A$1:$I$89,3,0)*0.475*44/12</f>
        <v>3.1611094542359205E-2</v>
      </c>
      <c r="AX142" s="21">
        <f t="shared" si="114"/>
        <v>68.639863765177111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446.5097520000009</v>
      </c>
      <c r="BF142" s="13">
        <f t="shared" si="145"/>
        <v>101.14459762060724</v>
      </c>
      <c r="BG142" s="20">
        <f t="shared" si="115"/>
        <v>953.8313255892258</v>
      </c>
      <c r="BH142" s="59">
        <f t="shared" si="116"/>
        <v>1247.1646589225591</v>
      </c>
      <c r="BI142" s="59">
        <f ca="1">AVERAGE(OFFSET($BH$3,0,0,'Données projet'!$E$11+1,1))-AVERAGE(OFFSET($H$3,0,0,'Données projet'!$E$11+1,1))</f>
        <v>666.1523645983184</v>
      </c>
      <c r="BJ142" s="59">
        <f t="shared" si="146"/>
        <v>294.13851344047526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42.624028223842288</v>
      </c>
      <c r="BQ142" s="21">
        <f>EXP(-LN(2)/25)*BQ141+(1-EXP(-LN(2)/25))/(LN(2)/25)*Calculateur!BL142*Calculateur!BN142*VLOOKUP('Données projet'!$B$11,Paramètres!$A$1:$I$89,3,0)*0.475*44/12</f>
        <v>21.762178128599551</v>
      </c>
      <c r="BR142" s="21">
        <f>EXP(-LN(2)/2)*BR141+(1-EXP(-LN(2)/2))/(LN(2)/2)*BL142*BO142*VLOOKUP('Données projet'!$B$11,Paramètres!$A$1:$I$89,3,0)*0.475*44/12</f>
        <v>2.9665796416675598E-2</v>
      </c>
      <c r="BS142" s="22">
        <f t="shared" si="117"/>
        <v>64.415872148858512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9.1440000000000055</v>
      </c>
      <c r="BY142" s="12">
        <f>IF('Données projet'!$A$114&gt;35,BY141+BX142-CG141,IF(A142&lt;'Données projet'!$A$114,$BV$205^A142,IF(A142='Données projet'!$A$114,'Données projet'!$B$114,BY141+BX142-CG141)))</f>
        <v>469.22000000000094</v>
      </c>
      <c r="BZ142" s="13">
        <f>BY142*VLOOKUP('Données projet'!$B$12,Paramètres!$A$1:$I$89,3,0)*VLOOKUP('Données projet'!$B$12,Paramètres!$A$1:$I$89,5,0)</f>
        <v>505.068408000001</v>
      </c>
      <c r="CA142" s="13">
        <f t="shared" si="147"/>
        <v>112.78005586031574</v>
      </c>
      <c r="CB142" s="20">
        <f t="shared" si="118"/>
        <v>1076.0860745567184</v>
      </c>
      <c r="CC142" s="59">
        <f t="shared" si="119"/>
        <v>1369.4194078900516</v>
      </c>
      <c r="CD142" s="59">
        <f ca="1">AVERAGE(OFFSET($CC$3,0,0,'Données projet'!$E$12+1,1))-AVERAGE(OFFSET($H$3,0,0,'Données projet'!$E$12+1,1))</f>
        <v>747.18304127457918</v>
      </c>
      <c r="CE142" s="59">
        <f t="shared" si="148"/>
        <v>327.03701004966723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48.214064712215013</v>
      </c>
      <c r="CL142" s="21">
        <f>EXP(-LN(2)/25)*CL141+(1-EXP(-LN(2)/25))/(LN(2)/25)*Calculateur!CG142*Calculateur!CI142*VLOOKUP('Données projet'!$B$12,Paramètres!$A$1:$I$89,3,0)*0.475*44/12</f>
        <v>24.616234276612612</v>
      </c>
      <c r="CM142" s="21">
        <f>EXP(-LN(2)/2)*CM141+(1-EXP(-LN(2)/2))/(LN(2)/2)*CG142*CJ142*VLOOKUP('Données projet'!$B$12,Paramètres!$A$1:$I$89,3,0)*0.475*44/12</f>
        <v>3.3556392668042848E-2</v>
      </c>
      <c r="CN142" s="22">
        <f t="shared" si="120"/>
        <v>72.863855381495668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9.1440000000000055</v>
      </c>
      <c r="CT142" s="12">
        <f>IF('Données projet'!$A$140&gt;35,CT141+CS142-DB141,IF(A142&lt;'Données projet'!$A$140,$CQ$205^A142,IF(A142='Données projet'!$A$140,'Données projet'!$B$140,CT141+CS142-DB141)))</f>
        <v>469.22000000000094</v>
      </c>
      <c r="CU142" s="17">
        <f>CT142*VLOOKUP('Données projet'!$B$13,Paramètres!$A$1:$I$89,3,0)*VLOOKUP('Données projet'!$B$13,Paramètres!$A$1:$I$89,5,0)</f>
        <v>453.82958400000092</v>
      </c>
      <c r="CV142" s="13">
        <f t="shared" si="149"/>
        <v>102.60831258953985</v>
      </c>
      <c r="CW142" s="20">
        <f t="shared" si="121"/>
        <v>969.12933656011683</v>
      </c>
      <c r="CX142" s="59">
        <f t="shared" si="122"/>
        <v>1262.4626698934501</v>
      </c>
      <c r="CY142" s="59">
        <f ca="1">AVERAGE(OFFSET($CX$3,0,0,'Données projet'!$E$13+1,1))-AVERAGE(OFFSET($H$3,0,0,'Données projet'!$E$13+1,1))</f>
        <v>676.29219382388692</v>
      </c>
      <c r="CZ142" s="59">
        <f t="shared" si="150"/>
        <v>298.25577221580448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43.322782784888894</v>
      </c>
      <c r="DG142" s="21">
        <f>EXP(-LN(2)/25)*DG141+(1-EXP(-LN(2)/25))/(LN(2)/25)*Calculateur!DB142*Calculateur!DD142*VLOOKUP('Données projet'!$B$13,Paramètres!$A$1:$I$89,3,0)*0.475*44/12</f>
        <v>22.11893514710119</v>
      </c>
      <c r="DH142" s="21">
        <f>EXP(-LN(2)/2)*DH141+(1-EXP(-LN(2)/2))/(LN(2)/2)*DB142*DE142*VLOOKUP('Données projet'!$B$13,Paramètres!$A$1:$I$89,3,0)*0.475*44/12</f>
        <v>3.0152120948096477E-2</v>
      </c>
      <c r="DI142" s="22">
        <f t="shared" si="123"/>
        <v>65.471870052938186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-8.8675733422860506E-14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197.51452239559433</v>
      </c>
      <c r="EP142" s="59">
        <f t="shared" si="154"/>
        <v>196.65166921588821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6.8907980944293783</v>
      </c>
      <c r="EW142" s="21">
        <f>EXP(-LN(2)/25)*EW141+(1-EXP(-LN(2)/25))/(LN(2)/25)*Calculateur!ER142*Calculateur!ET142*VLOOKUP('Données projet'!$B$15,Paramètres!$A$1:$I$89,3,0)*0.475*44/12</f>
        <v>3.8966629671532584</v>
      </c>
      <c r="EX142" s="21">
        <f>EXP(-LN(2)/2)*EX141+(1-EXP(-LN(2)/2))/(LN(2)/2)*ER142*EU142*VLOOKUP('Données projet'!$B$15,Paramètres!$A$1:$I$89,3,0)*0.475*44/12</f>
        <v>1.1334826624505142E-9</v>
      </c>
      <c r="EY142" s="22">
        <f t="shared" si="129"/>
        <v>10.787461062716119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1218.5485935558677</v>
      </c>
      <c r="S143" s="59">
        <f ca="1">AVERAGE(OFFSET($R$3,0,0,'Données projet'!$E$9+1,1))-AVERAGE(OFFSET($H$3,0,0,'Données projet'!$E$9+1,1))</f>
        <v>635.71275911100679</v>
      </c>
      <c r="T143" s="59">
        <f t="shared" si="142"/>
        <v>281.7776857269169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9.1440000000000055</v>
      </c>
      <c r="AI143" s="13">
        <f>IF('Données projet'!$A$62&gt;35,AI142+AH143-AQ142,IF(A143&lt;'Données projet'!$A$62,$AF$205^A143,IF(A143='Données projet'!$A$62,'Données projet'!$B$62,AI142+AH143-AQ142)))</f>
        <v>478.36400000000094</v>
      </c>
      <c r="AJ143" s="13">
        <f>AI143*VLOOKUP('Données projet'!$B$10,Paramètres!$A$1:$I$89,3,0)*VLOOKUP('Données projet'!$B$10,Paramètres!$A$1:$I$89,5,0)</f>
        <v>485.06109600000099</v>
      </c>
      <c r="AK143" s="13">
        <f t="shared" si="143"/>
        <v>108.82327771411607</v>
      </c>
      <c r="AL143" s="20">
        <f t="shared" si="112"/>
        <v>1034.348617552087</v>
      </c>
      <c r="AM143" s="59">
        <f t="shared" si="113"/>
        <v>1327.6819508854203</v>
      </c>
      <c r="AN143" s="59">
        <f ca="1">AVERAGE(OFFSET($AM$3,0,0,'Données projet'!$E$10+1,1))-AVERAGE(OFFSET($H$3,0,0,'Données projet'!$E$10+1,1))</f>
        <v>706.69239849991595</v>
      </c>
      <c r="AO143" s="59">
        <f t="shared" si="144"/>
        <v>310.59887275116529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44.528406669673537</v>
      </c>
      <c r="AV143" s="21">
        <f>EXP(-LN(2)/25)*AV142+(1-EXP(-LN(2)/25))/(LN(2)/25)*Calculateur!AQ143*Calculateur!AS143*VLOOKUP('Données projet'!$B$10,Paramètres!$A$1:$I$89,3,0)*0.475*44/12</f>
        <v>22.555096139528469</v>
      </c>
      <c r="AW143" s="21">
        <f>EXP(-LN(2)/2)*AW142+(1-EXP(-LN(2)/2))/(LN(2)/2)*AQ143*AT143*VLOOKUP('Données projet'!$B$10,Paramètres!$A$1:$I$89,3,0)*0.475*44/12</f>
        <v>2.2352419311631257E-2</v>
      </c>
      <c r="AX143" s="21">
        <f t="shared" si="114"/>
        <v>67.105855228513633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455.21118240000089</v>
      </c>
      <c r="BF143" s="13">
        <f t="shared" si="145"/>
        <v>102.88427530124351</v>
      </c>
      <c r="BG143" s="20">
        <f t="shared" si="115"/>
        <v>972.016255496334</v>
      </c>
      <c r="BH143" s="59">
        <f t="shared" si="116"/>
        <v>1265.3495888296673</v>
      </c>
      <c r="BI143" s="59">
        <f ca="1">AVERAGE(OFFSET($BH$3,0,0,'Données projet'!$E$11+1,1))-AVERAGE(OFFSET($H$3,0,0,'Données projet'!$E$11+1,1))</f>
        <v>666.1523645983184</v>
      </c>
      <c r="BJ143" s="59">
        <f t="shared" si="146"/>
        <v>294.13851344047526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41.788197028462861</v>
      </c>
      <c r="BQ143" s="21">
        <f>EXP(-LN(2)/25)*BQ142+(1-EXP(-LN(2)/25))/(LN(2)/25)*Calculateur!BL143*Calculateur!BN143*VLOOKUP('Données projet'!$B$11,Paramètres!$A$1:$I$89,3,0)*0.475*44/12</f>
        <v>21.167090223249787</v>
      </c>
      <c r="BR143" s="21">
        <f>EXP(-LN(2)/2)*BR142+(1-EXP(-LN(2)/2))/(LN(2)/2)*BL143*BO143*VLOOKUP('Données projet'!$B$11,Paramètres!$A$1:$I$89,3,0)*0.475*44/12</f>
        <v>2.09768858155309E-2</v>
      </c>
      <c r="BS143" s="22">
        <f t="shared" si="117"/>
        <v>62.976264137528176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9.1440000000000055</v>
      </c>
      <c r="BY143" s="12">
        <f>IF('Données projet'!$A$114&gt;35,BY142+BX143-CG142,IF(A143&lt;'Données projet'!$A$114,$BV$205^A143,IF(A143='Données projet'!$A$114,'Données projet'!$B$114,BY142+BX143-CG142)))</f>
        <v>478.36400000000094</v>
      </c>
      <c r="BZ143" s="13">
        <f>BY143*VLOOKUP('Données projet'!$B$12,Paramètres!$A$1:$I$89,3,0)*VLOOKUP('Données projet'!$B$12,Paramètres!$A$1:$I$89,5,0)</f>
        <v>514.91100960000108</v>
      </c>
      <c r="CA143" s="13">
        <f t="shared" si="147"/>
        <v>114.71986234149864</v>
      </c>
      <c r="CB143" s="20">
        <f t="shared" si="118"/>
        <v>1096.6071019647786</v>
      </c>
      <c r="CC143" s="59">
        <f t="shared" si="119"/>
        <v>1389.9404352981119</v>
      </c>
      <c r="CD143" s="59">
        <f ca="1">AVERAGE(OFFSET($CC$3,0,0,'Données projet'!$E$12+1,1))-AVERAGE(OFFSET($H$3,0,0,'Données projet'!$E$12+1,1))</f>
        <v>747.18304127457918</v>
      </c>
      <c r="CE143" s="59">
        <f t="shared" si="148"/>
        <v>327.03701004966723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47.268616310884184</v>
      </c>
      <c r="CL143" s="21">
        <f>EXP(-LN(2)/25)*CL142+(1-EXP(-LN(2)/25))/(LN(2)/25)*Calculateur!CG143*Calculateur!CI143*VLOOKUP('Données projet'!$B$12,Paramètres!$A$1:$I$89,3,0)*0.475*44/12</f>
        <v>23.943102055807142</v>
      </c>
      <c r="CM143" s="21">
        <f>EXP(-LN(2)/2)*CM142+(1-EXP(-LN(2)/2))/(LN(2)/2)*CG143*CJ143*VLOOKUP('Données projet'!$B$12,Paramètres!$A$1:$I$89,3,0)*0.475*44/12</f>
        <v>2.3727952807731642E-2</v>
      </c>
      <c r="CN143" s="22">
        <f t="shared" si="120"/>
        <v>71.235446319499061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9.1440000000000055</v>
      </c>
      <c r="CT143" s="12">
        <f>IF('Données projet'!$A$140&gt;35,CT142+CS143-DB142,IF(A143&lt;'Données projet'!$A$140,$CQ$205^A143,IF(A143='Données projet'!$A$140,'Données projet'!$B$140,CT142+CS143-DB142)))</f>
        <v>478.36400000000094</v>
      </c>
      <c r="CU143" s="17">
        <f>CT143*VLOOKUP('Données projet'!$B$13,Paramètres!$A$1:$I$89,3,0)*VLOOKUP('Données projet'!$B$13,Paramètres!$A$1:$I$89,5,0)</f>
        <v>462.67366080000096</v>
      </c>
      <c r="CV143" s="13">
        <f t="shared" si="149"/>
        <v>104.37316603163215</v>
      </c>
      <c r="CW143" s="20">
        <f t="shared" si="121"/>
        <v>987.60655673176097</v>
      </c>
      <c r="CX143" s="59">
        <f t="shared" si="122"/>
        <v>1280.9398900650942</v>
      </c>
      <c r="CY143" s="59">
        <f ca="1">AVERAGE(OFFSET($CX$3,0,0,'Données projet'!$E$13+1,1))-AVERAGE(OFFSET($H$3,0,0,'Données projet'!$E$13+1,1))</f>
        <v>676.29219382388692</v>
      </c>
      <c r="CZ143" s="59">
        <f t="shared" si="150"/>
        <v>298.25577221580448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42.473249438765542</v>
      </c>
      <c r="DG143" s="21">
        <f>EXP(-LN(2)/25)*DG142+(1-EXP(-LN(2)/25))/(LN(2)/25)*Calculateur!DB143*Calculateur!DD143*VLOOKUP('Données projet'!$B$13,Paramètres!$A$1:$I$89,3,0)*0.475*44/12</f>
        <v>21.514091702319462</v>
      </c>
      <c r="DH143" s="21">
        <f>EXP(-LN(2)/2)*DH142+(1-EXP(-LN(2)/2))/(LN(2)/2)*DB143*DE143*VLOOKUP('Données projet'!$B$13,Paramètres!$A$1:$I$89,3,0)*0.475*44/12</f>
        <v>2.1320769189555971E-2</v>
      </c>
      <c r="DI143" s="22">
        <f t="shared" si="123"/>
        <v>64.008661910274554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-8.8675733422860506E-14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197.51452239559433</v>
      </c>
      <c r="EP143" s="59">
        <f t="shared" si="154"/>
        <v>196.65166921588821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6.755673746769447</v>
      </c>
      <c r="EW143" s="21">
        <f>EXP(-LN(2)/25)*EW142+(1-EXP(-LN(2)/25))/(LN(2)/25)*Calculateur!ER143*Calculateur!ET143*VLOOKUP('Données projet'!$B$15,Paramètres!$A$1:$I$89,3,0)*0.475*44/12</f>
        <v>3.7901085133998529</v>
      </c>
      <c r="EX143" s="21">
        <f>EXP(-LN(2)/2)*EX142+(1-EXP(-LN(2)/2))/(LN(2)/2)*ER143*EU143*VLOOKUP('Données projet'!$B$15,Paramètres!$A$1:$I$89,3,0)*0.475*44/12</f>
        <v>8.014932769761411E-10</v>
      </c>
      <c r="EY143" s="22">
        <f t="shared" si="129"/>
        <v>10.545782260970794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1235.8497027944395</v>
      </c>
      <c r="S144" s="59">
        <f ca="1">AVERAGE(OFFSET($R$3,0,0,'Données projet'!$E$9+1,1))-AVERAGE(OFFSET($H$3,0,0,'Données projet'!$E$9+1,1))</f>
        <v>635.71275911100679</v>
      </c>
      <c r="T144" s="59">
        <f t="shared" si="142"/>
        <v>281.7776857269169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9.1440000000000055</v>
      </c>
      <c r="AI144" s="13">
        <f>IF('Données projet'!$A$62&gt;35,AI143+AH144-AQ143,IF(A144&lt;'Données projet'!$A$62,$AF$205^A144,IF(A144='Données projet'!$A$62,'Données projet'!$B$62,AI143+AH144-AQ143)))</f>
        <v>487.50800000000095</v>
      </c>
      <c r="AJ144" s="13">
        <f>AI144*VLOOKUP('Données projet'!$B$10,Paramètres!$A$1:$I$89,3,0)*VLOOKUP('Données projet'!$B$10,Paramètres!$A$1:$I$89,5,0)</f>
        <v>494.33311200000099</v>
      </c>
      <c r="AK144" s="13">
        <f t="shared" si="143"/>
        <v>110.65928847529446</v>
      </c>
      <c r="AL144" s="20">
        <f t="shared" si="112"/>
        <v>1053.6950974944727</v>
      </c>
      <c r="AM144" s="59">
        <f t="shared" si="113"/>
        <v>1347.028430827806</v>
      </c>
      <c r="AN144" s="59">
        <f ca="1">AVERAGE(OFFSET($AM$3,0,0,'Données projet'!$E$10+1,1))-AVERAGE(OFFSET($H$3,0,0,'Données projet'!$E$10+1,1))</f>
        <v>706.69239849991595</v>
      </c>
      <c r="AO144" s="59">
        <f t="shared" si="144"/>
        <v>310.59887275116529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43.655231774527515</v>
      </c>
      <c r="AV144" s="21">
        <f>EXP(-LN(2)/25)*AV143+(1-EXP(-LN(2)/25))/(LN(2)/25)*Calculateur!AQ144*Calculateur!AS144*VLOOKUP('Données projet'!$B$10,Paramètres!$A$1:$I$89,3,0)*0.475*44/12</f>
        <v>21.938325849472108</v>
      </c>
      <c r="AW144" s="21">
        <f>EXP(-LN(2)/2)*AW143+(1-EXP(-LN(2)/2))/(LN(2)/2)*AQ144*AT144*VLOOKUP('Données projet'!$B$10,Paramètres!$A$1:$I$89,3,0)*0.475*44/12</f>
        <v>1.5805547271179603E-2</v>
      </c>
      <c r="AX144" s="21">
        <f t="shared" si="114"/>
        <v>65.609363171270815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463.91261280000094</v>
      </c>
      <c r="BF144" s="13">
        <f t="shared" si="145"/>
        <v>104.62008624699871</v>
      </c>
      <c r="BG144" s="20">
        <f t="shared" si="115"/>
        <v>990.19445084019083</v>
      </c>
      <c r="BH144" s="59">
        <f t="shared" si="116"/>
        <v>1283.5277841735242</v>
      </c>
      <c r="BI144" s="59">
        <f ca="1">AVERAGE(OFFSET($BH$3,0,0,'Données projet'!$E$11+1,1))-AVERAGE(OFFSET($H$3,0,0,'Données projet'!$E$11+1,1))</f>
        <v>666.1523645983184</v>
      </c>
      <c r="BJ144" s="59">
        <f t="shared" si="146"/>
        <v>294.13851344047526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40.968755973018133</v>
      </c>
      <c r="BQ144" s="21">
        <f>EXP(-LN(2)/25)*BQ143+(1-EXP(-LN(2)/25))/(LN(2)/25)*Calculateur!BL144*Calculateur!BN144*VLOOKUP('Données projet'!$B$11,Paramètres!$A$1:$I$89,3,0)*0.475*44/12</f>
        <v>20.588275027966123</v>
      </c>
      <c r="BR144" s="21">
        <f>EXP(-LN(2)/2)*BR143+(1-EXP(-LN(2)/2))/(LN(2)/2)*BL144*BO144*VLOOKUP('Données projet'!$B$11,Paramètres!$A$1:$I$89,3,0)*0.475*44/12</f>
        <v>1.4832898208337802E-2</v>
      </c>
      <c r="BS144" s="22">
        <f t="shared" si="117"/>
        <v>61.571863899192593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9.1440000000000055</v>
      </c>
      <c r="BY144" s="12">
        <f>IF('Données projet'!$A$114&gt;35,BY143+BX144-CG143,IF(A144&lt;'Données projet'!$A$114,$BV$205^A144,IF(A144='Données projet'!$A$114,'Données projet'!$B$114,BY143+BX144-CG143)))</f>
        <v>487.50800000000095</v>
      </c>
      <c r="BZ144" s="13">
        <f>BY144*VLOOKUP('Données projet'!$B$12,Paramètres!$A$1:$I$89,3,0)*VLOOKUP('Données projet'!$B$12,Paramètres!$A$1:$I$89,5,0)</f>
        <v>524.75361120000093</v>
      </c>
      <c r="CA144" s="13">
        <f t="shared" si="147"/>
        <v>116.65535726688786</v>
      </c>
      <c r="CB144" s="20">
        <f t="shared" si="118"/>
        <v>1117.1206200798313</v>
      </c>
      <c r="CC144" s="59">
        <f t="shared" si="119"/>
        <v>1410.4539534131645</v>
      </c>
      <c r="CD144" s="59">
        <f ca="1">AVERAGE(OFFSET($CC$3,0,0,'Données projet'!$E$12+1,1))-AVERAGE(OFFSET($H$3,0,0,'Données projet'!$E$12+1,1))</f>
        <v>747.18304127457918</v>
      </c>
      <c r="CE144" s="59">
        <f t="shared" si="148"/>
        <v>327.03701004966723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46.341707576036868</v>
      </c>
      <c r="CL144" s="21">
        <f>EXP(-LN(2)/25)*CL143+(1-EXP(-LN(2)/25))/(LN(2)/25)*Calculateur!CG144*Calculateur!CI144*VLOOKUP('Données projet'!$B$12,Paramètres!$A$1:$I$89,3,0)*0.475*44/12</f>
        <v>23.288376670978082</v>
      </c>
      <c r="CM144" s="21">
        <f>EXP(-LN(2)/2)*CM143+(1-EXP(-LN(2)/2))/(LN(2)/2)*CG144*CJ144*VLOOKUP('Données projet'!$B$12,Paramètres!$A$1:$I$89,3,0)*0.475*44/12</f>
        <v>1.6778196334021424E-2</v>
      </c>
      <c r="CN144" s="22">
        <f t="shared" si="120"/>
        <v>69.646862443348965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9.1440000000000055</v>
      </c>
      <c r="CT144" s="12">
        <f>IF('Données projet'!$A$140&gt;35,CT143+CS144-DB143,IF(A144&lt;'Données projet'!$A$140,$CQ$205^A144,IF(A144='Données projet'!$A$140,'Données projet'!$B$140,CT143+CS144-DB143)))</f>
        <v>487.50800000000095</v>
      </c>
      <c r="CU144" s="17">
        <f>CT144*VLOOKUP('Données projet'!$B$13,Paramètres!$A$1:$I$89,3,0)*VLOOKUP('Données projet'!$B$13,Paramètres!$A$1:$I$89,5,0)</f>
        <v>471.51773760000094</v>
      </c>
      <c r="CV144" s="13">
        <f t="shared" si="149"/>
        <v>106.13409678135424</v>
      </c>
      <c r="CW144" s="20">
        <f t="shared" si="121"/>
        <v>1006.0769448808602</v>
      </c>
      <c r="CX144" s="59">
        <f t="shared" si="122"/>
        <v>1299.4102782141936</v>
      </c>
      <c r="CY144" s="59">
        <f ca="1">AVERAGE(OFFSET($CX$3,0,0,'Données projet'!$E$13+1,1))-AVERAGE(OFFSET($H$3,0,0,'Données projet'!$E$13+1,1))</f>
        <v>676.29219382388692</v>
      </c>
      <c r="CZ144" s="59">
        <f t="shared" si="150"/>
        <v>298.25577221580448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41.640374923395491</v>
      </c>
      <c r="DG144" s="21">
        <f>EXP(-LN(2)/25)*DG143+(1-EXP(-LN(2)/25))/(LN(2)/25)*Calculateur!DB144*Calculateur!DD144*VLOOKUP('Données projet'!$B$13,Paramètres!$A$1:$I$89,3,0)*0.475*44/12</f>
        <v>20.925787733342624</v>
      </c>
      <c r="DH144" s="21">
        <f>EXP(-LN(2)/2)*DH143+(1-EXP(-LN(2)/2))/(LN(2)/2)*DB144*DE144*VLOOKUP('Données projet'!$B$13,Paramètres!$A$1:$I$89,3,0)*0.475*44/12</f>
        <v>1.5076060474048239E-2</v>
      </c>
      <c r="DI144" s="22">
        <f t="shared" si="123"/>
        <v>62.581238717212166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-8.8675733422860506E-14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197.51452239559433</v>
      </c>
      <c r="EP144" s="59">
        <f t="shared" si="154"/>
        <v>196.65166921588821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6.6231991051494123</v>
      </c>
      <c r="EW144" s="21">
        <f>EXP(-LN(2)/25)*EW143+(1-EXP(-LN(2)/25))/(LN(2)/25)*Calculateur!ER144*Calculateur!ET144*VLOOKUP('Données projet'!$B$15,Paramètres!$A$1:$I$89,3,0)*0.475*44/12</f>
        <v>3.6864677967877895</v>
      </c>
      <c r="EX144" s="21">
        <f>EXP(-LN(2)/2)*EX143+(1-EXP(-LN(2)/2))/(LN(2)/2)*ER144*EU144*VLOOKUP('Données projet'!$B$15,Paramètres!$A$1:$I$89,3,0)*0.475*44/12</f>
        <v>5.6674133122525712E-10</v>
      </c>
      <c r="EY144" s="22">
        <f t="shared" si="129"/>
        <v>10.309666902503944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1253.1445057223332</v>
      </c>
      <c r="S145" s="59">
        <f ca="1">AVERAGE(OFFSET($R$3,0,0,'Données projet'!$E$9+1,1))-AVERAGE(OFFSET($H$3,0,0,'Données projet'!$E$9+1,1))</f>
        <v>635.71275911100679</v>
      </c>
      <c r="T145" s="59">
        <f t="shared" si="142"/>
        <v>281.7776857269169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9.1440000000000055</v>
      </c>
      <c r="AI145" s="13">
        <f>IF('Données projet'!$A$62&gt;35,AI144+AH145-AQ144,IF(A145&lt;'Données projet'!$A$62,$AF$205^A145,IF(A145='Données projet'!$A$62,'Données projet'!$B$62,AI144+AH145-AQ144)))</f>
        <v>496.65200000000095</v>
      </c>
      <c r="AJ145" s="13">
        <f>AI145*VLOOKUP('Données projet'!$B$10,Paramètres!$A$1:$I$89,3,0)*VLOOKUP('Données projet'!$B$10,Paramètres!$A$1:$I$89,5,0)</f>
        <v>503.605128000001</v>
      </c>
      <c r="AK145" s="13">
        <f t="shared" si="143"/>
        <v>112.49129485365643</v>
      </c>
      <c r="AL145" s="20">
        <f t="shared" si="112"/>
        <v>1073.0346031367867</v>
      </c>
      <c r="AM145" s="59">
        <f t="shared" si="113"/>
        <v>1366.36793647012</v>
      </c>
      <c r="AN145" s="59">
        <f ca="1">AVERAGE(OFFSET($AM$3,0,0,'Données projet'!$E$10+1,1))-AVERAGE(OFFSET($H$3,0,0,'Données projet'!$E$10+1,1))</f>
        <v>706.69239849991595</v>
      </c>
      <c r="AO145" s="59">
        <f t="shared" si="144"/>
        <v>310.59887275116529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42.799179306491212</v>
      </c>
      <c r="AV145" s="21">
        <f>EXP(-LN(2)/25)*AV144+(1-EXP(-LN(2)/25))/(LN(2)/25)*Calculateur!AQ145*Calculateur!AS145*VLOOKUP('Données projet'!$B$10,Paramètres!$A$1:$I$89,3,0)*0.475*44/12</f>
        <v>21.338421175431876</v>
      </c>
      <c r="AW145" s="21">
        <f>EXP(-LN(2)/2)*AW144+(1-EXP(-LN(2)/2))/(LN(2)/2)*AQ145*AT145*VLOOKUP('Données projet'!$B$10,Paramètres!$A$1:$I$89,3,0)*0.475*44/12</f>
        <v>1.1176209655815629E-2</v>
      </c>
      <c r="AX145" s="21">
        <f t="shared" si="114"/>
        <v>64.148776691578902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472.61404320000088</v>
      </c>
      <c r="BF145" s="13">
        <f t="shared" si="145"/>
        <v>106.35211134810046</v>
      </c>
      <c r="BG145" s="20">
        <f t="shared" si="115"/>
        <v>1008.3660525046098</v>
      </c>
      <c r="BH145" s="59">
        <f t="shared" si="116"/>
        <v>1301.6993858379431</v>
      </c>
      <c r="BI145" s="59">
        <f ca="1">AVERAGE(OFFSET($BH$3,0,0,'Données projet'!$E$11+1,1))-AVERAGE(OFFSET($H$3,0,0,'Données projet'!$E$11+1,1))</f>
        <v>666.1523645983184</v>
      </c>
      <c r="BJ145" s="59">
        <f t="shared" si="146"/>
        <v>294.13851344047526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40.165383656860982</v>
      </c>
      <c r="BQ145" s="21">
        <f>EXP(-LN(2)/25)*BQ144+(1-EXP(-LN(2)/25))/(LN(2)/25)*Calculateur!BL145*Calculateur!BN145*VLOOKUP('Données projet'!$B$11,Paramètres!$A$1:$I$89,3,0)*0.475*44/12</f>
        <v>20.025287564636059</v>
      </c>
      <c r="BR145" s="21">
        <f>EXP(-LN(2)/2)*BR144+(1-EXP(-LN(2)/2))/(LN(2)/2)*BL145*BO145*VLOOKUP('Données projet'!$B$11,Paramètres!$A$1:$I$89,3,0)*0.475*44/12</f>
        <v>1.0488442907765452E-2</v>
      </c>
      <c r="BS145" s="22">
        <f t="shared" si="117"/>
        <v>60.201159664404805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9.1440000000000055</v>
      </c>
      <c r="BY145" s="12">
        <f>IF('Données projet'!$A$114&gt;35,BY144+BX145-CG144,IF(A145&lt;'Données projet'!$A$114,$BV$205^A145,IF(A145='Données projet'!$A$114,'Données projet'!$B$114,BY144+BX145-CG144)))</f>
        <v>496.65200000000095</v>
      </c>
      <c r="BZ145" s="13">
        <f>BY145*VLOOKUP('Données projet'!$B$12,Paramètres!$A$1:$I$89,3,0)*VLOOKUP('Données projet'!$B$12,Paramètres!$A$1:$I$89,5,0)</f>
        <v>534.59621280000101</v>
      </c>
      <c r="CA145" s="13">
        <f t="shared" si="147"/>
        <v>118.58663083214981</v>
      </c>
      <c r="CB145" s="20">
        <f t="shared" si="118"/>
        <v>1137.6267859926627</v>
      </c>
      <c r="CC145" s="59">
        <f t="shared" si="119"/>
        <v>1430.9601193259959</v>
      </c>
      <c r="CD145" s="59">
        <f ca="1">AVERAGE(OFFSET($CC$3,0,0,'Données projet'!$E$12+1,1))-AVERAGE(OFFSET($H$3,0,0,'Données projet'!$E$12+1,1))</f>
        <v>747.18304127457918</v>
      </c>
      <c r="CE145" s="59">
        <f t="shared" si="148"/>
        <v>327.03701004966723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45.432974956121406</v>
      </c>
      <c r="CL145" s="21">
        <f>EXP(-LN(2)/25)*CL144+(1-EXP(-LN(2)/25))/(LN(2)/25)*Calculateur!CG145*Calculateur!CI145*VLOOKUP('Données projet'!$B$12,Paramètres!$A$1:$I$89,3,0)*0.475*44/12</f>
        <v>22.651554786227685</v>
      </c>
      <c r="CM145" s="21">
        <f>EXP(-LN(2)/2)*CM144+(1-EXP(-LN(2)/2))/(LN(2)/2)*CG145*CJ145*VLOOKUP('Données projet'!$B$12,Paramètres!$A$1:$I$89,3,0)*0.475*44/12</f>
        <v>1.1863976403865821E-2</v>
      </c>
      <c r="CN145" s="22">
        <f t="shared" si="120"/>
        <v>68.09639371875295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9.1440000000000055</v>
      </c>
      <c r="CT145" s="12">
        <f>IF('Données projet'!$A$140&gt;35,CT144+CS145-DB144,IF(A145&lt;'Données projet'!$A$140,$CQ$205^A145,IF(A145='Données projet'!$A$140,'Données projet'!$B$140,CT144+CS145-DB144)))</f>
        <v>496.65200000000095</v>
      </c>
      <c r="CU145" s="17">
        <f>CT145*VLOOKUP('Données projet'!$B$13,Paramètres!$A$1:$I$89,3,0)*VLOOKUP('Données projet'!$B$13,Paramètres!$A$1:$I$89,5,0)</f>
        <v>480.36181440000092</v>
      </c>
      <c r="CV145" s="13">
        <f t="shared" si="149"/>
        <v>107.89118689953737</v>
      </c>
      <c r="CW145" s="20">
        <f t="shared" si="121"/>
        <v>1024.5406439300291</v>
      </c>
      <c r="CX145" s="59">
        <f t="shared" si="122"/>
        <v>1317.8739772633623</v>
      </c>
      <c r="CY145" s="59">
        <f ca="1">AVERAGE(OFFSET($CX$3,0,0,'Données projet'!$E$13+1,1))-AVERAGE(OFFSET($H$3,0,0,'Données projet'!$E$13+1,1))</f>
        <v>676.29219382388692</v>
      </c>
      <c r="CZ145" s="59">
        <f t="shared" si="150"/>
        <v>298.25577221580448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40.823832569268554</v>
      </c>
      <c r="DG145" s="21">
        <f>EXP(-LN(2)/25)*DG144+(1-EXP(-LN(2)/25))/(LN(2)/25)*Calculateur!DB145*Calculateur!DD145*VLOOKUP('Données projet'!$B$13,Paramètres!$A$1:$I$89,3,0)*0.475*44/12</f>
        <v>20.35357096733502</v>
      </c>
      <c r="DH145" s="21">
        <f>EXP(-LN(2)/2)*DH144+(1-EXP(-LN(2)/2))/(LN(2)/2)*DB145*DE145*VLOOKUP('Données projet'!$B$13,Paramètres!$A$1:$I$89,3,0)*0.475*44/12</f>
        <v>1.0660384594777986E-2</v>
      </c>
      <c r="DI145" s="22">
        <f t="shared" si="123"/>
        <v>61.188063921198356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-8.8675733422860506E-14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197.51452239559433</v>
      </c>
      <c r="EP145" s="59">
        <f t="shared" si="154"/>
        <v>196.65166921588821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6.4933222104499944</v>
      </c>
      <c r="EW145" s="21">
        <f>EXP(-LN(2)/25)*EW144+(1-EXP(-LN(2)/25))/(LN(2)/25)*Calculateur!ER145*Calculateur!ET145*VLOOKUP('Données projet'!$B$15,Paramètres!$A$1:$I$89,3,0)*0.475*44/12</f>
        <v>3.5856611410217116</v>
      </c>
      <c r="EX145" s="21">
        <f>EXP(-LN(2)/2)*EX144+(1-EXP(-LN(2)/2))/(LN(2)/2)*ER145*EU145*VLOOKUP('Données projet'!$B$15,Paramètres!$A$1:$I$89,3,0)*0.475*44/12</f>
        <v>4.0074663848807055E-10</v>
      </c>
      <c r="EY145" s="22">
        <f t="shared" si="129"/>
        <v>10.078983351872452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1270.4331318376567</v>
      </c>
      <c r="S146" s="59">
        <f ca="1">AVERAGE(OFFSET($R$3,0,0,'Données projet'!$E$9+1,1))-AVERAGE(OFFSET($H$3,0,0,'Données projet'!$E$9+1,1))</f>
        <v>635.71275911100679</v>
      </c>
      <c r="T146" s="59">
        <f t="shared" si="142"/>
        <v>281.7776857269169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9.1440000000000055</v>
      </c>
      <c r="AI146" s="13">
        <f>IF('Données projet'!$A$62&gt;35,AI145+AH146-AQ145,IF(A146&lt;'Données projet'!$A$62,$AF$205^A146,IF(A146='Données projet'!$A$62,'Données projet'!$B$62,AI145+AH146-AQ145)))</f>
        <v>505.79600000000096</v>
      </c>
      <c r="AJ146" s="13">
        <f>AI146*VLOOKUP('Données projet'!$B$10,Paramètres!$A$1:$I$89,3,0)*VLOOKUP('Données projet'!$B$10,Paramètres!$A$1:$I$89,5,0)</f>
        <v>512.87714400000095</v>
      </c>
      <c r="AK146" s="13">
        <f t="shared" si="143"/>
        <v>114.31937907794493</v>
      </c>
      <c r="AL146" s="20">
        <f t="shared" si="112"/>
        <v>1092.3672776940891</v>
      </c>
      <c r="AM146" s="59">
        <f t="shared" si="113"/>
        <v>1385.7006110274224</v>
      </c>
      <c r="AN146" s="59">
        <f ca="1">AVERAGE(OFFSET($AM$3,0,0,'Données projet'!$E$10+1,1))-AVERAGE(OFFSET($H$3,0,0,'Données projet'!$E$10+1,1))</f>
        <v>706.69239849991595</v>
      </c>
      <c r="AO146" s="59">
        <f t="shared" si="144"/>
        <v>310.59887275116529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41.959913505212647</v>
      </c>
      <c r="AV146" s="21">
        <f>EXP(-LN(2)/25)*AV145+(1-EXP(-LN(2)/25))/(LN(2)/25)*Calculateur!AQ146*Calculateur!AS146*VLOOKUP('Données projet'!$B$10,Paramètres!$A$1:$I$89,3,0)*0.475*44/12</f>
        <v>20.75492092625089</v>
      </c>
      <c r="AW146" s="21">
        <f>EXP(-LN(2)/2)*AW145+(1-EXP(-LN(2)/2))/(LN(2)/2)*AQ146*AT146*VLOOKUP('Données projet'!$B$10,Paramètres!$A$1:$I$89,3,0)*0.475*44/12</f>
        <v>7.9027736355898014E-3</v>
      </c>
      <c r="AX146" s="21">
        <f t="shared" si="114"/>
        <v>62.722737205099129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481.31547360000093</v>
      </c>
      <c r="BF146" s="13">
        <f t="shared" si="145"/>
        <v>108.08042834567949</v>
      </c>
      <c r="BG146" s="20">
        <f t="shared" si="115"/>
        <v>1026.5311958887266</v>
      </c>
      <c r="BH146" s="59">
        <f t="shared" si="116"/>
        <v>1319.8645292220599</v>
      </c>
      <c r="BI146" s="59">
        <f ca="1">AVERAGE(OFFSET($BH$3,0,0,'Données projet'!$E$11+1,1))-AVERAGE(OFFSET($H$3,0,0,'Données projet'!$E$11+1,1))</f>
        <v>666.1523645983184</v>
      </c>
      <c r="BJ146" s="59">
        <f t="shared" si="146"/>
        <v>294.13851344047526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39.377764981814948</v>
      </c>
      <c r="BQ146" s="21">
        <f>EXP(-LN(2)/25)*BQ145+(1-EXP(-LN(2)/25))/(LN(2)/25)*Calculateur!BL146*Calculateur!BN146*VLOOKUP('Données projet'!$B$11,Paramètres!$A$1:$I$89,3,0)*0.475*44/12</f>
        <v>19.477695023096981</v>
      </c>
      <c r="BR146" s="21">
        <f>EXP(-LN(2)/2)*BR145+(1-EXP(-LN(2)/2))/(LN(2)/2)*BL146*BO146*VLOOKUP('Données projet'!$B$11,Paramètres!$A$1:$I$89,3,0)*0.475*44/12</f>
        <v>7.4164491041689021E-3</v>
      </c>
      <c r="BS146" s="22">
        <f t="shared" si="117"/>
        <v>58.862876454016103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9.1440000000000055</v>
      </c>
      <c r="BY146" s="12">
        <f>IF('Données projet'!$A$114&gt;35,BY145+BX146-CG145,IF(A146&lt;'Données projet'!$A$114,$BV$205^A146,IF(A146='Données projet'!$A$114,'Données projet'!$B$114,BY145+BX146-CG145)))</f>
        <v>505.79600000000096</v>
      </c>
      <c r="BZ146" s="13">
        <f>BY146*VLOOKUP('Données projet'!$B$12,Paramètres!$A$1:$I$89,3,0)*VLOOKUP('Données projet'!$B$12,Paramètres!$A$1:$I$89,5,0)</f>
        <v>544.43881440000098</v>
      </c>
      <c r="CA146" s="13">
        <f t="shared" si="147"/>
        <v>120.51376972158835</v>
      </c>
      <c r="CB146" s="20">
        <f t="shared" si="118"/>
        <v>1158.1257506784348</v>
      </c>
      <c r="CC146" s="59">
        <f t="shared" si="119"/>
        <v>1451.459084011768</v>
      </c>
      <c r="CD146" s="59">
        <f ca="1">AVERAGE(OFFSET($CC$3,0,0,'Données projet'!$E$12+1,1))-AVERAGE(OFFSET($H$3,0,0,'Données projet'!$E$12+1,1))</f>
        <v>747.18304127457918</v>
      </c>
      <c r="CE146" s="59">
        <f t="shared" si="148"/>
        <v>327.03701004966723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44.542062028610317</v>
      </c>
      <c r="CL146" s="21">
        <f>EXP(-LN(2)/25)*CL145+(1-EXP(-LN(2)/25))/(LN(2)/25)*Calculateur!CG146*Calculateur!CI146*VLOOKUP('Données projet'!$B$12,Paramètres!$A$1:$I$89,3,0)*0.475*44/12</f>
        <v>22.032146829404795</v>
      </c>
      <c r="CM146" s="21">
        <f>EXP(-LN(2)/2)*CM145+(1-EXP(-LN(2)/2))/(LN(2)/2)*CG146*CJ146*VLOOKUP('Données projet'!$B$12,Paramètres!$A$1:$I$89,3,0)*0.475*44/12</f>
        <v>8.3890981670107119E-3</v>
      </c>
      <c r="CN146" s="22">
        <f t="shared" si="120"/>
        <v>66.582597956182127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9.1440000000000055</v>
      </c>
      <c r="CT146" s="12">
        <f>IF('Données projet'!$A$140&gt;35,CT145+CS146-DB145,IF(A146&lt;'Données projet'!$A$140,$CQ$205^A146,IF(A146='Données projet'!$A$140,'Données projet'!$B$140,CT145+CS146-DB145)))</f>
        <v>505.79600000000096</v>
      </c>
      <c r="CU146" s="17">
        <f>CT146*VLOOKUP('Données projet'!$B$13,Paramètres!$A$1:$I$89,3,0)*VLOOKUP('Données projet'!$B$13,Paramètres!$A$1:$I$89,5,0)</f>
        <v>489.20589120000091</v>
      </c>
      <c r="CV146" s="13">
        <f t="shared" si="149"/>
        <v>109.64451525234377</v>
      </c>
      <c r="CW146" s="20">
        <f t="shared" si="121"/>
        <v>1042.9977912378338</v>
      </c>
      <c r="CX146" s="59">
        <f t="shared" si="122"/>
        <v>1336.331124571167</v>
      </c>
      <c r="CY146" s="59">
        <f ca="1">AVERAGE(OFFSET($CX$3,0,0,'Données projet'!$E$13+1,1))-AVERAGE(OFFSET($H$3,0,0,'Données projet'!$E$13+1,1))</f>
        <v>676.29219382388692</v>
      </c>
      <c r="CZ146" s="59">
        <f t="shared" si="150"/>
        <v>298.25577221580448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40.023302112664389</v>
      </c>
      <c r="DG146" s="21">
        <f>EXP(-LN(2)/25)*DG145+(1-EXP(-LN(2)/25))/(LN(2)/25)*Calculateur!DB146*Calculateur!DD146*VLOOKUP('Données projet'!$B$13,Paramètres!$A$1:$I$89,3,0)*0.475*44/12</f>
        <v>19.797001498885464</v>
      </c>
      <c r="DH146" s="21">
        <f>EXP(-LN(2)/2)*DH145+(1-EXP(-LN(2)/2))/(LN(2)/2)*DB146*DE146*VLOOKUP('Données projet'!$B$13,Paramètres!$A$1:$I$89,3,0)*0.475*44/12</f>
        <v>7.5380302370241193E-3</v>
      </c>
      <c r="DI146" s="22">
        <f t="shared" si="123"/>
        <v>59.827841641786875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-8.8675733422860506E-14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197.51452239559433</v>
      </c>
      <c r="EP146" s="59">
        <f t="shared" si="154"/>
        <v>196.65166921588821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6.3659921224385476</v>
      </c>
      <c r="EW146" s="21">
        <f>EXP(-LN(2)/25)*EW145+(1-EXP(-LN(2)/25))/(LN(2)/25)*Calculateur!ER146*Calculateur!ET146*VLOOKUP('Données projet'!$B$15,Paramètres!$A$1:$I$89,3,0)*0.475*44/12</f>
        <v>3.4876110485587488</v>
      </c>
      <c r="EX146" s="21">
        <f>EXP(-LN(2)/2)*EX145+(1-EXP(-LN(2)/2))/(LN(2)/2)*ER146*EU146*VLOOKUP('Données projet'!$B$15,Paramètres!$A$1:$I$89,3,0)*0.475*44/12</f>
        <v>2.8337066561262856E-10</v>
      </c>
      <c r="EY146" s="22">
        <f t="shared" si="129"/>
        <v>9.8536031712806675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1287.7157056881683</v>
      </c>
      <c r="S147" s="59">
        <f ca="1">AVERAGE(OFFSET($R$3,0,0,'Données projet'!$E$9+1,1))-AVERAGE(OFFSET($H$3,0,0,'Données projet'!$E$9+1,1))</f>
        <v>635.71275911100679</v>
      </c>
      <c r="T147" s="59">
        <f t="shared" si="142"/>
        <v>281.7776857269169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9.1440000000000055</v>
      </c>
      <c r="AH147" s="12">
        <f t="array" ref="AH147">INDEX(AG:AG,MIN(IF(ISNUMBER(AG147:AG343),ROW(AG147:AG343),"")))</f>
        <v>9.1440000000000055</v>
      </c>
      <c r="AI147" s="13">
        <f>IF('Données projet'!$A$62&gt;35,AI146+AH147-AQ146,IF(A147&lt;'Données projet'!$A$62,$AF$205^A147,IF(A147='Données projet'!$A$62,'Données projet'!$B$62,AI146+AH147-AQ146)))</f>
        <v>514.94000000000096</v>
      </c>
      <c r="AJ147" s="13">
        <f>AI147*VLOOKUP('Données projet'!$B$10,Paramètres!$A$1:$I$89,3,0)*VLOOKUP('Données projet'!$B$10,Paramètres!$A$1:$I$89,5,0)</f>
        <v>522.14916000000096</v>
      </c>
      <c r="AK147" s="13">
        <f t="shared" si="143"/>
        <v>116.14362023352821</v>
      </c>
      <c r="AL147" s="20">
        <f t="shared" si="112"/>
        <v>1111.6932589067299</v>
      </c>
      <c r="AM147" s="59">
        <f t="shared" si="113"/>
        <v>1405.0265922400631</v>
      </c>
      <c r="AN147" s="59">
        <f ca="1">AVERAGE(OFFSET($AM$3,0,0,'Données projet'!$E$10+1,1))-AVERAGE(OFFSET($H$3,0,0,'Données projet'!$E$10+1,1))</f>
        <v>706.69239849991595</v>
      </c>
      <c r="AO147" s="59">
        <f t="shared" si="144"/>
        <v>310.59887275116529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61.800000000000068</v>
      </c>
      <c r="AR147" s="16">
        <f>IF(ISNA(VLOOKUP(A147,'Données projet'!$A$61:$I$81,5,0)),0%,VLOOKUP(A147,'Données projet'!$A$61:$I$81,5,0)*VLOOKUP('Données projet'!$B$10,Paramètres!$A$1:$I$89,7,0))</f>
        <v>0.215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56.031127516309859</v>
      </c>
      <c r="AV147" s="21">
        <f>EXP(-LN(2)/25)*AV146+(1-EXP(-LN(2)/25))/(LN(2)/25)*Calculateur!AQ147*Calculateur!AS147*VLOOKUP('Données projet'!$B$10,Paramètres!$A$1:$I$89,3,0)*0.475*44/12</f>
        <v>26.121528074454901</v>
      </c>
      <c r="AW147" s="21">
        <f>EXP(-LN(2)/2)*AW146+(1-EXP(-LN(2)/2))/(LN(2)/2)*AQ147*AT147*VLOOKUP('Données projet'!$B$10,Paramètres!$A$1:$I$89,3,0)*0.475*44/12</f>
        <v>5.5881048279078143E-3</v>
      </c>
      <c r="AX147" s="21">
        <f t="shared" si="114"/>
        <v>82.158243695592674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490.01690400000092</v>
      </c>
      <c r="BF147" s="13">
        <f t="shared" si="145"/>
        <v>109.80511200904009</v>
      </c>
      <c r="BG147" s="20">
        <f t="shared" si="115"/>
        <v>1044.6900112157464</v>
      </c>
      <c r="BH147" s="59">
        <f t="shared" si="116"/>
        <v>1338.0233445490796</v>
      </c>
      <c r="BI147" s="59">
        <f ca="1">AVERAGE(OFFSET($BH$3,0,0,'Données projet'!$E$11+1,1))-AVERAGE(OFFSET($H$3,0,0,'Données projet'!$E$11+1,1))</f>
        <v>666.1523645983184</v>
      </c>
      <c r="BJ147" s="59">
        <f t="shared" si="146"/>
        <v>294.13851344047526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52.583058130690787</v>
      </c>
      <c r="BQ147" s="21">
        <f>EXP(-LN(2)/25)*BQ146+(1-EXP(-LN(2)/25))/(LN(2)/25)*Calculateur!BL147*Calculateur!BN147*VLOOKUP('Données projet'!$B$11,Paramètres!$A$1:$I$89,3,0)*0.475*44/12</f>
        <v>24.514049423719207</v>
      </c>
      <c r="BR147" s="21">
        <f>EXP(-LN(2)/2)*BR146+(1-EXP(-LN(2)/2))/(LN(2)/2)*BL147*BO147*VLOOKUP('Données projet'!$B$11,Paramètres!$A$1:$I$89,3,0)*0.475*44/12</f>
        <v>5.2442214538827268E-3</v>
      </c>
      <c r="BS147" s="22">
        <f t="shared" si="117"/>
        <v>77.10235177586388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9.1440000000000055</v>
      </c>
      <c r="BX147" s="12">
        <f t="array" ref="BX147">INDEX(BW:BW,MIN(IF(ISNUMBER(BW147:BW343),ROW(BW147:BW343),"")))</f>
        <v>9.1440000000000055</v>
      </c>
      <c r="BY147" s="12">
        <f>IF('Données projet'!$A$114&gt;35,BY146+BX147-CG146,IF(A147&lt;'Données projet'!$A$114,$BV$205^A147,IF(A147='Données projet'!$A$114,'Données projet'!$B$114,BY146+BX147-CG146)))</f>
        <v>514.94000000000096</v>
      </c>
      <c r="BZ147" s="13">
        <f>BY147*VLOOKUP('Données projet'!$B$12,Paramètres!$A$1:$I$89,3,0)*VLOOKUP('Données projet'!$B$12,Paramètres!$A$1:$I$89,5,0)</f>
        <v>554.28141600000106</v>
      </c>
      <c r="CA147" s="13">
        <f t="shared" si="147"/>
        <v>122.43685730580899</v>
      </c>
      <c r="CB147" s="20">
        <f t="shared" si="118"/>
        <v>1178.6176593409525</v>
      </c>
      <c r="CC147" s="59">
        <f t="shared" si="119"/>
        <v>1471.9509926742858</v>
      </c>
      <c r="CD147" s="59">
        <f ca="1">AVERAGE(OFFSET($CC$3,0,0,'Données projet'!$E$12+1,1))-AVERAGE(OFFSET($H$3,0,0,'Données projet'!$E$12+1,1))</f>
        <v>747.18304127457918</v>
      </c>
      <c r="CE147" s="59">
        <f t="shared" si="148"/>
        <v>327.03701004966723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61.800000000000068</v>
      </c>
      <c r="CH147" s="16">
        <f>IF(ISNA(VLOOKUP(A147,'Données projet'!$A$113:$I$133,5,0)),0%,VLOOKUP(A147,'Données projet'!$A$113:$I$133,5,0)*VLOOKUP('Données projet'!$B$12,Paramètres!$A$1:$I$89,7,0))</f>
        <v>0.215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59.479196901928894</v>
      </c>
      <c r="CL147" s="21">
        <f>EXP(-LN(2)/25)*CL146+(1-EXP(-LN(2)/25))/(LN(2)/25)*Calculateur!CG147*Calculateur!CI147*VLOOKUP('Données projet'!$B$12,Paramètres!$A$1:$I$89,3,0)*0.475*44/12</f>
        <v>27.72900672519059</v>
      </c>
      <c r="CM147" s="21">
        <f>EXP(-LN(2)/2)*CM146+(1-EXP(-LN(2)/2))/(LN(2)/2)*CG147*CJ147*VLOOKUP('Données projet'!$B$12,Paramètres!$A$1:$I$89,3,0)*0.475*44/12</f>
        <v>5.9319882019329105E-3</v>
      </c>
      <c r="CN147" s="22">
        <f t="shared" si="120"/>
        <v>87.214135615321425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9.1440000000000055</v>
      </c>
      <c r="CS147" s="12">
        <f t="array" ref="CS147">INDEX(CR:CR,MIN(IF(ISNUMBER(CR147:CR343),ROW(CR147:CR343),"")))</f>
        <v>9.1440000000000055</v>
      </c>
      <c r="CT147" s="12">
        <f>IF('Données projet'!$A$140&gt;35,CT146+CS147-DB146,IF(A147&lt;'Données projet'!$A$140,$CQ$205^A147,IF(A147='Données projet'!$A$140,'Données projet'!$B$140,CT146+CS147-DB146)))</f>
        <v>514.94000000000096</v>
      </c>
      <c r="CU147" s="17">
        <f>CT147*VLOOKUP('Données projet'!$B$13,Paramètres!$A$1:$I$89,3,0)*VLOOKUP('Données projet'!$B$13,Paramètres!$A$1:$I$89,5,0)</f>
        <v>498.04996800000094</v>
      </c>
      <c r="CV147" s="13">
        <f t="shared" si="149"/>
        <v>111.39415769110236</v>
      </c>
      <c r="CW147" s="20">
        <f t="shared" si="121"/>
        <v>1061.4485189120048</v>
      </c>
      <c r="CX147" s="59">
        <f t="shared" si="122"/>
        <v>1354.7818522453381</v>
      </c>
      <c r="CY147" s="59">
        <f ca="1">AVERAGE(OFFSET($CX$3,0,0,'Données projet'!$E$13+1,1))-AVERAGE(OFFSET($H$3,0,0,'Données projet'!$E$13+1,1))</f>
        <v>676.29219382388692</v>
      </c>
      <c r="CZ147" s="59">
        <f t="shared" si="150"/>
        <v>298.25577221580448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61.800000000000068</v>
      </c>
      <c r="DC147" s="16">
        <f>IF(ISNA(VLOOKUP(A147,'Données projet'!$A$139:$I$159,5,0)),0%,VLOOKUP(A147,'Données projet'!$A$139:$I$159,5,0)*VLOOKUP('Données projet'!$B$13,Paramètres!$A$1:$I$89,7,0))</f>
        <v>0.215</v>
      </c>
      <c r="DD147" s="16">
        <f>IF(ISNA(VLOOKUP(A147,'Données projet'!$A$139:$I$159,6,0)),0%,VLOOKUP(A147,'Données projet'!$A$139:$I$159,6,0)*VLOOKUP('Données projet'!$B$13,Paramètres!$A$1:$I$89,7,0))</f>
        <v>8.6000000000000007E-2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53.445075477095571</v>
      </c>
      <c r="DG147" s="21">
        <f>EXP(-LN(2)/25)*DG146+(1-EXP(-LN(2)/25))/(LN(2)/25)*Calculateur!DB147*Calculateur!DD147*VLOOKUP('Données projet'!$B$13,Paramètres!$A$1:$I$89,3,0)*0.475*44/12</f>
        <v>24.915919086403132</v>
      </c>
      <c r="DH147" s="21">
        <f>EXP(-LN(2)/2)*DH146+(1-EXP(-LN(2)/2))/(LN(2)/2)*DB147*DE147*VLOOKUP('Données projet'!$B$13,Paramètres!$A$1:$I$89,3,0)*0.475*44/12</f>
        <v>5.3301922973889929E-3</v>
      </c>
      <c r="DI147" s="22">
        <f t="shared" si="123"/>
        <v>78.3663247557961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-8.8675733422860506E-14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197.51452239559433</v>
      </c>
      <c r="EP147" s="59">
        <f t="shared" si="154"/>
        <v>196.65166921588821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6.2411588997893208</v>
      </c>
      <c r="EW147" s="21">
        <f>EXP(-LN(2)/25)*EW146+(1-EXP(-LN(2)/25))/(LN(2)/25)*Calculateur!ER147*Calculateur!ET147*VLOOKUP('Données projet'!$B$15,Paramètres!$A$1:$I$89,3,0)*0.475*44/12</f>
        <v>3.3922421410304158</v>
      </c>
      <c r="EX147" s="21">
        <f>EXP(-LN(2)/2)*EX146+(1-EXP(-LN(2)/2))/(LN(2)/2)*ER147*EU147*VLOOKUP('Données projet'!$B$15,Paramètres!$A$1:$I$89,3,0)*0.475*44/12</f>
        <v>2.0037331924403528E-10</v>
      </c>
      <c r="EY147" s="22">
        <f t="shared" si="129"/>
        <v>9.6334010410201092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1188.47005454134</v>
      </c>
      <c r="S148" s="59">
        <f ca="1">AVERAGE(OFFSET($R$3,0,0,'Données projet'!$E$9+1,1))-AVERAGE(OFFSET($H$3,0,0,'Données projet'!$E$9+1,1))</f>
        <v>635.71275911100679</v>
      </c>
      <c r="T148" s="59">
        <f t="shared" si="142"/>
        <v>281.7776857269169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9.3350000000000026</v>
      </c>
      <c r="AI148" s="13">
        <f>IF('Données projet'!$A$62&gt;35,AI147+AH148-AQ147,IF(A148&lt;'Données projet'!$A$62,$AF$205^A148,IF(A148='Données projet'!$A$62,'Données projet'!$B$62,AI147+AH148-AQ147)))</f>
        <v>462.47500000000093</v>
      </c>
      <c r="AJ148" s="13">
        <f>AI148*VLOOKUP('Données projet'!$B$10,Paramètres!$A$1:$I$89,3,0)*VLOOKUP('Données projet'!$B$10,Paramètres!$A$1:$I$89,5,0)</f>
        <v>468.94965000000099</v>
      </c>
      <c r="AK148" s="13">
        <f t="shared" si="143"/>
        <v>105.62316801364989</v>
      </c>
      <c r="AL148" s="20">
        <f t="shared" si="112"/>
        <v>1000.7143247071086</v>
      </c>
      <c r="AM148" s="59">
        <f t="shared" si="113"/>
        <v>1294.047658040442</v>
      </c>
      <c r="AN148" s="59">
        <f ca="1">AVERAGE(OFFSET($AM$3,0,0,'Données projet'!$E$10+1,1))-AVERAGE(OFFSET($H$3,0,0,'Données projet'!$E$10+1,1))</f>
        <v>706.69239849991595</v>
      </c>
      <c r="AO148" s="59">
        <f t="shared" si="144"/>
        <v>310.59887275116529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54.932391281328243</v>
      </c>
      <c r="AV148" s="21">
        <f>EXP(-LN(2)/25)*AV147+(1-EXP(-LN(2)/25))/(LN(2)/25)*Calculateur!AQ148*Calculateur!AS148*VLOOKUP('Données projet'!$B$10,Paramètres!$A$1:$I$89,3,0)*0.475*44/12</f>
        <v>25.407233515587471</v>
      </c>
      <c r="AW148" s="21">
        <f>EXP(-LN(2)/2)*AW147+(1-EXP(-LN(2)/2))/(LN(2)/2)*AQ148*AT148*VLOOKUP('Données projet'!$B$10,Paramètres!$A$1:$I$89,3,0)*0.475*44/12</f>
        <v>3.9513868177949007E-3</v>
      </c>
      <c r="AX148" s="21">
        <f t="shared" si="114"/>
        <v>80.343576183733504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440.09121000000096</v>
      </c>
      <c r="BF148" s="13">
        <f t="shared" si="145"/>
        <v>99.858810765228739</v>
      </c>
      <c r="BG148" s="20">
        <f t="shared" si="115"/>
        <v>940.4129528327752</v>
      </c>
      <c r="BH148" s="59">
        <f t="shared" si="116"/>
        <v>1233.7462861661086</v>
      </c>
      <c r="BI148" s="59">
        <f ca="1">AVERAGE(OFFSET($BH$3,0,0,'Données projet'!$E$11+1,1))-AVERAGE(OFFSET($H$3,0,0,'Données projet'!$E$11+1,1))</f>
        <v>666.1523645983184</v>
      </c>
      <c r="BJ148" s="59">
        <f t="shared" si="146"/>
        <v>294.13851344047526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51.551936433246503</v>
      </c>
      <c r="BQ148" s="21">
        <f>EXP(-LN(2)/25)*BQ147+(1-EXP(-LN(2)/25))/(LN(2)/25)*Calculateur!BL148*Calculateur!BN148*VLOOKUP('Données projet'!$B$11,Paramètres!$A$1:$I$89,3,0)*0.475*44/12</f>
        <v>23.843711453089774</v>
      </c>
      <c r="BR148" s="21">
        <f>EXP(-LN(2)/2)*BR147+(1-EXP(-LN(2)/2))/(LN(2)/2)*BL148*BO148*VLOOKUP('Données projet'!$B$11,Paramètres!$A$1:$I$89,3,0)*0.475*44/12</f>
        <v>3.7082245520844519E-3</v>
      </c>
      <c r="BS148" s="22">
        <f t="shared" si="117"/>
        <v>75.399356110888363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9.3350000000000026</v>
      </c>
      <c r="BY148" s="12">
        <f>IF('Données projet'!$A$114&gt;35,BY147+BX148-CG147,IF(A148&lt;'Données projet'!$A$114,$BV$205^A148,IF(A148='Données projet'!$A$114,'Données projet'!$B$114,BY147+BX148-CG147)))</f>
        <v>462.47500000000093</v>
      </c>
      <c r="BZ148" s="13">
        <f>BY148*VLOOKUP('Données projet'!$B$12,Paramètres!$A$1:$I$89,3,0)*VLOOKUP('Données projet'!$B$12,Paramètres!$A$1:$I$89,5,0)</f>
        <v>497.80809000000102</v>
      </c>
      <c r="CA148" s="13">
        <f t="shared" si="147"/>
        <v>111.34635483440437</v>
      </c>
      <c r="CB148" s="20">
        <f t="shared" si="118"/>
        <v>1060.9439914199227</v>
      </c>
      <c r="CC148" s="59">
        <f t="shared" si="119"/>
        <v>1354.2773247532559</v>
      </c>
      <c r="CD148" s="59">
        <f ca="1">AVERAGE(OFFSET($CC$3,0,0,'Données projet'!$E$12+1,1))-AVERAGE(OFFSET($H$3,0,0,'Données projet'!$E$12+1,1))</f>
        <v>747.18304127457918</v>
      </c>
      <c r="CE148" s="59">
        <f t="shared" si="148"/>
        <v>327.03701004966723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58.312846129409955</v>
      </c>
      <c r="CL148" s="21">
        <f>EXP(-LN(2)/25)*CL147+(1-EXP(-LN(2)/25))/(LN(2)/25)*Calculateur!CG148*Calculateur!CI148*VLOOKUP('Données projet'!$B$12,Paramètres!$A$1:$I$89,3,0)*0.475*44/12</f>
        <v>26.970755578085164</v>
      </c>
      <c r="CM148" s="21">
        <f>EXP(-LN(2)/2)*CM147+(1-EXP(-LN(2)/2))/(LN(2)/2)*CG148*CJ148*VLOOKUP('Données projet'!$B$12,Paramètres!$A$1:$I$89,3,0)*0.475*44/12</f>
        <v>4.1945490835053559E-3</v>
      </c>
      <c r="CN148" s="22">
        <f t="shared" si="120"/>
        <v>85.287796256578631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9.3350000000000026</v>
      </c>
      <c r="CT148" s="12">
        <f>IF('Données projet'!$A$140&gt;35,CT147+CS148-DB147,IF(A148&lt;'Données projet'!$A$140,$CQ$205^A148,IF(A148='Données projet'!$A$140,'Données projet'!$B$140,CT147+CS148-DB147)))</f>
        <v>462.47500000000093</v>
      </c>
      <c r="CU148" s="17">
        <f>CT148*VLOOKUP('Données projet'!$B$13,Paramètres!$A$1:$I$89,3,0)*VLOOKUP('Données projet'!$B$13,Paramètres!$A$1:$I$89,5,0)</f>
        <v>447.30582000000095</v>
      </c>
      <c r="CV148" s="13">
        <f t="shared" si="149"/>
        <v>101.30391845793157</v>
      </c>
      <c r="CW148" s="20">
        <f t="shared" si="121"/>
        <v>955.49529448089913</v>
      </c>
      <c r="CX148" s="59">
        <f t="shared" si="122"/>
        <v>1248.8286278142325</v>
      </c>
      <c r="CY148" s="59">
        <f ca="1">AVERAGE(OFFSET($CX$3,0,0,'Données projet'!$E$13+1,1))-AVERAGE(OFFSET($H$3,0,0,'Données projet'!$E$13+1,1))</f>
        <v>676.29219382388692</v>
      </c>
      <c r="CZ148" s="59">
        <f t="shared" si="150"/>
        <v>298.25577221580448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52.397050145266952</v>
      </c>
      <c r="DG148" s="21">
        <f>EXP(-LN(2)/25)*DG147+(1-EXP(-LN(2)/25))/(LN(2)/25)*Calculateur!DB148*Calculateur!DD148*VLOOKUP('Données projet'!$B$13,Paramètres!$A$1:$I$89,3,0)*0.475*44/12</f>
        <v>24.234591968714199</v>
      </c>
      <c r="DH148" s="21">
        <f>EXP(-LN(2)/2)*DH147+(1-EXP(-LN(2)/2))/(LN(2)/2)*DB148*DE148*VLOOKUP('Données projet'!$B$13,Paramètres!$A$1:$I$89,3,0)*0.475*44/12</f>
        <v>3.7690151185120597E-3</v>
      </c>
      <c r="DI148" s="22">
        <f t="shared" si="123"/>
        <v>76.635411129099651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-8.8675733422860506E-14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197.51452239559433</v>
      </c>
      <c r="EP148" s="59">
        <f t="shared" si="154"/>
        <v>196.65166921588821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6.1187735804954979</v>
      </c>
      <c r="EW148" s="21">
        <f>EXP(-LN(2)/25)*EW147+(1-EXP(-LN(2)/25))/(LN(2)/25)*Calculateur!ER148*Calculateur!ET148*VLOOKUP('Données projet'!$B$15,Paramètres!$A$1:$I$89,3,0)*0.475*44/12</f>
        <v>3.299481101293678</v>
      </c>
      <c r="EX148" s="21">
        <f>EXP(-LN(2)/2)*EX147+(1-EXP(-LN(2)/2))/(LN(2)/2)*ER148*EU148*VLOOKUP('Données projet'!$B$15,Paramètres!$A$1:$I$89,3,0)*0.475*44/12</f>
        <v>1.4168533280631428E-10</v>
      </c>
      <c r="EY148" s="22">
        <f t="shared" si="129"/>
        <v>9.4182546819308612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1206.1439968248908</v>
      </c>
      <c r="S149" s="59">
        <f ca="1">AVERAGE(OFFSET($R$3,0,0,'Données projet'!$E$9+1,1))-AVERAGE(OFFSET($H$3,0,0,'Données projet'!$E$9+1,1))</f>
        <v>635.71275911100679</v>
      </c>
      <c r="T149" s="59">
        <f t="shared" si="142"/>
        <v>281.7776857269169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9.3350000000000026</v>
      </c>
      <c r="AI149" s="13">
        <f>IF('Données projet'!$A$62&gt;35,AI148+AH149-AQ148,IF(A149&lt;'Données projet'!$A$62,$AF$205^A149,IF(A149='Données projet'!$A$62,'Données projet'!$B$62,AI148+AH149-AQ148)))</f>
        <v>471.81000000000091</v>
      </c>
      <c r="AJ149" s="13">
        <f>AI149*VLOOKUP('Données projet'!$B$10,Paramètres!$A$1:$I$89,3,0)*VLOOKUP('Données projet'!$B$10,Paramètres!$A$1:$I$89,5,0)</f>
        <v>478.41534000000098</v>
      </c>
      <c r="AK149" s="13">
        <f t="shared" si="143"/>
        <v>107.50479816034752</v>
      </c>
      <c r="AL149" s="20">
        <f t="shared" si="112"/>
        <v>1020.4775739626069</v>
      </c>
      <c r="AM149" s="59">
        <f t="shared" si="113"/>
        <v>1313.8109072959403</v>
      </c>
      <c r="AN149" s="59">
        <f ca="1">AVERAGE(OFFSET($AM$3,0,0,'Données projet'!$E$10+1,1))-AVERAGE(OFFSET($H$3,0,0,'Données projet'!$E$10+1,1))</f>
        <v>706.69239849991595</v>
      </c>
      <c r="AO149" s="59">
        <f t="shared" si="144"/>
        <v>310.59887275116529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53.85520059375169</v>
      </c>
      <c r="AV149" s="21">
        <f>EXP(-LN(2)/25)*AV148+(1-EXP(-LN(2)/25))/(LN(2)/25)*Calculateur!AQ149*Calculateur!AS149*VLOOKUP('Données projet'!$B$10,Paramètres!$A$1:$I$89,3,0)*0.475*44/12</f>
        <v>24.712471378995389</v>
      </c>
      <c r="AW149" s="21">
        <f>EXP(-LN(2)/2)*AW148+(1-EXP(-LN(2)/2))/(LN(2)/2)*AQ149*AT149*VLOOKUP('Données projet'!$B$10,Paramètres!$A$1:$I$89,3,0)*0.475*44/12</f>
        <v>2.7940524139539072E-3</v>
      </c>
      <c r="AX149" s="21">
        <f t="shared" si="114"/>
        <v>78.570466025161039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448.97439600000092</v>
      </c>
      <c r="BF149" s="13">
        <f t="shared" si="145"/>
        <v>101.63775143026291</v>
      </c>
      <c r="BG149" s="20">
        <f t="shared" si="115"/>
        <v>958.98282344104257</v>
      </c>
      <c r="BH149" s="59">
        <f t="shared" si="116"/>
        <v>1252.3161567743759</v>
      </c>
      <c r="BI149" s="59">
        <f ca="1">AVERAGE(OFFSET($BH$3,0,0,'Données projet'!$E$11+1,1))-AVERAGE(OFFSET($H$3,0,0,'Données projet'!$E$11+1,1))</f>
        <v>666.1523645983184</v>
      </c>
      <c r="BJ149" s="59">
        <f t="shared" si="146"/>
        <v>294.13851344047526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50.541034403366972</v>
      </c>
      <c r="BQ149" s="21">
        <f>EXP(-LN(2)/25)*BQ148+(1-EXP(-LN(2)/25))/(LN(2)/25)*Calculateur!BL149*Calculateur!BN149*VLOOKUP('Données projet'!$B$11,Paramètres!$A$1:$I$89,3,0)*0.475*44/12</f>
        <v>23.191703909518743</v>
      </c>
      <c r="BR149" s="21">
        <f>EXP(-LN(2)/2)*BR148+(1-EXP(-LN(2)/2))/(LN(2)/2)*BL149*BO149*VLOOKUP('Données projet'!$B$11,Paramètres!$A$1:$I$89,3,0)*0.475*44/12</f>
        <v>2.6221107269413639E-3</v>
      </c>
      <c r="BS149" s="22">
        <f t="shared" si="117"/>
        <v>73.735360423612661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9.3350000000000026</v>
      </c>
      <c r="BY149" s="12">
        <f>IF('Données projet'!$A$114&gt;35,BY148+BX149-CG148,IF(A149&lt;'Données projet'!$A$114,$BV$205^A149,IF(A149='Données projet'!$A$114,'Données projet'!$B$114,BY148+BX149-CG148)))</f>
        <v>471.81000000000091</v>
      </c>
      <c r="BZ149" s="13">
        <f>BY149*VLOOKUP('Données projet'!$B$12,Paramètres!$A$1:$I$89,3,0)*VLOOKUP('Données projet'!$B$12,Paramètres!$A$1:$I$89,5,0)</f>
        <v>507.85628400000098</v>
      </c>
      <c r="CA149" s="13">
        <f t="shared" si="147"/>
        <v>113.32994102975717</v>
      </c>
      <c r="CB149" s="20">
        <f t="shared" si="118"/>
        <v>1081.8993419268288</v>
      </c>
      <c r="CC149" s="59">
        <f t="shared" si="119"/>
        <v>1375.2326752601621</v>
      </c>
      <c r="CD149" s="59">
        <f ca="1">AVERAGE(OFFSET($CC$3,0,0,'Données projet'!$E$12+1,1))-AVERAGE(OFFSET($H$3,0,0,'Données projet'!$E$12+1,1))</f>
        <v>747.18304127457918</v>
      </c>
      <c r="CE149" s="59">
        <f t="shared" si="148"/>
        <v>327.03701004966723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57.169366784136386</v>
      </c>
      <c r="CL149" s="21">
        <f>EXP(-LN(2)/25)*CL148+(1-EXP(-LN(2)/25))/(LN(2)/25)*Calculateur!CG149*Calculateur!CI149*VLOOKUP('Données projet'!$B$12,Paramètres!$A$1:$I$89,3,0)*0.475*44/12</f>
        <v>26.23323884847203</v>
      </c>
      <c r="CM149" s="21">
        <f>EXP(-LN(2)/2)*CM148+(1-EXP(-LN(2)/2))/(LN(2)/2)*CG149*CJ149*VLOOKUP('Données projet'!$B$12,Paramètres!$A$1:$I$89,3,0)*0.475*44/12</f>
        <v>2.9659941009664553E-3</v>
      </c>
      <c r="CN149" s="22">
        <f t="shared" si="120"/>
        <v>83.405571626709374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9.3350000000000026</v>
      </c>
      <c r="CT149" s="12">
        <f>IF('Données projet'!$A$140&gt;35,CT148+CS149-DB148,IF(A149&lt;'Données projet'!$A$140,$CQ$205^A149,IF(A149='Données projet'!$A$140,'Données projet'!$B$140,CT148+CS149-DB148)))</f>
        <v>471.81000000000091</v>
      </c>
      <c r="CU149" s="17">
        <f>CT149*VLOOKUP('Données projet'!$B$13,Paramètres!$A$1:$I$89,3,0)*VLOOKUP('Données projet'!$B$13,Paramètres!$A$1:$I$89,5,0)</f>
        <v>456.33463200000091</v>
      </c>
      <c r="CV149" s="13">
        <f t="shared" si="149"/>
        <v>103.10860307905939</v>
      </c>
      <c r="CW149" s="20">
        <f t="shared" si="121"/>
        <v>974.36363442936329</v>
      </c>
      <c r="CX149" s="59">
        <f t="shared" si="122"/>
        <v>1267.6969677626967</v>
      </c>
      <c r="CY149" s="59">
        <f ca="1">AVERAGE(OFFSET($CX$3,0,0,'Données projet'!$E$13+1,1))-AVERAGE(OFFSET($H$3,0,0,'Données projet'!$E$13+1,1))</f>
        <v>676.29219382388692</v>
      </c>
      <c r="CZ149" s="59">
        <f t="shared" si="150"/>
        <v>298.25577221580448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51.36957595096316</v>
      </c>
      <c r="DG149" s="21">
        <f>EXP(-LN(2)/25)*DG148+(1-EXP(-LN(2)/25))/(LN(2)/25)*Calculateur!DB149*Calculateur!DD149*VLOOKUP('Données projet'!$B$13,Paramètres!$A$1:$I$89,3,0)*0.475*44/12</f>
        <v>23.571895776887906</v>
      </c>
      <c r="DH149" s="21">
        <f>EXP(-LN(2)/2)*DH148+(1-EXP(-LN(2)/2))/(LN(2)/2)*DB149*DE149*VLOOKUP('Données projet'!$B$13,Paramètres!$A$1:$I$89,3,0)*0.475*44/12</f>
        <v>2.6650961486944964E-3</v>
      </c>
      <c r="DI149" s="22">
        <f t="shared" si="123"/>
        <v>74.944136823999756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-8.8675733422860506E-14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197.51452239559433</v>
      </c>
      <c r="EP149" s="59">
        <f t="shared" si="154"/>
        <v>196.65166921588821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5.9987881626653525</v>
      </c>
      <c r="EW149" s="21">
        <f>EXP(-LN(2)/25)*EW148+(1-EXP(-LN(2)/25))/(LN(2)/25)*Calculateur!ER149*Calculateur!ET149*VLOOKUP('Données projet'!$B$15,Paramètres!$A$1:$I$89,3,0)*0.475*44/12</f>
        <v>3.2092566170666323</v>
      </c>
      <c r="EX149" s="21">
        <f>EXP(-LN(2)/2)*EX148+(1-EXP(-LN(2)/2))/(LN(2)/2)*ER149*EU149*VLOOKUP('Données projet'!$B$15,Paramètres!$A$1:$I$89,3,0)*0.475*44/12</f>
        <v>1.0018665962201764E-10</v>
      </c>
      <c r="EY149" s="22">
        <f t="shared" si="129"/>
        <v>9.2080447798321714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1223.811121938046</v>
      </c>
      <c r="S150" s="59">
        <f ca="1">AVERAGE(OFFSET($R$3,0,0,'Données projet'!$E$9+1,1))-AVERAGE(OFFSET($H$3,0,0,'Données projet'!$E$9+1,1))</f>
        <v>635.71275911100679</v>
      </c>
      <c r="T150" s="59">
        <f t="shared" si="142"/>
        <v>281.7776857269169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9.3350000000000026</v>
      </c>
      <c r="AI150" s="13">
        <f>IF('Données projet'!$A$62&gt;35,AI149+AH150-AQ149,IF(A150&lt;'Données projet'!$A$62,$AF$205^A150,IF(A150='Données projet'!$A$62,'Données projet'!$B$62,AI149+AH150-AQ149)))</f>
        <v>481.14500000000089</v>
      </c>
      <c r="AJ150" s="13">
        <f>AI150*VLOOKUP('Données projet'!$B$10,Paramètres!$A$1:$I$89,3,0)*VLOOKUP('Données projet'!$B$10,Paramètres!$A$1:$I$89,5,0)</f>
        <v>487.88103000000092</v>
      </c>
      <c r="AK150" s="13">
        <f t="shared" si="143"/>
        <v>109.38209953839079</v>
      </c>
      <c r="AL150" s="20">
        <f t="shared" si="112"/>
        <v>1040.2332839460321</v>
      </c>
      <c r="AM150" s="59">
        <f t="shared" si="113"/>
        <v>1333.5666172793653</v>
      </c>
      <c r="AN150" s="59">
        <f ca="1">AVERAGE(OFFSET($AM$3,0,0,'Données projet'!$E$10+1,1))-AVERAGE(OFFSET($H$3,0,0,'Données projet'!$E$10+1,1))</f>
        <v>706.69239849991595</v>
      </c>
      <c r="AO150" s="59">
        <f t="shared" si="144"/>
        <v>310.59887275116529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52.799132958537065</v>
      </c>
      <c r="AV150" s="21">
        <f>EXP(-LN(2)/25)*AV149+(1-EXP(-LN(2)/25))/(LN(2)/25)*Calculateur!AQ150*Calculateur!AS150*VLOOKUP('Données projet'!$B$10,Paramètres!$A$1:$I$89,3,0)*0.475*44/12</f>
        <v>24.036707549564372</v>
      </c>
      <c r="AW150" s="21">
        <f>EXP(-LN(2)/2)*AW149+(1-EXP(-LN(2)/2))/(LN(2)/2)*AQ150*AT150*VLOOKUP('Données projet'!$B$10,Paramètres!$A$1:$I$89,3,0)*0.475*44/12</f>
        <v>1.9756934088974503E-3</v>
      </c>
      <c r="AX150" s="21">
        <f t="shared" si="114"/>
        <v>76.837816201510336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457.85758200000089</v>
      </c>
      <c r="BF150" s="13">
        <f t="shared" si="145"/>
        <v>103.4125995680798</v>
      </c>
      <c r="BG150" s="20">
        <f t="shared" si="115"/>
        <v>977.54556623107385</v>
      </c>
      <c r="BH150" s="59">
        <f t="shared" si="116"/>
        <v>1270.8788995644072</v>
      </c>
      <c r="BI150" s="59">
        <f ca="1">AVERAGE(OFFSET($BH$3,0,0,'Données projet'!$E$11+1,1))-AVERAGE(OFFSET($H$3,0,0,'Données projet'!$E$11+1,1))</f>
        <v>666.1523645983184</v>
      </c>
      <c r="BJ150" s="59">
        <f t="shared" si="146"/>
        <v>294.13851344047526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49.549955545704016</v>
      </c>
      <c r="BQ150" s="21">
        <f>EXP(-LN(2)/25)*BQ149+(1-EXP(-LN(2)/25))/(LN(2)/25)*Calculateur!BL150*Calculateur!BN150*VLOOKUP('Données projet'!$B$11,Paramètres!$A$1:$I$89,3,0)*0.475*44/12</f>
        <v>22.557525546514249</v>
      </c>
      <c r="BR150" s="21">
        <f>EXP(-LN(2)/2)*BR149+(1-EXP(-LN(2)/2))/(LN(2)/2)*BL150*BO150*VLOOKUP('Données projet'!$B$11,Paramètres!$A$1:$I$89,3,0)*0.475*44/12</f>
        <v>1.8541122760422262E-3</v>
      </c>
      <c r="BS150" s="22">
        <f t="shared" si="117"/>
        <v>72.1093352044943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9.3350000000000026</v>
      </c>
      <c r="BY150" s="12">
        <f>IF('Données projet'!$A$114&gt;35,BY149+BX150-CG149,IF(A150&lt;'Données projet'!$A$114,$BV$205^A150,IF(A150='Données projet'!$A$114,'Données projet'!$B$114,BY149+BX150-CG149)))</f>
        <v>481.14500000000089</v>
      </c>
      <c r="BZ150" s="13">
        <f>BY150*VLOOKUP('Données projet'!$B$12,Paramètres!$A$1:$I$89,3,0)*VLOOKUP('Données projet'!$B$12,Paramètres!$A$1:$I$89,5,0)</f>
        <v>517.90447800000095</v>
      </c>
      <c r="CA150" s="13">
        <f t="shared" si="147"/>
        <v>115.30896390231209</v>
      </c>
      <c r="CB150" s="20">
        <f t="shared" si="118"/>
        <v>1102.8467446465284</v>
      </c>
      <c r="CC150" s="59">
        <f t="shared" si="119"/>
        <v>1396.1800779798616</v>
      </c>
      <c r="CD150" s="59">
        <f ca="1">AVERAGE(OFFSET($CC$3,0,0,'Données projet'!$E$12+1,1))-AVERAGE(OFFSET($H$3,0,0,'Données projet'!$E$12+1,1))</f>
        <v>747.18304127457918</v>
      </c>
      <c r="CE150" s="59">
        <f t="shared" si="148"/>
        <v>327.03701004966723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56.048310371370093</v>
      </c>
      <c r="CL150" s="21">
        <f>EXP(-LN(2)/25)*CL149+(1-EXP(-LN(2)/25))/(LN(2)/25)*Calculateur!CG150*Calculateur!CI150*VLOOKUP('Données projet'!$B$12,Paramètres!$A$1:$I$89,3,0)*0.475*44/12</f>
        <v>25.515889552614489</v>
      </c>
      <c r="CM150" s="21">
        <f>EXP(-LN(2)/2)*CM149+(1-EXP(-LN(2)/2))/(LN(2)/2)*CG150*CJ150*VLOOKUP('Données projet'!$B$12,Paramètres!$A$1:$I$89,3,0)*0.475*44/12</f>
        <v>2.097274541752678E-3</v>
      </c>
      <c r="CN150" s="22">
        <f t="shared" si="120"/>
        <v>81.566297198526328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9.3350000000000026</v>
      </c>
      <c r="CT150" s="12">
        <f>IF('Données projet'!$A$140&gt;35,CT149+CS150-DB149,IF(A150&lt;'Données projet'!$A$140,$CQ$205^A150,IF(A150='Données projet'!$A$140,'Données projet'!$B$140,CT149+CS150-DB149)))</f>
        <v>481.14500000000089</v>
      </c>
      <c r="CU150" s="17">
        <f>CT150*VLOOKUP('Données projet'!$B$13,Paramètres!$A$1:$I$89,3,0)*VLOOKUP('Données projet'!$B$13,Paramètres!$A$1:$I$89,5,0)</f>
        <v>465.36344400000087</v>
      </c>
      <c r="CV150" s="13">
        <f t="shared" si="149"/>
        <v>104.90913594792478</v>
      </c>
      <c r="CW150" s="20">
        <f t="shared" si="121"/>
        <v>993.22474340930387</v>
      </c>
      <c r="CX150" s="59">
        <f t="shared" si="122"/>
        <v>1286.5580767426372</v>
      </c>
      <c r="CY150" s="59">
        <f ca="1">AVERAGE(OFFSET($CX$3,0,0,'Données projet'!$E$13+1,1))-AVERAGE(OFFSET($H$3,0,0,'Données projet'!$E$13+1,1))</f>
        <v>676.29219382388692</v>
      </c>
      <c r="CZ150" s="59">
        <f t="shared" si="150"/>
        <v>298.25577221580448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50.362249898912289</v>
      </c>
      <c r="DG150" s="21">
        <f>EXP(-LN(2)/25)*DG149+(1-EXP(-LN(2)/25))/(LN(2)/25)*Calculateur!DB150*Calculateur!DD150*VLOOKUP('Données projet'!$B$13,Paramètres!$A$1:$I$89,3,0)*0.475*44/12</f>
        <v>22.927321047276781</v>
      </c>
      <c r="DH150" s="21">
        <f>EXP(-LN(2)/2)*DH149+(1-EXP(-LN(2)/2))/(LN(2)/2)*DB150*DE150*VLOOKUP('Données projet'!$B$13,Paramètres!$A$1:$I$89,3,0)*0.475*44/12</f>
        <v>1.8845075592560298E-3</v>
      </c>
      <c r="DI150" s="22">
        <f t="shared" si="123"/>
        <v>73.291455453748327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-8.8675733422860506E-14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197.51452239559433</v>
      </c>
      <c r="EP150" s="59">
        <f t="shared" si="154"/>
        <v>196.65166921588821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5.8811555856949775</v>
      </c>
      <c r="EW150" s="21">
        <f>EXP(-LN(2)/25)*EW149+(1-EXP(-LN(2)/25))/(LN(2)/25)*Calculateur!ER150*Calculateur!ET150*VLOOKUP('Données projet'!$B$15,Paramètres!$A$1:$I$89,3,0)*0.475*44/12</f>
        <v>3.1214993261054746</v>
      </c>
      <c r="EX150" s="21">
        <f>EXP(-LN(2)/2)*EX149+(1-EXP(-LN(2)/2))/(LN(2)/2)*ER150*EU150*VLOOKUP('Données projet'!$B$15,Paramètres!$A$1:$I$89,3,0)*0.475*44/12</f>
        <v>7.0842666403157141E-11</v>
      </c>
      <c r="EY150" s="22">
        <f t="shared" si="129"/>
        <v>9.0026549118712946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1241.471577392686</v>
      </c>
      <c r="S151" s="59">
        <f ca="1">AVERAGE(OFFSET($R$3,0,0,'Données projet'!$E$9+1,1))-AVERAGE(OFFSET($H$3,0,0,'Données projet'!$E$9+1,1))</f>
        <v>635.71275911100679</v>
      </c>
      <c r="T151" s="59">
        <f t="shared" si="142"/>
        <v>281.7776857269169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9.3350000000000026</v>
      </c>
      <c r="AI151" s="13">
        <f>IF('Données projet'!$A$62&gt;35,AI150+AH151-AQ150,IF(A151&lt;'Données projet'!$A$62,$AF$205^A151,IF(A151='Données projet'!$A$62,'Données projet'!$B$62,AI150+AH151-AQ150)))</f>
        <v>490.48000000000087</v>
      </c>
      <c r="AJ151" s="13">
        <f>AI151*VLOOKUP('Données projet'!$B$10,Paramètres!$A$1:$I$89,3,0)*VLOOKUP('Données projet'!$B$10,Paramètres!$A$1:$I$89,5,0)</f>
        <v>497.34672000000091</v>
      </c>
      <c r="AK151" s="13">
        <f t="shared" si="143"/>
        <v>111.25516581491246</v>
      </c>
      <c r="AL151" s="20">
        <f t="shared" si="112"/>
        <v>1059.9816177943073</v>
      </c>
      <c r="AM151" s="59">
        <f t="shared" si="113"/>
        <v>1353.3149511276406</v>
      </c>
      <c r="AN151" s="59">
        <f ca="1">AVERAGE(OFFSET($AM$3,0,0,'Données projet'!$E$10+1,1))-AVERAGE(OFFSET($H$3,0,0,'Données projet'!$E$10+1,1))</f>
        <v>706.69239849991595</v>
      </c>
      <c r="AO151" s="59">
        <f t="shared" si="144"/>
        <v>310.59887275116529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51.76377416551135</v>
      </c>
      <c r="AV151" s="21">
        <f>EXP(-LN(2)/25)*AV150+(1-EXP(-LN(2)/25))/(LN(2)/25)*Calculateur!AQ151*Calculateur!AS151*VLOOKUP('Données projet'!$B$10,Paramètres!$A$1:$I$89,3,0)*0.475*44/12</f>
        <v>23.379422517586022</v>
      </c>
      <c r="AW151" s="21">
        <f>EXP(-LN(2)/2)*AW150+(1-EXP(-LN(2)/2))/(LN(2)/2)*AQ151*AT151*VLOOKUP('Données projet'!$B$10,Paramètres!$A$1:$I$89,3,0)*0.475*44/12</f>
        <v>1.3970262069769536E-3</v>
      </c>
      <c r="AX151" s="21">
        <f t="shared" si="114"/>
        <v>75.144593709304345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466.74076800000086</v>
      </c>
      <c r="BF151" s="13">
        <f t="shared" si="145"/>
        <v>105.18344373395189</v>
      </c>
      <c r="BG151" s="20">
        <f t="shared" si="115"/>
        <v>996.10133543663414</v>
      </c>
      <c r="BH151" s="59">
        <f t="shared" si="116"/>
        <v>1289.4346687699674</v>
      </c>
      <c r="BI151" s="59">
        <f ca="1">AVERAGE(OFFSET($BH$3,0,0,'Données projet'!$E$11+1,1))-AVERAGE(OFFSET($H$3,0,0,'Données projet'!$E$11+1,1))</f>
        <v>666.1523645983184</v>
      </c>
      <c r="BJ151" s="59">
        <f t="shared" si="146"/>
        <v>294.13851344047526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48.57831113994142</v>
      </c>
      <c r="BQ151" s="21">
        <f>EXP(-LN(2)/25)*BQ150+(1-EXP(-LN(2)/25))/(LN(2)/25)*Calculateur!BL151*Calculateur!BN151*VLOOKUP('Données projet'!$B$11,Paramètres!$A$1:$I$89,3,0)*0.475*44/12</f>
        <v>21.940688824196105</v>
      </c>
      <c r="BR151" s="21">
        <f>EXP(-LN(2)/2)*BR150+(1-EXP(-LN(2)/2))/(LN(2)/2)*BL151*BO151*VLOOKUP('Données projet'!$B$11,Paramètres!$A$1:$I$89,3,0)*0.475*44/12</f>
        <v>1.3110553634706821E-3</v>
      </c>
      <c r="BS151" s="22">
        <f t="shared" si="117"/>
        <v>70.520311019500994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9.3350000000000026</v>
      </c>
      <c r="BY151" s="12">
        <f>IF('Données projet'!$A$114&gt;35,BY150+BX151-CG150,IF(A151&lt;'Données projet'!$A$114,$BV$205^A151,IF(A151='Données projet'!$A$114,'Données projet'!$B$114,BY150+BX151-CG150)))</f>
        <v>490.48000000000087</v>
      </c>
      <c r="BZ151" s="13">
        <f>BY151*VLOOKUP('Données projet'!$B$12,Paramètres!$A$1:$I$89,3,0)*VLOOKUP('Données projet'!$B$12,Paramètres!$A$1:$I$89,5,0)</f>
        <v>527.95267200000092</v>
      </c>
      <c r="CA151" s="13">
        <f t="shared" si="147"/>
        <v>117.2835221945514</v>
      </c>
      <c r="CB151" s="20">
        <f t="shared" si="118"/>
        <v>1123.786371555512</v>
      </c>
      <c r="CC151" s="59">
        <f t="shared" si="119"/>
        <v>1417.1197048888453</v>
      </c>
      <c r="CD151" s="59">
        <f ca="1">AVERAGE(OFFSET($CC$3,0,0,'Données projet'!$E$12+1,1))-AVERAGE(OFFSET($H$3,0,0,'Données projet'!$E$12+1,1))</f>
        <v>747.18304127457918</v>
      </c>
      <c r="CE151" s="59">
        <f t="shared" si="148"/>
        <v>327.03701004966723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54.949237191081252</v>
      </c>
      <c r="CL151" s="21">
        <f>EXP(-LN(2)/25)*CL150+(1-EXP(-LN(2)/25))/(LN(2)/25)*Calculateur!CG151*Calculateur!CI151*VLOOKUP('Données projet'!$B$12,Paramètres!$A$1:$I$89,3,0)*0.475*44/12</f>
        <v>24.818156210975932</v>
      </c>
      <c r="CM151" s="21">
        <f>EXP(-LN(2)/2)*CM150+(1-EXP(-LN(2)/2))/(LN(2)/2)*CG151*CJ151*VLOOKUP('Données projet'!$B$12,Paramètres!$A$1:$I$89,3,0)*0.475*44/12</f>
        <v>1.4829970504832276E-3</v>
      </c>
      <c r="CN151" s="22">
        <f t="shared" si="120"/>
        <v>79.768876399107668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9.3350000000000026</v>
      </c>
      <c r="CT151" s="12">
        <f>IF('Données projet'!$A$140&gt;35,CT150+CS151-DB150,IF(A151&lt;'Données projet'!$A$140,$CQ$205^A151,IF(A151='Données projet'!$A$140,'Données projet'!$B$140,CT150+CS151-DB150)))</f>
        <v>490.48000000000087</v>
      </c>
      <c r="CU151" s="17">
        <f>CT151*VLOOKUP('Données projet'!$B$13,Paramètres!$A$1:$I$89,3,0)*VLOOKUP('Données projet'!$B$13,Paramètres!$A$1:$I$89,5,0)</f>
        <v>474.39225600000083</v>
      </c>
      <c r="CV151" s="13">
        <f t="shared" si="149"/>
        <v>106.70560690132898</v>
      </c>
      <c r="CW151" s="20">
        <f t="shared" si="121"/>
        <v>1012.0787778864825</v>
      </c>
      <c r="CX151" s="59">
        <f t="shared" si="122"/>
        <v>1305.4121112198159</v>
      </c>
      <c r="CY151" s="59">
        <f ca="1">AVERAGE(OFFSET($CX$3,0,0,'Données projet'!$E$13+1,1))-AVERAGE(OFFSET($H$3,0,0,'Données projet'!$E$13+1,1))</f>
        <v>676.29219382388692</v>
      </c>
      <c r="CZ151" s="59">
        <f t="shared" si="150"/>
        <v>298.25577221580448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49.374676896333909</v>
      </c>
      <c r="DG151" s="21">
        <f>EXP(-LN(2)/25)*DG150+(1-EXP(-LN(2)/25))/(LN(2)/25)*Calculateur!DB151*Calculateur!DD151*VLOOKUP('Données projet'!$B$13,Paramètres!$A$1:$I$89,3,0)*0.475*44/12</f>
        <v>22.300372247543585</v>
      </c>
      <c r="DH151" s="21">
        <f>EXP(-LN(2)/2)*DH150+(1-EXP(-LN(2)/2))/(LN(2)/2)*DB151*DE151*VLOOKUP('Données projet'!$B$13,Paramètres!$A$1:$I$89,3,0)*0.475*44/12</f>
        <v>1.3325480743472482E-3</v>
      </c>
      <c r="DI151" s="22">
        <f t="shared" si="123"/>
        <v>71.676381691951832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-8.8675733422860506E-14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197.51452239559433</v>
      </c>
      <c r="EP151" s="59">
        <f t="shared" si="154"/>
        <v>196.65166921588821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5.7658297118102046</v>
      </c>
      <c r="EW151" s="21">
        <f>EXP(-LN(2)/25)*EW150+(1-EXP(-LN(2)/25))/(LN(2)/25)*Calculateur!ER151*Calculateur!ET151*VLOOKUP('Données projet'!$B$15,Paramètres!$A$1:$I$89,3,0)*0.475*44/12</f>
        <v>3.0361417628806051</v>
      </c>
      <c r="EX151" s="21">
        <f>EXP(-LN(2)/2)*EX150+(1-EXP(-LN(2)/2))/(LN(2)/2)*ER151*EU151*VLOOKUP('Données projet'!$B$15,Paramètres!$A$1:$I$89,3,0)*0.475*44/12</f>
        <v>5.0093329811008819E-11</v>
      </c>
      <c r="EY151" s="22">
        <f t="shared" si="129"/>
        <v>8.8019714747409026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1259.1255047643972</v>
      </c>
      <c r="S152" s="59">
        <f ca="1">AVERAGE(OFFSET($R$3,0,0,'Données projet'!$E$9+1,1))-AVERAGE(OFFSET($H$3,0,0,'Données projet'!$E$9+1,1))</f>
        <v>635.71275911100679</v>
      </c>
      <c r="T152" s="59">
        <f t="shared" si="142"/>
        <v>281.7776857269169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9.3350000000000026</v>
      </c>
      <c r="AI152" s="13">
        <f>IF('Données projet'!$A$62&gt;35,AI151+AH152-AQ151,IF(A152&lt;'Données projet'!$A$62,$AF$205^A152,IF(A152='Données projet'!$A$62,'Données projet'!$B$62,AI151+AH152-AQ151)))</f>
        <v>499.81500000000085</v>
      </c>
      <c r="AJ152" s="13">
        <f>AI152*VLOOKUP('Données projet'!$B$10,Paramètres!$A$1:$I$89,3,0)*VLOOKUP('Données projet'!$B$10,Paramètres!$A$1:$I$89,5,0)</f>
        <v>506.81241000000091</v>
      </c>
      <c r="AK152" s="13">
        <f t="shared" si="143"/>
        <v>113.12408688761556</v>
      </c>
      <c r="AL152" s="20">
        <f t="shared" si="112"/>
        <v>1079.7227320792654</v>
      </c>
      <c r="AM152" s="59">
        <f t="shared" si="113"/>
        <v>1373.0560654125986</v>
      </c>
      <c r="AN152" s="59">
        <f ca="1">AVERAGE(OFFSET($AM$3,0,0,'Données projet'!$E$10+1,1))-AVERAGE(OFFSET($H$3,0,0,'Données projet'!$E$10+1,1))</f>
        <v>706.69239849991595</v>
      </c>
      <c r="AO152" s="59">
        <f t="shared" si="144"/>
        <v>310.59887275116529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50.748718126910362</v>
      </c>
      <c r="AV152" s="21">
        <f>EXP(-LN(2)/25)*AV151+(1-EXP(-LN(2)/25))/(LN(2)/25)*Calculateur!AQ152*Calculateur!AS152*VLOOKUP('Données projet'!$B$10,Paramètres!$A$1:$I$89,3,0)*0.475*44/12</f>
        <v>22.740110979372236</v>
      </c>
      <c r="AW152" s="21">
        <f>EXP(-LN(2)/2)*AW151+(1-EXP(-LN(2)/2))/(LN(2)/2)*AQ152*AT152*VLOOKUP('Données projet'!$B$10,Paramètres!$A$1:$I$89,3,0)*0.475*44/12</f>
        <v>9.8784670444872517E-4</v>
      </c>
      <c r="AX152" s="21">
        <f t="shared" si="114"/>
        <v>73.489816952987042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475.62395400000082</v>
      </c>
      <c r="BF152" s="13">
        <f t="shared" si="145"/>
        <v>106.95036891943845</v>
      </c>
      <c r="BG152" s="20">
        <f t="shared" si="115"/>
        <v>1014.6502790846899</v>
      </c>
      <c r="BH152" s="59">
        <f t="shared" si="116"/>
        <v>1307.9836124180233</v>
      </c>
      <c r="BI152" s="59">
        <f ca="1">AVERAGE(OFFSET($BH$3,0,0,'Données projet'!$E$11+1,1))-AVERAGE(OFFSET($H$3,0,0,'Données projet'!$E$11+1,1))</f>
        <v>666.1523645983184</v>
      </c>
      <c r="BJ152" s="59">
        <f t="shared" si="146"/>
        <v>294.13851344047526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47.625720088331256</v>
      </c>
      <c r="BQ152" s="21">
        <f>EXP(-LN(2)/25)*BQ151+(1-EXP(-LN(2)/25))/(LN(2)/25)*Calculateur!BL152*Calculateur!BN152*VLOOKUP('Données projet'!$B$11,Paramètres!$A$1:$I$89,3,0)*0.475*44/12</f>
        <v>21.340719534487782</v>
      </c>
      <c r="BR152" s="21">
        <f>EXP(-LN(2)/2)*BR151+(1-EXP(-LN(2)/2))/(LN(2)/2)*BL152*BO152*VLOOKUP('Données projet'!$B$11,Paramètres!$A$1:$I$89,3,0)*0.475*44/12</f>
        <v>9.270561380211132E-4</v>
      </c>
      <c r="BS152" s="22">
        <f t="shared" si="117"/>
        <v>68.967366678957063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9.3350000000000026</v>
      </c>
      <c r="BY152" s="12">
        <f>IF('Données projet'!$A$114&gt;35,BY151+BX152-CG151,IF(A152&lt;'Données projet'!$A$114,$BV$205^A152,IF(A152='Données projet'!$A$114,'Données projet'!$B$114,BY151+BX152-CG151)))</f>
        <v>499.81500000000085</v>
      </c>
      <c r="BZ152" s="13">
        <f>BY152*VLOOKUP('Données projet'!$B$12,Paramètres!$A$1:$I$89,3,0)*VLOOKUP('Données projet'!$B$12,Paramètres!$A$1:$I$89,5,0)</f>
        <v>538.00086600000088</v>
      </c>
      <c r="CA152" s="13">
        <f t="shared" si="147"/>
        <v>119.25371067528131</v>
      </c>
      <c r="CB152" s="20">
        <f t="shared" si="118"/>
        <v>1144.7183877094499</v>
      </c>
      <c r="CC152" s="59">
        <f t="shared" si="119"/>
        <v>1438.0517210427831</v>
      </c>
      <c r="CD152" s="59">
        <f ca="1">AVERAGE(OFFSET($CC$3,0,0,'Données projet'!$E$12+1,1))-AVERAGE(OFFSET($H$3,0,0,'Données projet'!$E$12+1,1))</f>
        <v>747.18304127457918</v>
      </c>
      <c r="CE152" s="59">
        <f t="shared" si="148"/>
        <v>327.03701004966723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53.871716165489431</v>
      </c>
      <c r="CL152" s="21">
        <f>EXP(-LN(2)/25)*CL151+(1-EXP(-LN(2)/25))/(LN(2)/25)*Calculateur!CG152*Calculateur!CI152*VLOOKUP('Données projet'!$B$12,Paramètres!$A$1:$I$89,3,0)*0.475*44/12</f>
        <v>24.139502424256683</v>
      </c>
      <c r="CM152" s="21">
        <f>EXP(-LN(2)/2)*CM151+(1-EXP(-LN(2)/2))/(LN(2)/2)*CG152*CJ152*VLOOKUP('Données projet'!$B$12,Paramètres!$A$1:$I$89,3,0)*0.475*44/12</f>
        <v>1.048637270876339E-3</v>
      </c>
      <c r="CN152" s="22">
        <f t="shared" si="120"/>
        <v>78.012267227016977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9.3350000000000026</v>
      </c>
      <c r="CT152" s="12">
        <f>IF('Données projet'!$A$140&gt;35,CT151+CS152-DB151,IF(A152&lt;'Données projet'!$A$140,$CQ$205^A152,IF(A152='Données projet'!$A$140,'Données projet'!$B$140,CT151+CS152-DB151)))</f>
        <v>499.81500000000085</v>
      </c>
      <c r="CU152" s="17">
        <f>CT152*VLOOKUP('Données projet'!$B$13,Paramètres!$A$1:$I$89,3,0)*VLOOKUP('Données projet'!$B$13,Paramètres!$A$1:$I$89,5,0)</f>
        <v>483.42106800000084</v>
      </c>
      <c r="CV152" s="13">
        <f t="shared" si="149"/>
        <v>108.49810216078707</v>
      </c>
      <c r="CW152" s="20">
        <f t="shared" si="121"/>
        <v>1030.9258880300388</v>
      </c>
      <c r="CX152" s="59">
        <f t="shared" si="122"/>
        <v>1324.259221363372</v>
      </c>
      <c r="CY152" s="59">
        <f ca="1">AVERAGE(OFFSET($CX$3,0,0,'Données projet'!$E$13+1,1))-AVERAGE(OFFSET($H$3,0,0,'Données projet'!$E$13+1,1))</f>
        <v>676.29219382388692</v>
      </c>
      <c r="CZ152" s="59">
        <f t="shared" si="150"/>
        <v>298.25577221580448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48.406469597976042</v>
      </c>
      <c r="DG152" s="21">
        <f>EXP(-LN(2)/25)*DG151+(1-EXP(-LN(2)/25))/(LN(2)/25)*Calculateur!DB152*Calculateur!DD152*VLOOKUP('Données projet'!$B$13,Paramètres!$A$1:$I$89,3,0)*0.475*44/12</f>
        <v>21.690567395708896</v>
      </c>
      <c r="DH152" s="21">
        <f>EXP(-LN(2)/2)*DH151+(1-EXP(-LN(2)/2))/(LN(2)/2)*DB152*DE152*VLOOKUP('Données projet'!$B$13,Paramètres!$A$1:$I$89,3,0)*0.475*44/12</f>
        <v>9.4225377962801492E-4</v>
      </c>
      <c r="DI152" s="22">
        <f t="shared" si="123"/>
        <v>70.097979247464565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-8.8675733422860506E-14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197.51452239559433</v>
      </c>
      <c r="EP152" s="59">
        <f t="shared" si="154"/>
        <v>196.65166921588821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5.6527653079704745</v>
      </c>
      <c r="EW152" s="21">
        <f>EXP(-LN(2)/25)*EW151+(1-EXP(-LN(2)/25))/(LN(2)/25)*Calculateur!ER152*Calculateur!ET152*VLOOKUP('Données projet'!$B$15,Paramètres!$A$1:$I$89,3,0)*0.475*44/12</f>
        <v>2.9531183067108788</v>
      </c>
      <c r="EX152" s="21">
        <f>EXP(-LN(2)/2)*EX151+(1-EXP(-LN(2)/2))/(LN(2)/2)*ER152*EU152*VLOOKUP('Données projet'!$B$15,Paramètres!$A$1:$I$89,3,0)*0.475*44/12</f>
        <v>3.542133320157857E-11</v>
      </c>
      <c r="EY152" s="22">
        <f t="shared" si="129"/>
        <v>8.6058836147167739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1276.7730400376977</v>
      </c>
      <c r="S153" s="59">
        <f ca="1">AVERAGE(OFFSET($R$3,0,0,'Données projet'!$E$9+1,1))-AVERAGE(OFFSET($H$3,0,0,'Données projet'!$E$9+1,1))</f>
        <v>635.71275911100679</v>
      </c>
      <c r="T153" s="59">
        <f t="shared" si="142"/>
        <v>281.7776857269169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9.3350000000000026</v>
      </c>
      <c r="AI153" s="13">
        <f>IF('Données projet'!$A$62&gt;35,AI152+AH153-AQ152,IF(A153&lt;'Données projet'!$A$62,$AF$205^A153,IF(A153='Données projet'!$A$62,'Données projet'!$B$62,AI152+AH153-AQ152)))</f>
        <v>509.15000000000083</v>
      </c>
      <c r="AJ153" s="13">
        <f>AI153*VLOOKUP('Données projet'!$B$10,Paramètres!$A$1:$I$89,3,0)*VLOOKUP('Données projet'!$B$10,Paramètres!$A$1:$I$89,5,0)</f>
        <v>516.2781000000009</v>
      </c>
      <c r="AK153" s="13">
        <f t="shared" si="143"/>
        <v>114.98894910398533</v>
      </c>
      <c r="AL153" s="20">
        <f t="shared" si="112"/>
        <v>1099.4567771894424</v>
      </c>
      <c r="AM153" s="59">
        <f t="shared" si="113"/>
        <v>1392.7901105227756</v>
      </c>
      <c r="AN153" s="59">
        <f ca="1">AVERAGE(OFFSET($AM$3,0,0,'Données projet'!$E$10+1,1))-AVERAGE(OFFSET($H$3,0,0,'Données projet'!$E$10+1,1))</f>
        <v>706.69239849991595</v>
      </c>
      <c r="AO153" s="59">
        <f t="shared" si="144"/>
        <v>310.59887275116529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49.753566718103286</v>
      </c>
      <c r="AV153" s="21">
        <f>EXP(-LN(2)/25)*AV152+(1-EXP(-LN(2)/25))/(LN(2)/25)*Calculateur!AQ153*Calculateur!AS153*VLOOKUP('Données projet'!$B$10,Paramètres!$A$1:$I$89,3,0)*0.475*44/12</f>
        <v>22.118281448790839</v>
      </c>
      <c r="AW153" s="21">
        <f>EXP(-LN(2)/2)*AW152+(1-EXP(-LN(2)/2))/(LN(2)/2)*AQ153*AT153*VLOOKUP('Données projet'!$B$10,Paramètres!$A$1:$I$89,3,0)*0.475*44/12</f>
        <v>6.9851310348847679E-4</v>
      </c>
      <c r="AX153" s="21">
        <f t="shared" si="114"/>
        <v>71.872546679997612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484.50714000000085</v>
      </c>
      <c r="BF153" s="13">
        <f t="shared" si="145"/>
        <v>108.71345675963302</v>
      </c>
      <c r="BG153" s="20">
        <f t="shared" si="115"/>
        <v>1033.1925393563622</v>
      </c>
      <c r="BH153" s="59">
        <f t="shared" si="116"/>
        <v>1326.5258726896955</v>
      </c>
      <c r="BI153" s="59">
        <f ca="1">AVERAGE(OFFSET($BH$3,0,0,'Données projet'!$E$11+1,1))-AVERAGE(OFFSET($H$3,0,0,'Données projet'!$E$11+1,1))</f>
        <v>666.1523645983184</v>
      </c>
      <c r="BJ153" s="59">
        <f t="shared" si="146"/>
        <v>294.13851344047526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46.691808766219999</v>
      </c>
      <c r="BQ153" s="21">
        <f>EXP(-LN(2)/25)*BQ152+(1-EXP(-LN(2)/25))/(LN(2)/25)*Calculateur!BL153*Calculateur!BN153*VLOOKUP('Données projet'!$B$11,Paramètres!$A$1:$I$89,3,0)*0.475*44/12</f>
        <v>20.757156436557548</v>
      </c>
      <c r="BR153" s="21">
        <f>EXP(-LN(2)/2)*BR152+(1-EXP(-LN(2)/2))/(LN(2)/2)*BL153*BO153*VLOOKUP('Données projet'!$B$11,Paramètres!$A$1:$I$89,3,0)*0.475*44/12</f>
        <v>6.5552768173534118E-4</v>
      </c>
      <c r="BS153" s="22">
        <f t="shared" si="117"/>
        <v>67.449620730459273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9.3350000000000026</v>
      </c>
      <c r="BY153" s="12">
        <f>IF('Données projet'!$A$114&gt;35,BY152+BX153-CG152,IF(A153&lt;'Données projet'!$A$114,$BV$205^A153,IF(A153='Données projet'!$A$114,'Données projet'!$B$114,BY152+BX153-CG152)))</f>
        <v>509.15000000000083</v>
      </c>
      <c r="BZ153" s="13">
        <f>BY153*VLOOKUP('Données projet'!$B$12,Paramètres!$A$1:$I$89,3,0)*VLOOKUP('Données projet'!$B$12,Paramètres!$A$1:$I$89,5,0)</f>
        <v>548.04906000000085</v>
      </c>
      <c r="CA153" s="13">
        <f t="shared" si="147"/>
        <v>121.21962037072178</v>
      </c>
      <c r="CB153" s="20">
        <f t="shared" si="118"/>
        <v>1165.6429516456753</v>
      </c>
      <c r="CC153" s="59">
        <f t="shared" si="119"/>
        <v>1458.9762849790086</v>
      </c>
      <c r="CD153" s="59">
        <f ca="1">AVERAGE(OFFSET($CC$3,0,0,'Données projet'!$E$12+1,1))-AVERAGE(OFFSET($H$3,0,0,'Données projet'!$E$12+1,1))</f>
        <v>747.18304127457918</v>
      </c>
      <c r="CE153" s="59">
        <f t="shared" si="148"/>
        <v>327.03701004966723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52.815324669986538</v>
      </c>
      <c r="CL153" s="21">
        <f>EXP(-LN(2)/25)*CL152+(1-EXP(-LN(2)/25))/(LN(2)/25)*Calculateur!CG153*Calculateur!CI153*VLOOKUP('Données projet'!$B$12,Paramètres!$A$1:$I$89,3,0)*0.475*44/12</f>
        <v>23.479406461024123</v>
      </c>
      <c r="CM153" s="21">
        <f>EXP(-LN(2)/2)*CM152+(1-EXP(-LN(2)/2))/(LN(2)/2)*CG153*CJ153*VLOOKUP('Données projet'!$B$12,Paramètres!$A$1:$I$89,3,0)*0.475*44/12</f>
        <v>7.4149852524161381E-4</v>
      </c>
      <c r="CN153" s="22">
        <f t="shared" si="120"/>
        <v>76.295472629535908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9.3350000000000026</v>
      </c>
      <c r="CT153" s="12">
        <f>IF('Données projet'!$A$140&gt;35,CT152+CS153-DB152,IF(A153&lt;'Données projet'!$A$140,$CQ$205^A153,IF(A153='Données projet'!$A$140,'Données projet'!$B$140,CT152+CS153-DB152)))</f>
        <v>509.15000000000083</v>
      </c>
      <c r="CU153" s="17">
        <f>CT153*VLOOKUP('Données projet'!$B$13,Paramètres!$A$1:$I$89,3,0)*VLOOKUP('Données projet'!$B$13,Paramètres!$A$1:$I$89,5,0)</f>
        <v>492.4498800000008</v>
      </c>
      <c r="CV153" s="13">
        <f t="shared" si="149"/>
        <v>110.28670454277572</v>
      </c>
      <c r="CW153" s="20">
        <f t="shared" si="121"/>
        <v>1049.766218078669</v>
      </c>
      <c r="CX153" s="59">
        <f t="shared" si="122"/>
        <v>1343.0995514120023</v>
      </c>
      <c r="CY153" s="59">
        <f ca="1">AVERAGE(OFFSET($CX$3,0,0,'Données projet'!$E$13+1,1))-AVERAGE(OFFSET($H$3,0,0,'Données projet'!$E$13+1,1))</f>
        <v>676.29219382388692</v>
      </c>
      <c r="CZ153" s="59">
        <f t="shared" si="150"/>
        <v>298.25577221580448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47.45724825419083</v>
      </c>
      <c r="DG153" s="21">
        <f>EXP(-LN(2)/25)*DG152+(1-EXP(-LN(2)/25))/(LN(2)/25)*Calculateur!DB153*Calculateur!DD153*VLOOKUP('Données projet'!$B$13,Paramètres!$A$1:$I$89,3,0)*0.475*44/12</f>
        <v>21.097437689615873</v>
      </c>
      <c r="DH153" s="21">
        <f>EXP(-LN(2)/2)*DH152+(1-EXP(-LN(2)/2))/(LN(2)/2)*DB153*DE153*VLOOKUP('Données projet'!$B$13,Paramètres!$A$1:$I$89,3,0)*0.475*44/12</f>
        <v>6.6627403717362411E-4</v>
      </c>
      <c r="DI153" s="22">
        <f t="shared" si="123"/>
        <v>68.555352217843875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-8.8675733422860506E-14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197.51452239559433</v>
      </c>
      <c r="EP153" s="59">
        <f t="shared" si="154"/>
        <v>196.65166921588821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5.5419180281275651</v>
      </c>
      <c r="EW153" s="21">
        <f>EXP(-LN(2)/25)*EW152+(1-EXP(-LN(2)/25))/(LN(2)/25)*Calculateur!ER153*Calculateur!ET153*VLOOKUP('Données projet'!$B$15,Paramètres!$A$1:$I$89,3,0)*0.475*44/12</f>
        <v>2.8723651313161276</v>
      </c>
      <c r="EX153" s="21">
        <f>EXP(-LN(2)/2)*EX152+(1-EXP(-LN(2)/2))/(LN(2)/2)*ER153*EU153*VLOOKUP('Données projet'!$B$15,Paramètres!$A$1:$I$89,3,0)*0.475*44/12</f>
        <v>2.5046664905504409E-11</v>
      </c>
      <c r="EY153" s="22">
        <f t="shared" si="129"/>
        <v>8.4142831594687397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1294.4143139252278</v>
      </c>
      <c r="S154" s="59">
        <f ca="1">AVERAGE(OFFSET($R$3,0,0,'Données projet'!$E$9+1,1))-AVERAGE(OFFSET($H$3,0,0,'Données projet'!$E$9+1,1))</f>
        <v>635.71275911100679</v>
      </c>
      <c r="T154" s="59">
        <f t="shared" si="142"/>
        <v>281.7776857269169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9.3350000000000026</v>
      </c>
      <c r="AI154" s="13">
        <f>IF('Données projet'!$A$62&gt;35,AI153+AH154-AQ153,IF(A154&lt;'Données projet'!$A$62,$AF$205^A154,IF(A154='Données projet'!$A$62,'Données projet'!$B$62,AI153+AH154-AQ153)))</f>
        <v>518.48500000000081</v>
      </c>
      <c r="AJ154" s="13">
        <f>AI154*VLOOKUP('Données projet'!$B$10,Paramètres!$A$1:$I$89,3,0)*VLOOKUP('Données projet'!$B$10,Paramètres!$A$1:$I$89,5,0)</f>
        <v>525.7437900000009</v>
      </c>
      <c r="AK154" s="13">
        <f t="shared" ref="AK154:AK203" si="164">EXP(-1.0587+0.8836*LN(AJ154)+0.284)</f>
        <v>116.84983546396843</v>
      </c>
      <c r="AL154" s="20">
        <f t="shared" ref="AL154:AL203" si="165">(AJ154+AK154)*0.475*44/12</f>
        <v>1119.18389768308</v>
      </c>
      <c r="AM154" s="59">
        <f t="shared" si="113"/>
        <v>1412.5172310164132</v>
      </c>
      <c r="AN154" s="59">
        <f ca="1">AVERAGE(OFFSET($AM$3,0,0,'Données projet'!$E$10+1,1))-AVERAGE(OFFSET($H$3,0,0,'Données projet'!$E$10+1,1))</f>
        <v>706.69239849991595</v>
      </c>
      <c r="AO154" s="59">
        <f t="shared" si="144"/>
        <v>310.59887275116529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48.777929621440492</v>
      </c>
      <c r="AV154" s="21">
        <f>EXP(-LN(2)/25)*AV153+(1-EXP(-LN(2)/25))/(LN(2)/25)*Calculateur!AQ154*Calculateur!AS154*VLOOKUP('Données projet'!$B$10,Paramètres!$A$1:$I$89,3,0)*0.475*44/12</f>
        <v>21.513455879423784</v>
      </c>
      <c r="AW154" s="21">
        <f>EXP(-LN(2)/2)*AW153+(1-EXP(-LN(2)/2))/(LN(2)/2)*AQ154*AT154*VLOOKUP('Données projet'!$B$10,Paramètres!$A$1:$I$89,3,0)*0.475*44/12</f>
        <v>4.9392335222436259E-4</v>
      </c>
      <c r="AX154" s="21">
        <f t="shared" ref="AX154:AX203" si="166">SUM(AU154:AW154)</f>
        <v>70.291879424216503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493.39032600000081</v>
      </c>
      <c r="BF154" s="13">
        <f t="shared" ref="BF154:BF203" si="167">EXP(-1.0587+0.8836*LN(BE154)+0.284)</f>
        <v>110.47278572478149</v>
      </c>
      <c r="BG154" s="20">
        <f t="shared" ref="BG154:BG203" si="168">(BE154+BF154)*0.475*44/12</f>
        <v>1051.7282529206625</v>
      </c>
      <c r="BH154" s="59">
        <f t="shared" si="116"/>
        <v>1345.0615862539958</v>
      </c>
      <c r="BI154" s="59">
        <f ca="1">AVERAGE(OFFSET($BH$3,0,0,'Données projet'!$E$11+1,1))-AVERAGE(OFFSET($H$3,0,0,'Données projet'!$E$11+1,1))</f>
        <v>666.1523645983184</v>
      </c>
      <c r="BJ154" s="59">
        <f t="shared" si="146"/>
        <v>294.13851344047526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45.776210875505683</v>
      </c>
      <c r="BQ154" s="21">
        <f>EXP(-LN(2)/25)*BQ153+(1-EXP(-LN(2)/25))/(LN(2)/25)*Calculateur!BL154*Calculateur!BN154*VLOOKUP('Données projet'!$B$11,Paramètres!$A$1:$I$89,3,0)*0.475*44/12</f>
        <v>20.189550902228465</v>
      </c>
      <c r="BR154" s="21">
        <f>EXP(-LN(2)/2)*BR153+(1-EXP(-LN(2)/2))/(LN(2)/2)*BL154*BO154*VLOOKUP('Données projet'!$B$11,Paramètres!$A$1:$I$89,3,0)*0.475*44/12</f>
        <v>4.6352806901055671E-4</v>
      </c>
      <c r="BS154" s="22">
        <f t="shared" ref="BS154:BS203" si="169">SUM(BP154:BR154)</f>
        <v>65.96622530580315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9.3350000000000026</v>
      </c>
      <c r="BY154" s="12">
        <f>IF('Données projet'!$A$114&gt;35,BY153+BX154-CG153,IF(A154&lt;'Données projet'!$A$114,$BV$205^A154,IF(A154='Données projet'!$A$114,'Données projet'!$B$114,BY153+BX154-CG153)))</f>
        <v>518.48500000000081</v>
      </c>
      <c r="BZ154" s="13">
        <f>BY154*VLOOKUP('Données projet'!$B$12,Paramètres!$A$1:$I$89,3,0)*VLOOKUP('Données projet'!$B$12,Paramètres!$A$1:$I$89,5,0)</f>
        <v>558.09725400000082</v>
      </c>
      <c r="CA154" s="13">
        <f t="shared" ref="CA154:CA203" si="170">EXP(-1.0587+0.8836*LN(BZ154)+0.284)</f>
        <v>123.18133877816828</v>
      </c>
      <c r="CB154" s="20">
        <f t="shared" ref="CB154:CB203" si="171">(BZ154+CA154)*0.475*44/12</f>
        <v>1186.5602157553112</v>
      </c>
      <c r="CC154" s="59">
        <f t="shared" si="119"/>
        <v>1479.8935490886445</v>
      </c>
      <c r="CD154" s="59">
        <f ca="1">AVERAGE(OFFSET($CC$3,0,0,'Données projet'!$E$12+1,1))-AVERAGE(OFFSET($H$3,0,0,'Données projet'!$E$12+1,1))</f>
        <v>747.18304127457918</v>
      </c>
      <c r="CE154" s="59">
        <f t="shared" si="148"/>
        <v>327.03701004966723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51.779648367375266</v>
      </c>
      <c r="CL154" s="21">
        <f>EXP(-LN(2)/25)*CL153+(1-EXP(-LN(2)/25))/(LN(2)/25)*Calculateur!CG154*Calculateur!CI154*VLOOKUP('Données projet'!$B$12,Paramètres!$A$1:$I$89,3,0)*0.475*44/12</f>
        <v>22.837360856619096</v>
      </c>
      <c r="CM154" s="21">
        <f>EXP(-LN(2)/2)*CM153+(1-EXP(-LN(2)/2))/(LN(2)/2)*CG154*CJ154*VLOOKUP('Données projet'!$B$12,Paramètres!$A$1:$I$89,3,0)*0.475*44/12</f>
        <v>5.2431863543816949E-4</v>
      </c>
      <c r="CN154" s="22">
        <f t="shared" ref="CN154:CN203" si="172">SUM(CK154:CM154)</f>
        <v>74.617533542629801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9.3350000000000026</v>
      </c>
      <c r="CT154" s="12">
        <f>IF('Données projet'!$A$140&gt;35,CT153+CS154-DB153,IF(A154&lt;'Données projet'!$A$140,$CQ$205^A154,IF(A154='Données projet'!$A$140,'Données projet'!$B$140,CT153+CS154-DB153)))</f>
        <v>518.48500000000081</v>
      </c>
      <c r="CU154" s="17">
        <f>CT154*VLOOKUP('Données projet'!$B$13,Paramètres!$A$1:$I$89,3,0)*VLOOKUP('Données projet'!$B$13,Paramètres!$A$1:$I$89,5,0)</f>
        <v>501.47869200000076</v>
      </c>
      <c r="CV154" s="13">
        <f t="shared" ref="CV154:CV203" si="173">EXP(-1.0587+0.8836*LN(CU154)+0.284)</f>
        <v>112.07149365312368</v>
      </c>
      <c r="CW154" s="20">
        <f t="shared" ref="CW154:CW203" si="174">(CU154+CV154)*0.475*44/12</f>
        <v>1068.5999066791917</v>
      </c>
      <c r="CX154" s="59">
        <f t="shared" si="122"/>
        <v>1361.9332400125249</v>
      </c>
      <c r="CY154" s="59">
        <f ca="1">AVERAGE(OFFSET($CX$3,0,0,'Données projet'!$E$13+1,1))-AVERAGE(OFFSET($H$3,0,0,'Données projet'!$E$13+1,1))</f>
        <v>676.29219382388692</v>
      </c>
      <c r="CZ154" s="59">
        <f t="shared" si="150"/>
        <v>298.25577221580448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46.526640561989396</v>
      </c>
      <c r="DG154" s="21">
        <f>EXP(-LN(2)/25)*DG153+(1-EXP(-LN(2)/25))/(LN(2)/25)*Calculateur!DB154*Calculateur!DD154*VLOOKUP('Données projet'!$B$13,Paramètres!$A$1:$I$89,3,0)*0.475*44/12</f>
        <v>20.520527146527296</v>
      </c>
      <c r="DH154" s="21">
        <f>EXP(-LN(2)/2)*DH153+(1-EXP(-LN(2)/2))/(LN(2)/2)*DB154*DE154*VLOOKUP('Données projet'!$B$13,Paramètres!$A$1:$I$89,3,0)*0.475*44/12</f>
        <v>4.7112688981400746E-4</v>
      </c>
      <c r="DI154" s="22">
        <f t="shared" ref="DI154:DI203" si="175">SUM(DF154:DH154)</f>
        <v>67.047638835406516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-8.8675733422860506E-14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197.51452239559433</v>
      </c>
      <c r="EP154" s="59">
        <f t="shared" si="154"/>
        <v>196.65166921588821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5.4332443958322099</v>
      </c>
      <c r="EW154" s="21">
        <f>EXP(-LN(2)/25)*EW153+(1-EXP(-LN(2)/25))/(LN(2)/25)*Calculateur!ER154*Calculateur!ET154*VLOOKUP('Données projet'!$B$15,Paramètres!$A$1:$I$89,3,0)*0.475*44/12</f>
        <v>2.7938201557491706</v>
      </c>
      <c r="EX154" s="21">
        <f>EXP(-LN(2)/2)*EX153+(1-EXP(-LN(2)/2))/(LN(2)/2)*ER154*EU154*VLOOKUP('Données projet'!$B$15,Paramètres!$A$1:$I$89,3,0)*0.475*44/12</f>
        <v>1.7710666600789285E-11</v>
      </c>
      <c r="EY154" s="22">
        <f t="shared" ref="EY154:EY203" si="181">SUM(EV154:EX154)</f>
        <v>8.2270645515990903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1312.0494521633034</v>
      </c>
      <c r="S155" s="59">
        <f ca="1">AVERAGE(OFFSET($R$3,0,0,'Données projet'!$E$9+1,1))-AVERAGE(OFFSET($H$3,0,0,'Données projet'!$E$9+1,1))</f>
        <v>635.71275911100679</v>
      </c>
      <c r="T155" s="59">
        <f t="shared" si="142"/>
        <v>281.7776857269169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9.3350000000000026</v>
      </c>
      <c r="AI155" s="13">
        <f>IF('Données projet'!$A$62&gt;35,AI154+AH155-AQ154,IF(A155&lt;'Données projet'!$A$62,$AF$205^A155,IF(A155='Données projet'!$A$62,'Données projet'!$B$62,AI154+AH155-AQ154)))</f>
        <v>527.82000000000085</v>
      </c>
      <c r="AJ155" s="13">
        <f>AI155*VLOOKUP('Données projet'!$B$10,Paramètres!$A$1:$I$89,3,0)*VLOOKUP('Données projet'!$B$10,Paramètres!$A$1:$I$89,5,0)</f>
        <v>535.20948000000089</v>
      </c>
      <c r="AK155" s="13">
        <f t="shared" si="164"/>
        <v>118.70682580764394</v>
      </c>
      <c r="AL155" s="20">
        <f t="shared" si="165"/>
        <v>1138.9042326149813</v>
      </c>
      <c r="AM155" s="59">
        <f t="shared" si="113"/>
        <v>1432.2375659483146</v>
      </c>
      <c r="AN155" s="59">
        <f ca="1">AVERAGE(OFFSET($AM$3,0,0,'Données projet'!$E$10+1,1))-AVERAGE(OFFSET($H$3,0,0,'Données projet'!$E$10+1,1))</f>
        <v>706.69239849991595</v>
      </c>
      <c r="AO155" s="59">
        <f t="shared" si="144"/>
        <v>310.59887275116529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47.821424173163386</v>
      </c>
      <c r="AV155" s="21">
        <f>EXP(-LN(2)/25)*AV154+(1-EXP(-LN(2)/25))/(LN(2)/25)*Calculateur!AQ155*Calculateur!AS155*VLOOKUP('Données projet'!$B$10,Paramètres!$A$1:$I$89,3,0)*0.475*44/12</f>
        <v>20.925169297057465</v>
      </c>
      <c r="AW155" s="21">
        <f>EXP(-LN(2)/2)*AW154+(1-EXP(-LN(2)/2))/(LN(2)/2)*AQ155*AT155*VLOOKUP('Données projet'!$B$10,Paramètres!$A$1:$I$89,3,0)*0.475*44/12</f>
        <v>3.492565517442384E-4</v>
      </c>
      <c r="AX155" s="21">
        <f t="shared" si="166"/>
        <v>68.746942726772602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502.27351200000078</v>
      </c>
      <c r="BF155" s="13">
        <f t="shared" si="167"/>
        <v>112.22843129771096</v>
      </c>
      <c r="BG155" s="20">
        <f t="shared" si="168"/>
        <v>1070.2575512435144</v>
      </c>
      <c r="BH155" s="59">
        <f t="shared" si="116"/>
        <v>1363.5908845768477</v>
      </c>
      <c r="BI155" s="59">
        <f ca="1">AVERAGE(OFFSET($BH$3,0,0,'Données projet'!$E$11+1,1))-AVERAGE(OFFSET($H$3,0,0,'Données projet'!$E$11+1,1))</f>
        <v>666.1523645983184</v>
      </c>
      <c r="BJ155" s="59">
        <f t="shared" si="146"/>
        <v>294.13851344047526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44.878567300968705</v>
      </c>
      <c r="BQ155" s="21">
        <f>EXP(-LN(2)/25)*BQ154+(1-EXP(-LN(2)/25))/(LN(2)/25)*Calculateur!BL155*Calculateur!BN155*VLOOKUP('Données projet'!$B$11,Paramètres!$A$1:$I$89,3,0)*0.475*44/12</f>
        <v>19.637466571084691</v>
      </c>
      <c r="BR155" s="21">
        <f>EXP(-LN(2)/2)*BR154+(1-EXP(-LN(2)/2))/(LN(2)/2)*BL155*BO155*VLOOKUP('Données projet'!$B$11,Paramètres!$A$1:$I$89,3,0)*0.475*44/12</f>
        <v>3.2776384086767064E-4</v>
      </c>
      <c r="BS155" s="22">
        <f t="shared" si="169"/>
        <v>64.51636163589427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9.3350000000000026</v>
      </c>
      <c r="BY155" s="12">
        <f>IF('Données projet'!$A$114&gt;35,BY154+BX155-CG154,IF(A155&lt;'Données projet'!$A$114,$BV$205^A155,IF(A155='Données projet'!$A$114,'Données projet'!$B$114,BY154+BX155-CG154)))</f>
        <v>527.82000000000085</v>
      </c>
      <c r="BZ155" s="13">
        <f>BY155*VLOOKUP('Données projet'!$B$12,Paramètres!$A$1:$I$89,3,0)*VLOOKUP('Données projet'!$B$12,Paramètres!$A$1:$I$89,5,0)</f>
        <v>568.1454480000009</v>
      </c>
      <c r="CA155" s="13">
        <f t="shared" si="170"/>
        <v>125.13895006383086</v>
      </c>
      <c r="CB155" s="20">
        <f t="shared" si="171"/>
        <v>1207.4703266278404</v>
      </c>
      <c r="CC155" s="59">
        <f t="shared" si="119"/>
        <v>1500.8036599611737</v>
      </c>
      <c r="CD155" s="59">
        <f ca="1">AVERAGE(OFFSET($CC$3,0,0,'Données projet'!$E$12+1,1))-AVERAGE(OFFSET($H$3,0,0,'Données projet'!$E$12+1,1))</f>
        <v>747.18304127457918</v>
      </c>
      <c r="CE155" s="59">
        <f t="shared" si="148"/>
        <v>327.03701004966723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50.764281045358032</v>
      </c>
      <c r="CL155" s="21">
        <f>EXP(-LN(2)/25)*CL154+(1-EXP(-LN(2)/25))/(LN(2)/25)*Calculateur!CG155*Calculateur!CI155*VLOOKUP('Données projet'!$B$12,Paramètres!$A$1:$I$89,3,0)*0.475*44/12</f>
        <v>22.212872023030236</v>
      </c>
      <c r="CM155" s="21">
        <f>EXP(-LN(2)/2)*CM154+(1-EXP(-LN(2)/2))/(LN(2)/2)*CG155*CJ155*VLOOKUP('Données projet'!$B$12,Paramètres!$A$1:$I$89,3,0)*0.475*44/12</f>
        <v>3.7074926262080691E-4</v>
      </c>
      <c r="CN155" s="22">
        <f t="shared" si="172"/>
        <v>72.977523817650891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9.3350000000000026</v>
      </c>
      <c r="CT155" s="12">
        <f>IF('Données projet'!$A$140&gt;35,CT154+CS155-DB154,IF(A155&lt;'Données projet'!$A$140,$CQ$205^A155,IF(A155='Données projet'!$A$140,'Données projet'!$B$140,CT154+CS155-DB154)))</f>
        <v>527.82000000000085</v>
      </c>
      <c r="CU155" s="17">
        <f>CT155*VLOOKUP('Données projet'!$B$13,Paramètres!$A$1:$I$89,3,0)*VLOOKUP('Données projet'!$B$13,Paramètres!$A$1:$I$89,5,0)</f>
        <v>510.50750400000084</v>
      </c>
      <c r="CV155" s="13">
        <f t="shared" si="173"/>
        <v>113.85254606700846</v>
      </c>
      <c r="CW155" s="20">
        <f t="shared" si="174"/>
        <v>1087.4270872000411</v>
      </c>
      <c r="CX155" s="59">
        <f t="shared" si="122"/>
        <v>1380.7604205333744</v>
      </c>
      <c r="CY155" s="59">
        <f ca="1">AVERAGE(OFFSET($CX$3,0,0,'Données projet'!$E$13+1,1))-AVERAGE(OFFSET($H$3,0,0,'Données projet'!$E$13+1,1))</f>
        <v>676.29219382388692</v>
      </c>
      <c r="CZ155" s="59">
        <f t="shared" si="150"/>
        <v>298.25577221580448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45.614281519017389</v>
      </c>
      <c r="DG155" s="21">
        <f>EXP(-LN(2)/25)*DG154+(1-EXP(-LN(2)/25))/(LN(2)/25)*Calculateur!DB155*Calculateur!DD155*VLOOKUP('Données projet'!$B$13,Paramètres!$A$1:$I$89,3,0)*0.475*44/12</f>
        <v>19.959392252577885</v>
      </c>
      <c r="DH155" s="21">
        <f>EXP(-LN(2)/2)*DH154+(1-EXP(-LN(2)/2))/(LN(2)/2)*DB155*DE155*VLOOKUP('Données projet'!$B$13,Paramètres!$A$1:$I$89,3,0)*0.475*44/12</f>
        <v>3.3313701858681205E-4</v>
      </c>
      <c r="DI155" s="22">
        <f t="shared" si="175"/>
        <v>65.574006908613867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-8.8675733422860506E-14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197.51452239559433</v>
      </c>
      <c r="EP155" s="59">
        <f t="shared" si="154"/>
        <v>196.65166921588821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5.3267017871817961</v>
      </c>
      <c r="EW155" s="21">
        <f>EXP(-LN(2)/25)*EW154+(1-EXP(-LN(2)/25))/(LN(2)/25)*Calculateur!ER155*Calculateur!ET155*VLOOKUP('Données projet'!$B$15,Paramètres!$A$1:$I$89,3,0)*0.475*44/12</f>
        <v>2.7174229966695931</v>
      </c>
      <c r="EX155" s="21">
        <f>EXP(-LN(2)/2)*EX154+(1-EXP(-LN(2)/2))/(LN(2)/2)*ER155*EU155*VLOOKUP('Données projet'!$B$15,Paramètres!$A$1:$I$89,3,0)*0.475*44/12</f>
        <v>1.2523332452752205E-11</v>
      </c>
      <c r="EY155" s="22">
        <f t="shared" si="181"/>
        <v>8.0441247838639125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1329.6785757859675</v>
      </c>
      <c r="S156" s="59">
        <f ca="1">AVERAGE(OFFSET($R$3,0,0,'Données projet'!$E$9+1,1))-AVERAGE(OFFSET($H$3,0,0,'Données projet'!$E$9+1,1))</f>
        <v>635.71275911100679</v>
      </c>
      <c r="T156" s="59">
        <f t="shared" si="142"/>
        <v>281.7776857269169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9.3350000000000026</v>
      </c>
      <c r="AI156" s="13">
        <f>IF('Données projet'!$A$62&gt;35,AI155+AH156-AQ155,IF(A156&lt;'Données projet'!$A$62,$AF$205^A156,IF(A156='Données projet'!$A$62,'Données projet'!$B$62,AI155+AH156-AQ155)))</f>
        <v>537.15500000000088</v>
      </c>
      <c r="AJ156" s="13">
        <f>AI156*VLOOKUP('Données projet'!$B$10,Paramètres!$A$1:$I$89,3,0)*VLOOKUP('Données projet'!$B$10,Paramètres!$A$1:$I$89,5,0)</f>
        <v>544.67517000000089</v>
      </c>
      <c r="AK156" s="13">
        <f t="shared" si="164"/>
        <v>120.55999698924055</v>
      </c>
      <c r="AL156" s="20">
        <f t="shared" si="165"/>
        <v>1158.6179158395955</v>
      </c>
      <c r="AM156" s="59">
        <f t="shared" si="113"/>
        <v>1451.9512491729288</v>
      </c>
      <c r="AN156" s="59">
        <f ca="1">AVERAGE(OFFSET($AM$3,0,0,'Données projet'!$E$10+1,1))-AVERAGE(OFFSET($H$3,0,0,'Données projet'!$E$10+1,1))</f>
        <v>706.69239849991595</v>
      </c>
      <c r="AO156" s="59">
        <f t="shared" si="144"/>
        <v>310.59887275116529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46.88367521331628</v>
      </c>
      <c r="AV156" s="21">
        <f>EXP(-LN(2)/25)*AV155+(1-EXP(-LN(2)/25))/(LN(2)/25)*Calculateur!AQ156*Calculateur!AS156*VLOOKUP('Données projet'!$B$10,Paramètres!$A$1:$I$89,3,0)*0.475*44/12</f>
        <v>20.352969442222602</v>
      </c>
      <c r="AW156" s="21">
        <f>EXP(-LN(2)/2)*AW155+(1-EXP(-LN(2)/2))/(LN(2)/2)*AQ156*AT156*VLOOKUP('Données projet'!$B$10,Paramètres!$A$1:$I$89,3,0)*0.475*44/12</f>
        <v>2.4696167611218129E-4</v>
      </c>
      <c r="AX156" s="21">
        <f t="shared" si="166"/>
        <v>67.236891617214994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511.15669800000086</v>
      </c>
      <c r="BF156" s="13">
        <f t="shared" si="167"/>
        <v>113.98046613835052</v>
      </c>
      <c r="BG156" s="20">
        <f t="shared" si="168"/>
        <v>1088.7805608742954</v>
      </c>
      <c r="BH156" s="59">
        <f t="shared" si="116"/>
        <v>1382.1138942076286</v>
      </c>
      <c r="BI156" s="59">
        <f ca="1">AVERAGE(OFFSET($BH$3,0,0,'Données projet'!$E$11+1,1))-AVERAGE(OFFSET($H$3,0,0,'Données projet'!$E$11+1,1))</f>
        <v>666.1523645983184</v>
      </c>
      <c r="BJ156" s="59">
        <f t="shared" si="146"/>
        <v>294.13851344047526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43.99852596941988</v>
      </c>
      <c r="BQ156" s="21">
        <f>EXP(-LN(2)/25)*BQ155+(1-EXP(-LN(2)/25))/(LN(2)/25)*Calculateur!BL156*Calculateur!BN156*VLOOKUP('Données projet'!$B$11,Paramètres!$A$1:$I$89,3,0)*0.475*44/12</f>
        <v>19.100479015008894</v>
      </c>
      <c r="BR156" s="21">
        <f>EXP(-LN(2)/2)*BR155+(1-EXP(-LN(2)/2))/(LN(2)/2)*BL156*BO156*VLOOKUP('Données projet'!$B$11,Paramètres!$A$1:$I$89,3,0)*0.475*44/12</f>
        <v>2.3176403450527838E-4</v>
      </c>
      <c r="BS156" s="22">
        <f t="shared" si="169"/>
        <v>63.099236748463277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9.3350000000000026</v>
      </c>
      <c r="BY156" s="12">
        <f>IF('Données projet'!$A$114&gt;35,BY155+BX156-CG155,IF(A156&lt;'Données projet'!$A$114,$BV$205^A156,IF(A156='Données projet'!$A$114,'Données projet'!$B$114,BY155+BX156-CG155)))</f>
        <v>537.15500000000088</v>
      </c>
      <c r="BZ156" s="13">
        <f>BY156*VLOOKUP('Données projet'!$B$12,Paramètres!$A$1:$I$89,3,0)*VLOOKUP('Données projet'!$B$12,Paramètres!$A$1:$I$89,5,0)</f>
        <v>578.19364200000098</v>
      </c>
      <c r="CA156" s="13">
        <f t="shared" si="170"/>
        <v>127.0925352462815</v>
      </c>
      <c r="CB156" s="20">
        <f t="shared" si="171"/>
        <v>1228.3734253706086</v>
      </c>
      <c r="CC156" s="59">
        <f t="shared" si="119"/>
        <v>1521.7067587039419</v>
      </c>
      <c r="CD156" s="59">
        <f ca="1">AVERAGE(OFFSET($CC$3,0,0,'Données projet'!$E$12+1,1))-AVERAGE(OFFSET($H$3,0,0,'Données projet'!$E$12+1,1))</f>
        <v>747.18304127457918</v>
      </c>
      <c r="CE156" s="59">
        <f t="shared" si="148"/>
        <v>327.03701004966723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49.768824457212645</v>
      </c>
      <c r="CL156" s="21">
        <f>EXP(-LN(2)/25)*CL155+(1-EXP(-LN(2)/25))/(LN(2)/25)*Calculateur!CG156*Calculateur!CI156*VLOOKUP('Données projet'!$B$12,Paramètres!$A$1:$I$89,3,0)*0.475*44/12</f>
        <v>21.605459869436302</v>
      </c>
      <c r="CM156" s="21">
        <f>EXP(-LN(2)/2)*CM155+(1-EXP(-LN(2)/2))/(LN(2)/2)*CG156*CJ156*VLOOKUP('Données projet'!$B$12,Paramètres!$A$1:$I$89,3,0)*0.475*44/12</f>
        <v>2.6215931771908475E-4</v>
      </c>
      <c r="CN156" s="22">
        <f t="shared" si="172"/>
        <v>71.374546485966661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9.3350000000000026</v>
      </c>
      <c r="CT156" s="12">
        <f>IF('Données projet'!$A$140&gt;35,CT155+CS156-DB155,IF(A156&lt;'Données projet'!$A$140,$CQ$205^A156,IF(A156='Données projet'!$A$140,'Données projet'!$B$140,CT155+CS156-DB155)))</f>
        <v>537.15500000000088</v>
      </c>
      <c r="CU156" s="17">
        <f>CT156*VLOOKUP('Données projet'!$B$13,Paramètres!$A$1:$I$89,3,0)*VLOOKUP('Données projet'!$B$13,Paramètres!$A$1:$I$89,5,0)</f>
        <v>519.53631600000085</v>
      </c>
      <c r="CV156" s="13">
        <f t="shared" si="173"/>
        <v>115.62993549585802</v>
      </c>
      <c r="CW156" s="20">
        <f t="shared" si="174"/>
        <v>1106.2478880219542</v>
      </c>
      <c r="CX156" s="59">
        <f t="shared" si="122"/>
        <v>1399.5812213552874</v>
      </c>
      <c r="CY156" s="59">
        <f ca="1">AVERAGE(OFFSET($CX$3,0,0,'Données projet'!$E$13+1,1))-AVERAGE(OFFSET($H$3,0,0,'Données projet'!$E$13+1,1))</f>
        <v>676.29219382388692</v>
      </c>
      <c r="CZ156" s="59">
        <f t="shared" si="150"/>
        <v>298.25577221580448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44.719813280393993</v>
      </c>
      <c r="DG156" s="21">
        <f>EXP(-LN(2)/25)*DG155+(1-EXP(-LN(2)/25))/(LN(2)/25)*Calculateur!DB156*Calculateur!DD156*VLOOKUP('Données projet'!$B$13,Paramètres!$A$1:$I$89,3,0)*0.475*44/12</f>
        <v>19.413601621812322</v>
      </c>
      <c r="DH156" s="21">
        <f>EXP(-LN(2)/2)*DH155+(1-EXP(-LN(2)/2))/(LN(2)/2)*DB156*DE156*VLOOKUP('Données projet'!$B$13,Paramètres!$A$1:$I$89,3,0)*0.475*44/12</f>
        <v>2.3556344490700373E-4</v>
      </c>
      <c r="DI156" s="22">
        <f t="shared" si="175"/>
        <v>64.133650465651215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-8.8675733422860506E-14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197.51452239559433</v>
      </c>
      <c r="EP156" s="59">
        <f t="shared" si="154"/>
        <v>196.65166921588821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5.2222484141024426</v>
      </c>
      <c r="EW156" s="21">
        <f>EXP(-LN(2)/25)*EW155+(1-EXP(-LN(2)/25))/(LN(2)/25)*Calculateur!ER156*Calculateur!ET156*VLOOKUP('Données projet'!$B$15,Paramètres!$A$1:$I$89,3,0)*0.475*44/12</f>
        <v>2.6431149219225984</v>
      </c>
      <c r="EX156" s="21">
        <f>EXP(-LN(2)/2)*EX155+(1-EXP(-LN(2)/2))/(LN(2)/2)*ER156*EU156*VLOOKUP('Données projet'!$B$15,Paramètres!$A$1:$I$89,3,0)*0.475*44/12</f>
        <v>8.8553333003946426E-12</v>
      </c>
      <c r="EY156" s="22">
        <f t="shared" si="181"/>
        <v>7.8653633360338961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1347.3018013794547</v>
      </c>
      <c r="S157" s="59">
        <f ca="1">AVERAGE(OFFSET($R$3,0,0,'Données projet'!$E$9+1,1))-AVERAGE(OFFSET($H$3,0,0,'Données projet'!$E$9+1,1))</f>
        <v>635.71275911100679</v>
      </c>
      <c r="T157" s="59">
        <f t="shared" si="142"/>
        <v>281.7776857269169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9.3350000000000026</v>
      </c>
      <c r="AH157" s="12">
        <f t="array" ref="AH157">INDEX(AG:AG,MIN(IF(ISNUMBER(AG157:AG353),ROW(AG157:AG353),"")))</f>
        <v>9.3350000000000026</v>
      </c>
      <c r="AI157" s="13">
        <f>IF('Données projet'!$A$62&gt;35,AI156+AH157-AQ156,IF(A157&lt;'Données projet'!$A$62,$AF$205^A157,IF(A157='Données projet'!$A$62,'Données projet'!$B$62,AI156+AH157-AQ156)))</f>
        <v>546.49000000000092</v>
      </c>
      <c r="AJ157" s="13">
        <f>AI157*VLOOKUP('Données projet'!$B$10,Paramètres!$A$1:$I$89,3,0)*VLOOKUP('Données projet'!$B$10,Paramètres!$A$1:$I$89,5,0)</f>
        <v>554.140860000001</v>
      </c>
      <c r="AK157" s="13">
        <f t="shared" si="164"/>
        <v>122.40942303871579</v>
      </c>
      <c r="AL157" s="20">
        <f t="shared" si="165"/>
        <v>1178.3250762924317</v>
      </c>
      <c r="AM157" s="59">
        <f t="shared" si="113"/>
        <v>1471.658409625765</v>
      </c>
      <c r="AN157" s="59">
        <f ca="1">AVERAGE(OFFSET($AM$3,0,0,'Données projet'!$E$10+1,1))-AVERAGE(OFFSET($H$3,0,0,'Données projet'!$E$10+1,1))</f>
        <v>706.69239849991595</v>
      </c>
      <c r="AO157" s="59">
        <f t="shared" si="144"/>
        <v>310.59887275116529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61.050000000000011</v>
      </c>
      <c r="AR157" s="16">
        <f>IF(ISNA(VLOOKUP(A157,'Données projet'!$A$61:$I$81,5,0)),0%,VLOOKUP(A157,'Données projet'!$A$61:$I$81,5,0)*VLOOKUP('Données projet'!$B$10,Paramètres!$A$1:$I$89,7,0))</f>
        <v>0.215</v>
      </c>
      <c r="AS157" s="16">
        <f>IF(ISNA(VLOOKUP(A157,'Données projet'!$A$61:$I$81,6,0)),0%,VLOOKUP(A157,'Données projet'!$A$61:$I$81,6,0)*VLOOKUP('Données projet'!$B$10,Paramètres!$A$1:$I$89,7,0))</f>
        <v>8.6000000000000007E-2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60.67758456243417</v>
      </c>
      <c r="AV157" s="21">
        <f>EXP(-LN(2)/25)*AV156+(1-EXP(-LN(2)/25))/(LN(2)/25)*Calculateur!AQ157*Calculateur!AS157*VLOOKUP('Données projet'!$B$10,Paramètres!$A$1:$I$89,3,0)*0.475*44/12</f>
        <v>25.658551572560288</v>
      </c>
      <c r="AW157" s="21">
        <f>EXP(-LN(2)/2)*AW156+(1-EXP(-LN(2)/2))/(LN(2)/2)*AQ157*AT157*VLOOKUP('Données projet'!$B$10,Paramètres!$A$1:$I$89,3,0)*0.475*44/12</f>
        <v>1.746282758721192E-4</v>
      </c>
      <c r="AX157" s="21">
        <f t="shared" si="166"/>
        <v>86.336310763270333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520.03988400000094</v>
      </c>
      <c r="BF157" s="13">
        <f t="shared" si="167"/>
        <v>115.72896023649152</v>
      </c>
      <c r="BG157" s="20">
        <f t="shared" si="168"/>
        <v>1107.2974037118909</v>
      </c>
      <c r="BH157" s="59">
        <f t="shared" si="116"/>
        <v>1400.6307370452241</v>
      </c>
      <c r="BI157" s="59">
        <f ca="1">AVERAGE(OFFSET($BH$3,0,0,'Données projet'!$E$11+1,1))-AVERAGE(OFFSET($H$3,0,0,'Données projet'!$E$11+1,1))</f>
        <v>666.1523645983184</v>
      </c>
      <c r="BJ157" s="59">
        <f t="shared" si="146"/>
        <v>294.13851344047526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56.943579358592061</v>
      </c>
      <c r="BQ157" s="21">
        <f>EXP(-LN(2)/25)*BQ156+(1-EXP(-LN(2)/25))/(LN(2)/25)*Calculateur!BL157*Calculateur!BN157*VLOOKUP('Données projet'!$B$11,Paramètres!$A$1:$I$89,3,0)*0.475*44/12</f>
        <v>24.079563783479642</v>
      </c>
      <c r="BR157" s="21">
        <f>EXP(-LN(2)/2)*BR156+(1-EXP(-LN(2)/2))/(LN(2)/2)*BL157*BO157*VLOOKUP('Données projet'!$B$11,Paramètres!$A$1:$I$89,3,0)*0.475*44/12</f>
        <v>1.6388192043383535E-4</v>
      </c>
      <c r="BS157" s="22">
        <f t="shared" si="169"/>
        <v>81.023307023992132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9.3350000000000026</v>
      </c>
      <c r="BX157" s="12">
        <f t="array" ref="BX157">INDEX(BW:BW,MIN(IF(ISNUMBER(BW157:BW353),ROW(BW157:BW353),"")))</f>
        <v>9.3350000000000026</v>
      </c>
      <c r="BY157" s="12">
        <f>IF('Données projet'!$A$114&gt;35,BY156+BX157-CG156,IF(A157&lt;'Données projet'!$A$114,$BV$205^A157,IF(A157='Données projet'!$A$114,'Données projet'!$B$114,BY156+BX157-CG156)))</f>
        <v>546.49000000000092</v>
      </c>
      <c r="BZ157" s="13">
        <f>BY157*VLOOKUP('Données projet'!$B$12,Paramètres!$A$1:$I$89,3,0)*VLOOKUP('Données projet'!$B$12,Paramètres!$A$1:$I$89,5,0)</f>
        <v>588.24183600000106</v>
      </c>
      <c r="CA157" s="13">
        <f t="shared" si="170"/>
        <v>129.04217236678744</v>
      </c>
      <c r="CB157" s="20">
        <f t="shared" si="171"/>
        <v>1249.26964790549</v>
      </c>
      <c r="CC157" s="59">
        <f t="shared" si="119"/>
        <v>1542.6029812388233</v>
      </c>
      <c r="CD157" s="59">
        <f ca="1">AVERAGE(OFFSET($CC$3,0,0,'Données projet'!$E$12+1,1))-AVERAGE(OFFSET($H$3,0,0,'Données projet'!$E$12+1,1))</f>
        <v>747.18304127457918</v>
      </c>
      <c r="CE157" s="59">
        <f t="shared" si="148"/>
        <v>327.03701004966723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61.050000000000011</v>
      </c>
      <c r="CH157" s="16">
        <f>IF(ISNA(VLOOKUP(A157,'Données projet'!$A$113:$I$133,5,0)),0%,VLOOKUP(A157,'Données projet'!$A$113:$I$133,5,0)*VLOOKUP('Données projet'!$B$12,Paramètres!$A$1:$I$89,7,0))</f>
        <v>0.215</v>
      </c>
      <c r="CI157" s="16">
        <f>IF(ISNA(VLOOKUP(A157,'Données projet'!$A$113:$I$133,6,0)),0%,VLOOKUP(A157,'Données projet'!$A$113:$I$133,6,0)*VLOOKUP('Données projet'!$B$12,Paramètres!$A$1:$I$89,7,0))</f>
        <v>8.6000000000000007E-2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64.411589766276251</v>
      </c>
      <c r="CL157" s="21">
        <f>EXP(-LN(2)/25)*CL156+(1-EXP(-LN(2)/25))/(LN(2)/25)*Calculateur!CG157*Calculateur!CI157*VLOOKUP('Données projet'!$B$12,Paramètres!$A$1:$I$89,3,0)*0.475*44/12</f>
        <v>27.237539361640916</v>
      </c>
      <c r="CM157" s="21">
        <f>EXP(-LN(2)/2)*CM156+(1-EXP(-LN(2)/2))/(LN(2)/2)*CG157*CJ157*VLOOKUP('Données projet'!$B$12,Paramètres!$A$1:$I$89,3,0)*0.475*44/12</f>
        <v>1.8537463131040345E-4</v>
      </c>
      <c r="CN157" s="22">
        <f t="shared" si="172"/>
        <v>91.649314502548478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9.3350000000000026</v>
      </c>
      <c r="CS157" s="12">
        <f t="array" ref="CS157">INDEX(CR:CR,MIN(IF(ISNUMBER(CR157:CR353),ROW(CR157:CR353),"")))</f>
        <v>9.3350000000000026</v>
      </c>
      <c r="CT157" s="12">
        <f>IF('Données projet'!$A$140&gt;35,CT156+CS157-DB156,IF(A157&lt;'Données projet'!$A$140,$CQ$205^A157,IF(A157='Données projet'!$A$140,'Données projet'!$B$140,CT156+CS157-DB156)))</f>
        <v>546.49000000000092</v>
      </c>
      <c r="CU157" s="17">
        <f>CT157*VLOOKUP('Données projet'!$B$13,Paramètres!$A$1:$I$89,3,0)*VLOOKUP('Données projet'!$B$13,Paramètres!$A$1:$I$89,5,0)</f>
        <v>528.56512800000087</v>
      </c>
      <c r="CV157" s="13">
        <f t="shared" si="173"/>
        <v>117.40373294232158</v>
      </c>
      <c r="CW157" s="20">
        <f t="shared" si="174"/>
        <v>1125.0624328078782</v>
      </c>
      <c r="CX157" s="59">
        <f t="shared" si="122"/>
        <v>1418.3957661412114</v>
      </c>
      <c r="CY157" s="59">
        <f ca="1">AVERAGE(OFFSET($CX$3,0,0,'Données projet'!$E$13+1,1))-AVERAGE(OFFSET($H$3,0,0,'Données projet'!$E$13+1,1))</f>
        <v>676.29219382388692</v>
      </c>
      <c r="CZ157" s="59">
        <f t="shared" si="150"/>
        <v>298.25577221580448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61.050000000000011</v>
      </c>
      <c r="DC157" s="16">
        <f>IF(ISNA(VLOOKUP(A157,'Données projet'!$A$139:$I$159,5,0)),0%,VLOOKUP(A157,'Données projet'!$A$139:$I$159,5,0)*VLOOKUP('Données projet'!$B$13,Paramètres!$A$1:$I$89,7,0))</f>
        <v>0.215</v>
      </c>
      <c r="DD157" s="16">
        <f>IF(ISNA(VLOOKUP(A157,'Données projet'!$A$139:$I$159,6,0)),0%,VLOOKUP(A157,'Données projet'!$A$139:$I$159,6,0)*VLOOKUP('Données projet'!$B$13,Paramètres!$A$1:$I$89,7,0))</f>
        <v>8.6000000000000007E-2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57.877080659552597</v>
      </c>
      <c r="DG157" s="21">
        <f>EXP(-LN(2)/25)*DG156+(1-EXP(-LN(2)/25))/(LN(2)/25)*Calculateur!DB157*Calculateur!DD157*VLOOKUP('Données projet'!$B$13,Paramètres!$A$1:$I$89,3,0)*0.475*44/12</f>
        <v>24.474310730749806</v>
      </c>
      <c r="DH157" s="21">
        <f>EXP(-LN(2)/2)*DH156+(1-EXP(-LN(2)/2))/(LN(2)/2)*DB157*DE157*VLOOKUP('Données projet'!$B$13,Paramètres!$A$1:$I$89,3,0)*0.475*44/12</f>
        <v>1.6656850929340603E-4</v>
      </c>
      <c r="DI157" s="22">
        <f t="shared" si="175"/>
        <v>82.351557958811711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-8.8675733422860506E-14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197.51452239559433</v>
      </c>
      <c r="EP157" s="59">
        <f t="shared" si="154"/>
        <v>196.65166921588821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5.1198433079589085</v>
      </c>
      <c r="EW157" s="21">
        <f>EXP(-LN(2)/25)*EW156+(1-EXP(-LN(2)/25))/(LN(2)/25)*Calculateur!ER157*Calculateur!ET157*VLOOKUP('Données projet'!$B$15,Paramètres!$A$1:$I$89,3,0)*0.475*44/12</f>
        <v>2.5708388053872522</v>
      </c>
      <c r="EX157" s="21">
        <f>EXP(-LN(2)/2)*EX156+(1-EXP(-LN(2)/2))/(LN(2)/2)*ER157*EU157*VLOOKUP('Données projet'!$B$15,Paramètres!$A$1:$I$89,3,0)*0.475*44/12</f>
        <v>6.2616662263761023E-12</v>
      </c>
      <c r="EY157" s="22">
        <f t="shared" si="181"/>
        <v>7.6906821133524224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1249.8842383946057</v>
      </c>
      <c r="S158" s="59">
        <f ca="1">AVERAGE(OFFSET($R$3,0,0,'Données projet'!$E$9+1,1))-AVERAGE(OFFSET($H$3,0,0,'Données projet'!$E$9+1,1))</f>
        <v>635.71275911100679</v>
      </c>
      <c r="T158" s="59">
        <f t="shared" si="142"/>
        <v>281.7776857269169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9.4880000000000049</v>
      </c>
      <c r="AI158" s="13">
        <f>IF('Données projet'!$A$62&gt;35,AI157+AH158-AQ157,IF(A158&lt;'Données projet'!$A$62,$AF$205^A158,IF(A158='Données projet'!$A$62,'Données projet'!$B$62,AI157+AH158-AQ157)))</f>
        <v>494.92800000000096</v>
      </c>
      <c r="AJ158" s="13">
        <f>AI158*VLOOKUP('Données projet'!$B$10,Paramètres!$A$1:$I$89,3,0)*VLOOKUP('Données projet'!$B$10,Paramètres!$A$1:$I$89,5,0)</f>
        <v>501.85699200000107</v>
      </c>
      <c r="AK158" s="13">
        <f t="shared" si="164"/>
        <v>112.14619280341684</v>
      </c>
      <c r="AL158" s="20">
        <f t="shared" si="165"/>
        <v>1069.3888801992859</v>
      </c>
      <c r="AM158" s="59">
        <f t="shared" si="113"/>
        <v>1362.7222135326192</v>
      </c>
      <c r="AN158" s="59">
        <f ca="1">AVERAGE(OFFSET($AM$3,0,0,'Données projet'!$E$10+1,1))-AVERAGE(OFFSET($H$3,0,0,'Données projet'!$E$10+1,1))</f>
        <v>706.69239849991595</v>
      </c>
      <c r="AO158" s="59">
        <f t="shared" si="144"/>
        <v>310.59887275116529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59.48773413883702</v>
      </c>
      <c r="AV158" s="21">
        <f>EXP(-LN(2)/25)*AV157+(1-EXP(-LN(2)/25))/(LN(2)/25)*Calculateur!AQ158*Calculateur!AS158*VLOOKUP('Données projet'!$B$10,Paramètres!$A$1:$I$89,3,0)*0.475*44/12</f>
        <v>24.956917130484044</v>
      </c>
      <c r="AW158" s="21">
        <f>EXP(-LN(2)/2)*AW157+(1-EXP(-LN(2)/2))/(LN(2)/2)*AQ158*AT158*VLOOKUP('Données projet'!$B$10,Paramètres!$A$1:$I$89,3,0)*0.475*44/12</f>
        <v>1.2348083805609065E-4</v>
      </c>
      <c r="AX158" s="21">
        <f t="shared" si="166"/>
        <v>84.444774750159127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470.97348480000096</v>
      </c>
      <c r="BF158" s="13">
        <f t="shared" si="167"/>
        <v>106.02584315355907</v>
      </c>
      <c r="BG158" s="20">
        <f t="shared" si="168"/>
        <v>1004.9404961857837</v>
      </c>
      <c r="BH158" s="59">
        <f t="shared" si="116"/>
        <v>1298.273829519117</v>
      </c>
      <c r="BI158" s="59">
        <f ca="1">AVERAGE(OFFSET($BH$3,0,0,'Données projet'!$E$11+1,1))-AVERAGE(OFFSET($H$3,0,0,'Données projet'!$E$11+1,1))</f>
        <v>666.1523645983184</v>
      </c>
      <c r="BJ158" s="59">
        <f t="shared" si="146"/>
        <v>294.13851344047526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55.826950499523967</v>
      </c>
      <c r="BQ158" s="21">
        <f>EXP(-LN(2)/25)*BQ157+(1-EXP(-LN(2)/25))/(LN(2)/25)*Calculateur!BL158*Calculateur!BN158*VLOOKUP('Données projet'!$B$11,Paramètres!$A$1:$I$89,3,0)*0.475*44/12</f>
        <v>23.421106845531167</v>
      </c>
      <c r="BR158" s="21">
        <f>EXP(-LN(2)/2)*BR157+(1-EXP(-LN(2)/2))/(LN(2)/2)*BL158*BO158*VLOOKUP('Données projet'!$B$11,Paramètres!$A$1:$I$89,3,0)*0.475*44/12</f>
        <v>1.1588201725263922E-4</v>
      </c>
      <c r="BS158" s="22">
        <f t="shared" si="169"/>
        <v>79.248173227072385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9.4880000000000049</v>
      </c>
      <c r="BY158" s="12">
        <f>IF('Données projet'!$A$114&gt;35,BY157+BX158-CG157,IF(A158&lt;'Données projet'!$A$114,$BV$205^A158,IF(A158='Données projet'!$A$114,'Données projet'!$B$114,BY157+BX158-CG157)))</f>
        <v>494.92800000000096</v>
      </c>
      <c r="BZ158" s="13">
        <f>BY158*VLOOKUP('Données projet'!$B$12,Paramètres!$A$1:$I$89,3,0)*VLOOKUP('Données projet'!$B$12,Paramètres!$A$1:$I$89,5,0)</f>
        <v>532.74049920000095</v>
      </c>
      <c r="CA158" s="13">
        <f t="shared" si="170"/>
        <v>118.2228294421452</v>
      </c>
      <c r="CB158" s="20">
        <f t="shared" si="171"/>
        <v>1133.7611307184045</v>
      </c>
      <c r="CC158" s="59">
        <f t="shared" si="119"/>
        <v>1427.0944640517378</v>
      </c>
      <c r="CD158" s="59">
        <f ca="1">AVERAGE(OFFSET($CC$3,0,0,'Données projet'!$E$12+1,1))-AVERAGE(OFFSET($H$3,0,0,'Données projet'!$E$12+1,1))</f>
        <v>747.18304127457918</v>
      </c>
      <c r="CE158" s="59">
        <f t="shared" si="148"/>
        <v>327.03701004966723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63.148517778150044</v>
      </c>
      <c r="CL158" s="21">
        <f>EXP(-LN(2)/25)*CL157+(1-EXP(-LN(2)/25))/(LN(2)/25)*Calculateur!CG158*Calculateur!CI158*VLOOKUP('Données projet'!$B$12,Paramètres!$A$1:$I$89,3,0)*0.475*44/12</f>
        <v>26.492727415436903</v>
      </c>
      <c r="CM158" s="21">
        <f>EXP(-LN(2)/2)*CM157+(1-EXP(-LN(2)/2))/(LN(2)/2)*CG158*CJ158*VLOOKUP('Données projet'!$B$12,Paramètres!$A$1:$I$89,3,0)*0.475*44/12</f>
        <v>1.3107965885954237E-4</v>
      </c>
      <c r="CN158" s="22">
        <f t="shared" si="172"/>
        <v>89.641376273245797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9.4880000000000049</v>
      </c>
      <c r="CT158" s="12">
        <f>IF('Données projet'!$A$140&gt;35,CT157+CS158-DB157,IF(A158&lt;'Données projet'!$A$140,$CQ$205^A158,IF(A158='Données projet'!$A$140,'Données projet'!$B$140,CT157+CS158-DB157)))</f>
        <v>494.92800000000096</v>
      </c>
      <c r="CU158" s="17">
        <f>CT158*VLOOKUP('Données projet'!$B$13,Paramètres!$A$1:$I$89,3,0)*VLOOKUP('Données projet'!$B$13,Paramètres!$A$1:$I$89,5,0)</f>
        <v>478.69436160000095</v>
      </c>
      <c r="CV158" s="13">
        <f t="shared" si="173"/>
        <v>107.56019711183657</v>
      </c>
      <c r="CW158" s="20">
        <f t="shared" si="174"/>
        <v>1021.0600230897836</v>
      </c>
      <c r="CX158" s="59">
        <f t="shared" si="122"/>
        <v>1314.393356423117</v>
      </c>
      <c r="CY158" s="59">
        <f ca="1">AVERAGE(OFFSET($CX$3,0,0,'Données projet'!$E$13+1,1))-AVERAGE(OFFSET($H$3,0,0,'Données projet'!$E$13+1,1))</f>
        <v>676.29219382388692</v>
      </c>
      <c r="CZ158" s="59">
        <f t="shared" si="150"/>
        <v>298.25577221580448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56.742146409352237</v>
      </c>
      <c r="DG158" s="21">
        <f>EXP(-LN(2)/25)*DG157+(1-EXP(-LN(2)/25))/(LN(2)/25)*Calculateur!DB158*Calculateur!DD158*VLOOKUP('Données projet'!$B$13,Paramètres!$A$1:$I$89,3,0)*0.475*44/12</f>
        <v>23.805059416769389</v>
      </c>
      <c r="DH158" s="21">
        <f>EXP(-LN(2)/2)*DH157+(1-EXP(-LN(2)/2))/(LN(2)/2)*DB158*DE158*VLOOKUP('Données projet'!$B$13,Paramètres!$A$1:$I$89,3,0)*0.475*44/12</f>
        <v>1.1778172245350186E-4</v>
      </c>
      <c r="DI158" s="22">
        <f t="shared" si="175"/>
        <v>80.547323607844078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-8.8675733422860506E-14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197.51452239559433</v>
      </c>
      <c r="EP158" s="59">
        <f t="shared" si="154"/>
        <v>196.65166921588821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5.0194463034859016</v>
      </c>
      <c r="EW158" s="21">
        <f>EXP(-LN(2)/25)*EW157+(1-EXP(-LN(2)/25))/(LN(2)/25)*Calculateur!ER158*Calculateur!ET158*VLOOKUP('Données projet'!$B$15,Paramètres!$A$1:$I$89,3,0)*0.475*44/12</f>
        <v>2.5005390830594005</v>
      </c>
      <c r="EX158" s="21">
        <f>EXP(-LN(2)/2)*EX157+(1-EXP(-LN(2)/2))/(LN(2)/2)*ER158*EU158*VLOOKUP('Données projet'!$B$15,Paramètres!$A$1:$I$89,3,0)*0.475*44/12</f>
        <v>4.4276666501973213E-12</v>
      </c>
      <c r="EY158" s="22">
        <f t="shared" si="181"/>
        <v>7.5199853865497301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1267.8243467626037</v>
      </c>
      <c r="S159" s="59">
        <f ca="1">AVERAGE(OFFSET($R$3,0,0,'Données projet'!$E$9+1,1))-AVERAGE(OFFSET($H$3,0,0,'Données projet'!$E$9+1,1))</f>
        <v>635.71275911100679</v>
      </c>
      <c r="T159" s="59">
        <f t="shared" si="142"/>
        <v>281.7776857269169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9.4880000000000049</v>
      </c>
      <c r="AI159" s="13">
        <f>IF('Données projet'!$A$62&gt;35,AI158+AH159-AQ158,IF(A159&lt;'Données projet'!$A$62,$AF$205^A159,IF(A159='Données projet'!$A$62,'Données projet'!$B$62,AI158+AH159-AQ158)))</f>
        <v>504.41600000000096</v>
      </c>
      <c r="AJ159" s="13">
        <f>AI159*VLOOKUP('Données projet'!$B$10,Paramètres!$A$1:$I$89,3,0)*VLOOKUP('Données projet'!$B$10,Paramètres!$A$1:$I$89,5,0)</f>
        <v>511.47782400000102</v>
      </c>
      <c r="AK159" s="13">
        <f t="shared" si="164"/>
        <v>114.04373524085221</v>
      </c>
      <c r="AL159" s="20">
        <f t="shared" si="165"/>
        <v>1089.4500490111525</v>
      </c>
      <c r="AM159" s="59">
        <f t="shared" si="113"/>
        <v>1382.7833823444857</v>
      </c>
      <c r="AN159" s="59">
        <f ca="1">AVERAGE(OFFSET($AM$3,0,0,'Données projet'!$E$10+1,1))-AVERAGE(OFFSET($H$3,0,0,'Données projet'!$E$10+1,1))</f>
        <v>706.69239849991595</v>
      </c>
      <c r="AO159" s="59">
        <f t="shared" si="144"/>
        <v>310.59887275116529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58.321215956309508</v>
      </c>
      <c r="AV159" s="21">
        <f>EXP(-LN(2)/25)*AV158+(1-EXP(-LN(2)/25))/(LN(2)/25)*Calculateur!AQ159*Calculateur!AS159*VLOOKUP('Données projet'!$B$10,Paramètres!$A$1:$I$89,3,0)*0.475*44/12</f>
        <v>24.274468919123727</v>
      </c>
      <c r="AW159" s="21">
        <f>EXP(-LN(2)/2)*AW158+(1-EXP(-LN(2)/2))/(LN(2)/2)*AQ159*AT159*VLOOKUP('Données projet'!$B$10,Paramètres!$A$1:$I$89,3,0)*0.475*44/12</f>
        <v>8.7314137936059599E-5</v>
      </c>
      <c r="AX159" s="21">
        <f t="shared" si="166"/>
        <v>82.595772189571179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480.0022656000009</v>
      </c>
      <c r="BF159" s="13">
        <f t="shared" si="167"/>
        <v>107.81982770015364</v>
      </c>
      <c r="BG159" s="20">
        <f t="shared" si="168"/>
        <v>1023.7901458311022</v>
      </c>
      <c r="BH159" s="59">
        <f t="shared" si="116"/>
        <v>1317.1234791644356</v>
      </c>
      <c r="BI159" s="59">
        <f ca="1">AVERAGE(OFFSET($BH$3,0,0,'Données projet'!$E$11+1,1))-AVERAGE(OFFSET($H$3,0,0,'Données projet'!$E$11+1,1))</f>
        <v>666.1523645983184</v>
      </c>
      <c r="BJ159" s="59">
        <f t="shared" si="146"/>
        <v>294.13851344047526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54.732218051305843</v>
      </c>
      <c r="BQ159" s="21">
        <f>EXP(-LN(2)/25)*BQ158+(1-EXP(-LN(2)/25))/(LN(2)/25)*Calculateur!BL159*Calculateur!BN159*VLOOKUP('Données projet'!$B$11,Paramètres!$A$1:$I$89,3,0)*0.475*44/12</f>
        <v>22.780655447177637</v>
      </c>
      <c r="BR159" s="21">
        <f>EXP(-LN(2)/2)*BR158+(1-EXP(-LN(2)/2))/(LN(2)/2)*BL159*BO159*VLOOKUP('Données projet'!$B$11,Paramètres!$A$1:$I$89,3,0)*0.475*44/12</f>
        <v>8.1940960216917688E-5</v>
      </c>
      <c r="BS159" s="22">
        <f t="shared" si="169"/>
        <v>77.512955439443701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9.4880000000000049</v>
      </c>
      <c r="BY159" s="12">
        <f>IF('Données projet'!$A$114&gt;35,BY158+BX159-CG158,IF(A159&lt;'Données projet'!$A$114,$BV$205^A159,IF(A159='Données projet'!$A$114,'Données projet'!$B$114,BY158+BX159-CG158)))</f>
        <v>504.41600000000096</v>
      </c>
      <c r="BZ159" s="13">
        <f>BY159*VLOOKUP('Données projet'!$B$12,Paramètres!$A$1:$I$89,3,0)*VLOOKUP('Données projet'!$B$12,Paramètres!$A$1:$I$89,5,0)</f>
        <v>542.95338240000103</v>
      </c>
      <c r="CA159" s="13">
        <f t="shared" si="170"/>
        <v>120.2231901350257</v>
      </c>
      <c r="CB159" s="20">
        <f t="shared" si="171"/>
        <v>1155.0325304985047</v>
      </c>
      <c r="CC159" s="59">
        <f t="shared" si="119"/>
        <v>1448.3658638318379</v>
      </c>
      <c r="CD159" s="59">
        <f ca="1">AVERAGE(OFFSET($CC$3,0,0,'Données projet'!$E$12+1,1))-AVERAGE(OFFSET($H$3,0,0,'Données projet'!$E$12+1,1))</f>
        <v>747.18304127457918</v>
      </c>
      <c r="CE159" s="59">
        <f t="shared" si="148"/>
        <v>327.03701004966723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61.910213861313146</v>
      </c>
      <c r="CL159" s="21">
        <f>EXP(-LN(2)/25)*CL158+(1-EXP(-LN(2)/25))/(LN(2)/25)*Calculateur!CG159*Calculateur!CI159*VLOOKUP('Données projet'!$B$12,Paramètres!$A$1:$I$89,3,0)*0.475*44/12</f>
        <v>25.768282391069796</v>
      </c>
      <c r="CM159" s="21">
        <f>EXP(-LN(2)/2)*CM158+(1-EXP(-LN(2)/2))/(LN(2)/2)*CG159*CJ159*VLOOKUP('Données projet'!$B$12,Paramètres!$A$1:$I$89,3,0)*0.475*44/12</f>
        <v>9.2687315655201727E-5</v>
      </c>
      <c r="CN159" s="22">
        <f t="shared" si="172"/>
        <v>87.678588939698599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9.4880000000000049</v>
      </c>
      <c r="CT159" s="12">
        <f>IF('Données projet'!$A$140&gt;35,CT158+CS159-DB158,IF(A159&lt;'Données projet'!$A$140,$CQ$205^A159,IF(A159='Données projet'!$A$140,'Données projet'!$B$140,CT158+CS159-DB158)))</f>
        <v>504.41600000000096</v>
      </c>
      <c r="CU159" s="17">
        <f>CT159*VLOOKUP('Données projet'!$B$13,Paramètres!$A$1:$I$89,3,0)*VLOOKUP('Données projet'!$B$13,Paramètres!$A$1:$I$89,5,0)</f>
        <v>487.87115520000094</v>
      </c>
      <c r="CV159" s="13">
        <f t="shared" si="173"/>
        <v>109.38014332219427</v>
      </c>
      <c r="CW159" s="20">
        <f t="shared" si="174"/>
        <v>1040.2126782594898</v>
      </c>
      <c r="CX159" s="59">
        <f t="shared" si="122"/>
        <v>1333.5460115928231</v>
      </c>
      <c r="CY159" s="59">
        <f ca="1">AVERAGE(OFFSET($CX$3,0,0,'Données projet'!$E$13+1,1))-AVERAGE(OFFSET($H$3,0,0,'Données projet'!$E$13+1,1))</f>
        <v>676.29219382388692</v>
      </c>
      <c r="CZ159" s="59">
        <f t="shared" si="150"/>
        <v>298.25577221580448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55.629467527556763</v>
      </c>
      <c r="DG159" s="21">
        <f>EXP(-LN(2)/25)*DG158+(1-EXP(-LN(2)/25))/(LN(2)/25)*Calculateur!DB159*Calculateur!DD159*VLOOKUP('Données projet'!$B$13,Paramètres!$A$1:$I$89,3,0)*0.475*44/12</f>
        <v>23.154108815164161</v>
      </c>
      <c r="DH159" s="21">
        <f>EXP(-LN(2)/2)*DH158+(1-EXP(-LN(2)/2))/(LN(2)/2)*DB159*DE159*VLOOKUP('Données projet'!$B$13,Paramètres!$A$1:$I$89,3,0)*0.475*44/12</f>
        <v>8.3284254646703013E-5</v>
      </c>
      <c r="DI159" s="22">
        <f t="shared" si="175"/>
        <v>78.783659626975563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-8.8675733422860506E-14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197.51452239559433</v>
      </c>
      <c r="EP159" s="59">
        <f t="shared" si="154"/>
        <v>196.65166921588821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4.9210180230344847</v>
      </c>
      <c r="EW159" s="21">
        <f>EXP(-LN(2)/25)*EW158+(1-EXP(-LN(2)/25))/(LN(2)/25)*Calculateur!ER159*Calculateur!ET159*VLOOKUP('Données projet'!$B$15,Paramètres!$A$1:$I$89,3,0)*0.475*44/12</f>
        <v>2.4321617103355058</v>
      </c>
      <c r="EX159" s="21">
        <f>EXP(-LN(2)/2)*EX158+(1-EXP(-LN(2)/2))/(LN(2)/2)*ER159*EU159*VLOOKUP('Données projet'!$B$15,Paramètres!$A$1:$I$89,3,0)*0.475*44/12</f>
        <v>3.1308331131880512E-12</v>
      </c>
      <c r="EY159" s="22">
        <f t="shared" si="181"/>
        <v>7.3531797333731213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1285.7579189838214</v>
      </c>
      <c r="S160" s="59">
        <f ca="1">AVERAGE(OFFSET($R$3,0,0,'Données projet'!$E$9+1,1))-AVERAGE(OFFSET($H$3,0,0,'Données projet'!$E$9+1,1))</f>
        <v>635.71275911100679</v>
      </c>
      <c r="T160" s="59">
        <f t="shared" si="142"/>
        <v>281.7776857269169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9.4880000000000049</v>
      </c>
      <c r="AI160" s="13">
        <f>IF('Données projet'!$A$62&gt;35,AI159+AH160-AQ159,IF(A160&lt;'Données projet'!$A$62,$AF$205^A160,IF(A160='Données projet'!$A$62,'Données projet'!$B$62,AI159+AH160-AQ159)))</f>
        <v>513.90400000000102</v>
      </c>
      <c r="AJ160" s="13">
        <f>AI160*VLOOKUP('Données projet'!$B$10,Paramètres!$A$1:$I$89,3,0)*VLOOKUP('Données projet'!$B$10,Paramètres!$A$1:$I$89,5,0)</f>
        <v>521.09865600000103</v>
      </c>
      <c r="AK160" s="13">
        <f t="shared" si="164"/>
        <v>115.93712735408282</v>
      </c>
      <c r="AL160" s="20">
        <f t="shared" si="165"/>
        <v>1109.5039893416961</v>
      </c>
      <c r="AM160" s="59">
        <f t="shared" si="113"/>
        <v>1402.8373226750293</v>
      </c>
      <c r="AN160" s="59">
        <f ca="1">AVERAGE(OFFSET($AM$3,0,0,'Données projet'!$E$10+1,1))-AVERAGE(OFFSET($H$3,0,0,'Données projet'!$E$10+1,1))</f>
        <v>706.69239849991595</v>
      </c>
      <c r="AO160" s="59">
        <f t="shared" si="144"/>
        <v>310.59887275116529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57.177572483835526</v>
      </c>
      <c r="AV160" s="21">
        <f>EXP(-LN(2)/25)*AV159+(1-EXP(-LN(2)/25))/(LN(2)/25)*Calculateur!AQ160*Calculateur!AS160*VLOOKUP('Données projet'!$B$10,Paramètres!$A$1:$I$89,3,0)*0.475*44/12</f>
        <v>23.610682289991448</v>
      </c>
      <c r="AW160" s="21">
        <f>EXP(-LN(2)/2)*AW159+(1-EXP(-LN(2)/2))/(LN(2)/2)*AQ160*AT160*VLOOKUP('Données projet'!$B$10,Paramètres!$A$1:$I$89,3,0)*0.475*44/12</f>
        <v>6.1740419028045323E-5</v>
      </c>
      <c r="AX160" s="21">
        <f t="shared" si="166"/>
        <v>80.788316514246006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489.03104640000095</v>
      </c>
      <c r="BF160" s="13">
        <f t="shared" si="167"/>
        <v>109.60988842542025</v>
      </c>
      <c r="BG160" s="20">
        <f t="shared" si="168"/>
        <v>1042.6329614876088</v>
      </c>
      <c r="BH160" s="59">
        <f t="shared" si="116"/>
        <v>1335.966294820942</v>
      </c>
      <c r="BI160" s="59">
        <f ca="1">AVERAGE(OFFSET($BH$3,0,0,'Données projet'!$E$11+1,1))-AVERAGE(OFFSET($H$3,0,0,'Données projet'!$E$11+1,1))</f>
        <v>666.1523645983184</v>
      </c>
      <c r="BJ160" s="59">
        <f t="shared" si="146"/>
        <v>294.13851344047526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53.658952638676411</v>
      </c>
      <c r="BQ160" s="21">
        <f>EXP(-LN(2)/25)*BQ159+(1-EXP(-LN(2)/25))/(LN(2)/25)*Calculateur!BL160*Calculateur!BN160*VLOOKUP('Données projet'!$B$11,Paramètres!$A$1:$I$89,3,0)*0.475*44/12</f>
        <v>22.157717225991959</v>
      </c>
      <c r="BR160" s="21">
        <f>EXP(-LN(2)/2)*BR159+(1-EXP(-LN(2)/2))/(LN(2)/2)*BL160*BO160*VLOOKUP('Données projet'!$B$11,Paramètres!$A$1:$I$89,3,0)*0.475*44/12</f>
        <v>5.7941008626319615E-5</v>
      </c>
      <c r="BS160" s="22">
        <f t="shared" si="169"/>
        <v>75.81672780567699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9.4880000000000049</v>
      </c>
      <c r="BY160" s="12">
        <f>IF('Données projet'!$A$114&gt;35,BY159+BX160-CG159,IF(A160&lt;'Données projet'!$A$114,$BV$205^A160,IF(A160='Données projet'!$A$114,'Données projet'!$B$114,BY159+BX160-CG159)))</f>
        <v>513.90400000000102</v>
      </c>
      <c r="BZ160" s="13">
        <f>BY160*VLOOKUP('Données projet'!$B$12,Paramètres!$A$1:$I$89,3,0)*VLOOKUP('Données projet'!$B$12,Paramètres!$A$1:$I$89,5,0)</f>
        <v>553.166265600001</v>
      </c>
      <c r="CA160" s="13">
        <f t="shared" si="170"/>
        <v>122.21917561856273</v>
      </c>
      <c r="CB160" s="20">
        <f t="shared" si="171"/>
        <v>1176.296310122332</v>
      </c>
      <c r="CC160" s="59">
        <f t="shared" si="119"/>
        <v>1469.6296434556652</v>
      </c>
      <c r="CD160" s="59">
        <f ca="1">AVERAGE(OFFSET($CC$3,0,0,'Données projet'!$E$12+1,1))-AVERAGE(OFFSET($H$3,0,0,'Données projet'!$E$12+1,1))</f>
        <v>747.18304127457918</v>
      </c>
      <c r="CE160" s="59">
        <f t="shared" si="148"/>
        <v>327.03701004966723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60.696192328994613</v>
      </c>
      <c r="CL160" s="21">
        <f>EXP(-LN(2)/25)*CL159+(1-EXP(-LN(2)/25))/(LN(2)/25)*Calculateur!CG160*Calculateur!CI160*VLOOKUP('Données projet'!$B$12,Paramètres!$A$1:$I$89,3,0)*0.475*44/12</f>
        <v>25.063647353990916</v>
      </c>
      <c r="CM160" s="21">
        <f>EXP(-LN(2)/2)*CM159+(1-EXP(-LN(2)/2))/(LN(2)/2)*CG160*CJ160*VLOOKUP('Données projet'!$B$12,Paramètres!$A$1:$I$89,3,0)*0.475*44/12</f>
        <v>6.5539829429771187E-5</v>
      </c>
      <c r="CN160" s="22">
        <f t="shared" si="172"/>
        <v>85.759905222814965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9.4880000000000049</v>
      </c>
      <c r="CT160" s="12">
        <f>IF('Données projet'!$A$140&gt;35,CT159+CS160-DB159,IF(A160&lt;'Données projet'!$A$140,$CQ$205^A160,IF(A160='Données projet'!$A$140,'Données projet'!$B$140,CT159+CS160-DB159)))</f>
        <v>513.90400000000102</v>
      </c>
      <c r="CU160" s="17">
        <f>CT160*VLOOKUP('Données projet'!$B$13,Paramètres!$A$1:$I$89,3,0)*VLOOKUP('Données projet'!$B$13,Paramètres!$A$1:$I$89,5,0)</f>
        <v>497.047948800001</v>
      </c>
      <c r="CV160" s="13">
        <f t="shared" si="173"/>
        <v>111.19610892760781</v>
      </c>
      <c r="CW160" s="20">
        <f t="shared" si="174"/>
        <v>1059.358400542252</v>
      </c>
      <c r="CX160" s="59">
        <f t="shared" si="122"/>
        <v>1352.6917338755852</v>
      </c>
      <c r="CY160" s="59">
        <f ca="1">AVERAGE(OFFSET($CX$3,0,0,'Données projet'!$E$13+1,1))-AVERAGE(OFFSET($H$3,0,0,'Données projet'!$E$13+1,1))</f>
        <v>676.29219382388692</v>
      </c>
      <c r="CZ160" s="59">
        <f t="shared" si="150"/>
        <v>298.25577221580448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54.538607599966198</v>
      </c>
      <c r="DG160" s="21">
        <f>EXP(-LN(2)/25)*DG159+(1-EXP(-LN(2)/25))/(LN(2)/25)*Calculateur!DB160*Calculateur!DD160*VLOOKUP('Données projet'!$B$13,Paramètres!$A$1:$I$89,3,0)*0.475*44/12</f>
        <v>22.520958491991834</v>
      </c>
      <c r="DH160" s="21">
        <f>EXP(-LN(2)/2)*DH159+(1-EXP(-LN(2)/2))/(LN(2)/2)*DB160*DE160*VLOOKUP('Données projet'!$B$13,Paramètres!$A$1:$I$89,3,0)*0.475*44/12</f>
        <v>5.8890861226750932E-5</v>
      </c>
      <c r="DI160" s="22">
        <f t="shared" si="175"/>
        <v>77.059624982819258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-8.8675733422860506E-14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197.51452239559433</v>
      </c>
      <c r="EP160" s="59">
        <f t="shared" si="154"/>
        <v>196.65166921588821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4.8245198611273965</v>
      </c>
      <c r="EW160" s="21">
        <f>EXP(-LN(2)/25)*EW159+(1-EXP(-LN(2)/25))/(LN(2)/25)*Calculateur!ER160*Calculateur!ET160*VLOOKUP('Données projet'!$B$15,Paramètres!$A$1:$I$89,3,0)*0.475*44/12</f>
        <v>2.3656541204645558</v>
      </c>
      <c r="EX160" s="21">
        <f>EXP(-LN(2)/2)*EX159+(1-EXP(-LN(2)/2))/(LN(2)/2)*ER160*EU160*VLOOKUP('Données projet'!$B$15,Paramètres!$A$1:$I$89,3,0)*0.475*44/12</f>
        <v>2.2138333250986606E-12</v>
      </c>
      <c r="EY160" s="22">
        <f t="shared" si="181"/>
        <v>7.1901739815941665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1303.6850896497151</v>
      </c>
      <c r="S161" s="59">
        <f ca="1">AVERAGE(OFFSET($R$3,0,0,'Données projet'!$E$9+1,1))-AVERAGE(OFFSET($H$3,0,0,'Données projet'!$E$9+1,1))</f>
        <v>635.71275911100679</v>
      </c>
      <c r="T161" s="59">
        <f t="shared" si="142"/>
        <v>281.7776857269169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9.4880000000000049</v>
      </c>
      <c r="AI161" s="13">
        <f>IF('Données projet'!$A$62&gt;35,AI160+AH161-AQ160,IF(A161&lt;'Données projet'!$A$62,$AF$205^A161,IF(A161='Données projet'!$A$62,'Données projet'!$B$62,AI160+AH161-AQ160)))</f>
        <v>523.39200000000108</v>
      </c>
      <c r="AJ161" s="13">
        <f>AI161*VLOOKUP('Données projet'!$B$10,Paramètres!$A$1:$I$89,3,0)*VLOOKUP('Données projet'!$B$10,Paramètres!$A$1:$I$89,5,0)</f>
        <v>530.71948800000109</v>
      </c>
      <c r="AK161" s="13">
        <f t="shared" si="164"/>
        <v>117.82645460602643</v>
      </c>
      <c r="AL161" s="20">
        <f t="shared" si="165"/>
        <v>1129.5508500388312</v>
      </c>
      <c r="AM161" s="59">
        <f t="shared" si="113"/>
        <v>1422.8841833721644</v>
      </c>
      <c r="AN161" s="59">
        <f ca="1">AVERAGE(OFFSET($AM$3,0,0,'Données projet'!$E$10+1,1))-AVERAGE(OFFSET($H$3,0,0,'Données projet'!$E$10+1,1))</f>
        <v>706.69239849991595</v>
      </c>
      <c r="AO161" s="59">
        <f t="shared" si="144"/>
        <v>310.59887275116529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56.05635516230312</v>
      </c>
      <c r="AV161" s="21">
        <f>EXP(-LN(2)/25)*AV160+(1-EXP(-LN(2)/25))/(LN(2)/25)*Calculateur!AQ161*Calculateur!AS161*VLOOKUP('Données projet'!$B$10,Paramètres!$A$1:$I$89,3,0)*0.475*44/12</f>
        <v>22.965046941139814</v>
      </c>
      <c r="AW161" s="21">
        <f>EXP(-LN(2)/2)*AW160+(1-EXP(-LN(2)/2))/(LN(2)/2)*AQ161*AT161*VLOOKUP('Données projet'!$B$10,Paramètres!$A$1:$I$89,3,0)*0.475*44/12</f>
        <v>4.36570689680298E-5</v>
      </c>
      <c r="AX161" s="21">
        <f t="shared" si="166"/>
        <v>79.021445760511909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498.05982720000105</v>
      </c>
      <c r="BF161" s="13">
        <f t="shared" si="167"/>
        <v>111.39610612815991</v>
      </c>
      <c r="BG161" s="20">
        <f t="shared" si="168"/>
        <v>1061.4690838798804</v>
      </c>
      <c r="BH161" s="59">
        <f t="shared" si="116"/>
        <v>1354.8024172132136</v>
      </c>
      <c r="BI161" s="59">
        <f ca="1">AVERAGE(OFFSET($BH$3,0,0,'Données projet'!$E$11+1,1))-AVERAGE(OFFSET($H$3,0,0,'Données projet'!$E$11+1,1))</f>
        <v>666.1523645983184</v>
      </c>
      <c r="BJ161" s="59">
        <f t="shared" si="146"/>
        <v>294.13851344047526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52.606733306161381</v>
      </c>
      <c r="BQ161" s="21">
        <f>EXP(-LN(2)/25)*BQ160+(1-EXP(-LN(2)/25))/(LN(2)/25)*Calculateur!BL161*Calculateur!BN161*VLOOKUP('Données projet'!$B$11,Paramètres!$A$1:$I$89,3,0)*0.475*44/12</f>
        <v>21.551813283223503</v>
      </c>
      <c r="BR161" s="21">
        <f>EXP(-LN(2)/2)*BR160+(1-EXP(-LN(2)/2))/(LN(2)/2)*BL161*BO161*VLOOKUP('Données projet'!$B$11,Paramètres!$A$1:$I$89,3,0)*0.475*44/12</f>
        <v>4.0970480108458851E-5</v>
      </c>
      <c r="BS161" s="22">
        <f t="shared" si="169"/>
        <v>74.158587559864998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9.4880000000000049</v>
      </c>
      <c r="BY161" s="12">
        <f>IF('Données projet'!$A$114&gt;35,BY160+BX161-CG160,IF(A161&lt;'Données projet'!$A$114,$BV$205^A161,IF(A161='Données projet'!$A$114,'Données projet'!$B$114,BY160+BX161-CG160)))</f>
        <v>523.39200000000108</v>
      </c>
      <c r="BZ161" s="13">
        <f>BY161*VLOOKUP('Données projet'!$B$12,Paramètres!$A$1:$I$89,3,0)*VLOOKUP('Données projet'!$B$12,Paramètres!$A$1:$I$89,5,0)</f>
        <v>563.37914880000108</v>
      </c>
      <c r="CA161" s="13">
        <f t="shared" si="170"/>
        <v>124.21087598647858</v>
      </c>
      <c r="CB161" s="20">
        <f t="shared" si="171"/>
        <v>1197.5526265031187</v>
      </c>
      <c r="CC161" s="59">
        <f t="shared" si="119"/>
        <v>1490.885959836452</v>
      </c>
      <c r="CD161" s="59">
        <f ca="1">AVERAGE(OFFSET($CC$3,0,0,'Données projet'!$E$12+1,1))-AVERAGE(OFFSET($H$3,0,0,'Données projet'!$E$12+1,1))</f>
        <v>747.18304127457918</v>
      </c>
      <c r="CE161" s="59">
        <f t="shared" si="148"/>
        <v>327.03701004966723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59.505977018444824</v>
      </c>
      <c r="CL161" s="21">
        <f>EXP(-LN(2)/25)*CL160+(1-EXP(-LN(2)/25))/(LN(2)/25)*Calculateur!CG161*Calculateur!CI161*VLOOKUP('Données projet'!$B$12,Paramètres!$A$1:$I$89,3,0)*0.475*44/12</f>
        <v>24.378280599056104</v>
      </c>
      <c r="CM161" s="21">
        <f>EXP(-LN(2)/2)*CM160+(1-EXP(-LN(2)/2))/(LN(2)/2)*CG161*CJ161*VLOOKUP('Données projet'!$B$12,Paramètres!$A$1:$I$89,3,0)*0.475*44/12</f>
        <v>4.6343657827600863E-5</v>
      </c>
      <c r="CN161" s="22">
        <f t="shared" si="172"/>
        <v>83.884303961158764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9.4880000000000049</v>
      </c>
      <c r="CT161" s="12">
        <f>IF('Données projet'!$A$140&gt;35,CT160+CS161-DB160,IF(A161&lt;'Données projet'!$A$140,$CQ$205^A161,IF(A161='Données projet'!$A$140,'Données projet'!$B$140,CT160+CS161-DB160)))</f>
        <v>523.39200000000108</v>
      </c>
      <c r="CU161" s="17">
        <f>CT161*VLOOKUP('Données projet'!$B$13,Paramètres!$A$1:$I$89,3,0)*VLOOKUP('Données projet'!$B$13,Paramètres!$A$1:$I$89,5,0)</f>
        <v>506.22474240000111</v>
      </c>
      <c r="CV161" s="13">
        <f t="shared" si="173"/>
        <v>113.00817589615879</v>
      </c>
      <c r="CW161" s="20">
        <f t="shared" si="174"/>
        <v>1078.4973326991451</v>
      </c>
      <c r="CX161" s="59">
        <f t="shared" si="122"/>
        <v>1371.8306660324783</v>
      </c>
      <c r="CY161" s="59">
        <f ca="1">AVERAGE(OFFSET($CX$3,0,0,'Données projet'!$E$13+1,1))-AVERAGE(OFFSET($H$3,0,0,'Données projet'!$E$13+1,1))</f>
        <v>676.29219382388692</v>
      </c>
      <c r="CZ161" s="59">
        <f t="shared" si="150"/>
        <v>298.25577221580448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53.469138770196828</v>
      </c>
      <c r="DG161" s="21">
        <f>EXP(-LN(2)/25)*DG160+(1-EXP(-LN(2)/25))/(LN(2)/25)*Calculateur!DB161*Calculateur!DD161*VLOOKUP('Données projet'!$B$13,Paramètres!$A$1:$I$89,3,0)*0.475*44/12</f>
        <v>21.905121697702583</v>
      </c>
      <c r="DH161" s="21">
        <f>EXP(-LN(2)/2)*DH160+(1-EXP(-LN(2)/2))/(LN(2)/2)*DB161*DE161*VLOOKUP('Données projet'!$B$13,Paramètres!$A$1:$I$89,3,0)*0.475*44/12</f>
        <v>4.1642127323351507E-5</v>
      </c>
      <c r="DI161" s="22">
        <f t="shared" si="175"/>
        <v>75.374302110026733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-8.8675733422860506E-14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197.51452239559433</v>
      </c>
      <c r="EP161" s="59">
        <f t="shared" si="154"/>
        <v>196.65166921588821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4.7299139693172396</v>
      </c>
      <c r="EW161" s="21">
        <f>EXP(-LN(2)/25)*EW160+(1-EXP(-LN(2)/25))/(LN(2)/25)*Calculateur!ER161*Calculateur!ET161*VLOOKUP('Données projet'!$B$15,Paramètres!$A$1:$I$89,3,0)*0.475*44/12</f>
        <v>2.3009651841361092</v>
      </c>
      <c r="EX161" s="21">
        <f>EXP(-LN(2)/2)*EX160+(1-EXP(-LN(2)/2))/(LN(2)/2)*ER161*EU161*VLOOKUP('Données projet'!$B$15,Paramètres!$A$1:$I$89,3,0)*0.475*44/12</f>
        <v>1.5654165565940256E-12</v>
      </c>
      <c r="EY161" s="22">
        <f t="shared" si="181"/>
        <v>7.0308791534549142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1321.6059881926162</v>
      </c>
      <c r="S162" s="59">
        <f ca="1">AVERAGE(OFFSET($R$3,0,0,'Données projet'!$E$9+1,1))-AVERAGE(OFFSET($H$3,0,0,'Données projet'!$E$9+1,1))</f>
        <v>635.71275911100679</v>
      </c>
      <c r="T162" s="59">
        <f t="shared" si="142"/>
        <v>281.7776857269169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9.4880000000000049</v>
      </c>
      <c r="AI162" s="13">
        <f>IF('Données projet'!$A$62&gt;35,AI161+AH162-AQ161,IF(A162&lt;'Données projet'!$A$62,$AF$205^A162,IF(A162='Données projet'!$A$62,'Données projet'!$B$62,AI161+AH162-AQ161)))</f>
        <v>532.88000000000113</v>
      </c>
      <c r="AJ162" s="13">
        <f>AI162*VLOOKUP('Données projet'!$B$10,Paramètres!$A$1:$I$89,3,0)*VLOOKUP('Données projet'!$B$10,Paramètres!$A$1:$I$89,5,0)</f>
        <v>540.34032000000116</v>
      </c>
      <c r="AK162" s="13">
        <f t="shared" si="164"/>
        <v>119.71179918365929</v>
      </c>
      <c r="AL162" s="20">
        <f t="shared" si="165"/>
        <v>1149.5907742448753</v>
      </c>
      <c r="AM162" s="59">
        <f t="shared" si="113"/>
        <v>1442.9241075782086</v>
      </c>
      <c r="AN162" s="59">
        <f ca="1">AVERAGE(OFFSET($AM$3,0,0,'Données projet'!$E$10+1,1))-AVERAGE(OFFSET($H$3,0,0,'Données projet'!$E$10+1,1))</f>
        <v>706.69239849991595</v>
      </c>
      <c r="AO162" s="59">
        <f t="shared" si="144"/>
        <v>310.59887275116529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54.957124228570926</v>
      </c>
      <c r="AV162" s="21">
        <f>EXP(-LN(2)/25)*AV161+(1-EXP(-LN(2)/25))/(LN(2)/25)*Calculateur!AQ162*Calculateur!AS162*VLOOKUP('Données projet'!$B$10,Paramètres!$A$1:$I$89,3,0)*0.475*44/12</f>
        <v>22.337066524855015</v>
      </c>
      <c r="AW162" s="21">
        <f>EXP(-LN(2)/2)*AW161+(1-EXP(-LN(2)/2))/(LN(2)/2)*AQ162*AT162*VLOOKUP('Données projet'!$B$10,Paramètres!$A$1:$I$89,3,0)*0.475*44/12</f>
        <v>3.0870209514022662E-5</v>
      </c>
      <c r="AX162" s="21">
        <f t="shared" si="166"/>
        <v>77.294221623635451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507.0886080000011</v>
      </c>
      <c r="BF162" s="13">
        <f t="shared" si="167"/>
        <v>113.17855851001575</v>
      </c>
      <c r="BG162" s="20">
        <f t="shared" si="168"/>
        <v>1080.2986483382792</v>
      </c>
      <c r="BH162" s="59">
        <f t="shared" si="116"/>
        <v>1373.6319816716125</v>
      </c>
      <c r="BI162" s="59">
        <f ca="1">AVERAGE(OFFSET($BH$3,0,0,'Données projet'!$E$11+1,1))-AVERAGE(OFFSET($H$3,0,0,'Données projet'!$E$11+1,1))</f>
        <v>666.1523645983184</v>
      </c>
      <c r="BJ162" s="59">
        <f t="shared" si="146"/>
        <v>294.13851344047526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51.575147352966553</v>
      </c>
      <c r="BQ162" s="21">
        <f>EXP(-LN(2)/25)*BQ161+(1-EXP(-LN(2)/25))/(LN(2)/25)*Calculateur!BL162*Calculateur!BN162*VLOOKUP('Données projet'!$B$11,Paramètres!$A$1:$I$89,3,0)*0.475*44/12</f>
        <v>20.962477815633154</v>
      </c>
      <c r="BR162" s="21">
        <f>EXP(-LN(2)/2)*BR161+(1-EXP(-LN(2)/2))/(LN(2)/2)*BL162*BO162*VLOOKUP('Données projet'!$B$11,Paramètres!$A$1:$I$89,3,0)*0.475*44/12</f>
        <v>2.8970504313159811E-5</v>
      </c>
      <c r="BS162" s="22">
        <f t="shared" si="169"/>
        <v>72.537654139104021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9.4880000000000049</v>
      </c>
      <c r="BY162" s="12">
        <f>IF('Données projet'!$A$114&gt;35,BY161+BX162-CG161,IF(A162&lt;'Données projet'!$A$114,$BV$205^A162,IF(A162='Données projet'!$A$114,'Données projet'!$B$114,BY161+BX162-CG161)))</f>
        <v>532.88000000000113</v>
      </c>
      <c r="BZ162" s="13">
        <f>BY162*VLOOKUP('Données projet'!$B$12,Paramètres!$A$1:$I$89,3,0)*VLOOKUP('Données projet'!$B$12,Paramètres!$A$1:$I$89,5,0)</f>
        <v>573.59203200000115</v>
      </c>
      <c r="CA162" s="13">
        <f t="shared" si="170"/>
        <v>126.19837787904737</v>
      </c>
      <c r="CB162" s="20">
        <f t="shared" si="171"/>
        <v>1218.8016305393428</v>
      </c>
      <c r="CC162" s="59">
        <f t="shared" si="119"/>
        <v>1512.1349638726761</v>
      </c>
      <c r="CD162" s="59">
        <f ca="1">AVERAGE(OFFSET($CC$3,0,0,'Données projet'!$E$12+1,1))-AVERAGE(OFFSET($H$3,0,0,'Données projet'!$E$12+1,1))</f>
        <v>747.18304127457918</v>
      </c>
      <c r="CE162" s="59">
        <f t="shared" si="148"/>
        <v>327.03701004966723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58.339101104175263</v>
      </c>
      <c r="CL162" s="21">
        <f>EXP(-LN(2)/25)*CL161+(1-EXP(-LN(2)/25))/(LN(2)/25)*Calculateur!CG162*Calculateur!CI162*VLOOKUP('Données projet'!$B$12,Paramètres!$A$1:$I$89,3,0)*0.475*44/12</f>
        <v>23.711655234076854</v>
      </c>
      <c r="CM162" s="21">
        <f>EXP(-LN(2)/2)*CM161+(1-EXP(-LN(2)/2))/(LN(2)/2)*CG162*CJ162*VLOOKUP('Données projet'!$B$12,Paramètres!$A$1:$I$89,3,0)*0.475*44/12</f>
        <v>3.2769914714885593E-5</v>
      </c>
      <c r="CN162" s="22">
        <f t="shared" si="172"/>
        <v>82.050789108166825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9.4880000000000049</v>
      </c>
      <c r="CT162" s="12">
        <f>IF('Données projet'!$A$140&gt;35,CT161+CS162-DB161,IF(A162&lt;'Données projet'!$A$140,$CQ$205^A162,IF(A162='Données projet'!$A$140,'Données projet'!$B$140,CT161+CS162-DB161)))</f>
        <v>532.88000000000113</v>
      </c>
      <c r="CU162" s="17">
        <f>CT162*VLOOKUP('Données projet'!$B$13,Paramètres!$A$1:$I$89,3,0)*VLOOKUP('Données projet'!$B$13,Paramètres!$A$1:$I$89,5,0)</f>
        <v>515.4015360000011</v>
      </c>
      <c r="CV162" s="13">
        <f t="shared" si="173"/>
        <v>114.81642305395034</v>
      </c>
      <c r="CW162" s="20">
        <f t="shared" si="174"/>
        <v>1097.6296120189652</v>
      </c>
      <c r="CX162" s="59">
        <f t="shared" si="122"/>
        <v>1390.9629453522984</v>
      </c>
      <c r="CY162" s="59">
        <f ca="1">AVERAGE(OFFSET($CX$3,0,0,'Données projet'!$E$13+1,1))-AVERAGE(OFFSET($H$3,0,0,'Données projet'!$E$13+1,1))</f>
        <v>676.29219382388692</v>
      </c>
      <c r="CZ162" s="59">
        <f t="shared" si="150"/>
        <v>298.25577221580448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52.420641571867655</v>
      </c>
      <c r="DG162" s="21">
        <f>EXP(-LN(2)/25)*DG161+(1-EXP(-LN(2)/25))/(LN(2)/25)*Calculateur!DB162*Calculateur!DD162*VLOOKUP('Données projet'!$B$13,Paramètres!$A$1:$I$89,3,0)*0.475*44/12</f>
        <v>21.306124992938621</v>
      </c>
      <c r="DH162" s="21">
        <f>EXP(-LN(2)/2)*DH161+(1-EXP(-LN(2)/2))/(LN(2)/2)*DB162*DE162*VLOOKUP('Données projet'!$B$13,Paramètres!$A$1:$I$89,3,0)*0.475*44/12</f>
        <v>2.9445430613375466E-5</v>
      </c>
      <c r="DI162" s="22">
        <f t="shared" si="175"/>
        <v>73.726796010236882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-8.8675733422860506E-14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197.51452239559433</v>
      </c>
      <c r="EP162" s="59">
        <f t="shared" si="154"/>
        <v>196.65166921588821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4.6371632413415833</v>
      </c>
      <c r="EW162" s="21">
        <f>EXP(-LN(2)/25)*EW161+(1-EXP(-LN(2)/25))/(LN(2)/25)*Calculateur!ER162*Calculateur!ET162*VLOOKUP('Données projet'!$B$15,Paramètres!$A$1:$I$89,3,0)*0.475*44/12</f>
        <v>2.238045170173407</v>
      </c>
      <c r="EX162" s="21">
        <f>EXP(-LN(2)/2)*EX161+(1-EXP(-LN(2)/2))/(LN(2)/2)*ER162*EU162*VLOOKUP('Données projet'!$B$15,Paramètres!$A$1:$I$89,3,0)*0.475*44/12</f>
        <v>1.1069166625493303E-12</v>
      </c>
      <c r="EY162" s="22">
        <f t="shared" si="181"/>
        <v>6.8752084115160965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1339.5207391717654</v>
      </c>
      <c r="S163" s="59">
        <f ca="1">AVERAGE(OFFSET($R$3,0,0,'Données projet'!$E$9+1,1))-AVERAGE(OFFSET($H$3,0,0,'Données projet'!$E$9+1,1))</f>
        <v>635.71275911100679</v>
      </c>
      <c r="T163" s="59">
        <f t="shared" si="142"/>
        <v>281.7776857269169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9.4880000000000049</v>
      </c>
      <c r="AI163" s="13">
        <f>IF('Données projet'!$A$62&gt;35,AI162+AH163-AQ162,IF(A163&lt;'Données projet'!$A$62,$AF$205^A163,IF(A163='Données projet'!$A$62,'Données projet'!$B$62,AI162+AH163-AQ162)))</f>
        <v>542.36800000000119</v>
      </c>
      <c r="AJ163" s="13">
        <f>AI163*VLOOKUP('Données projet'!$B$10,Paramètres!$A$1:$I$89,3,0)*VLOOKUP('Données projet'!$B$10,Paramètres!$A$1:$I$89,5,0)</f>
        <v>549.96115200000122</v>
      </c>
      <c r="AK163" s="13">
        <f t="shared" si="164"/>
        <v>121.59324017964097</v>
      </c>
      <c r="AL163" s="20">
        <f t="shared" si="165"/>
        <v>1169.6238997128767</v>
      </c>
      <c r="AM163" s="59">
        <f t="shared" si="113"/>
        <v>1462.9572330462099</v>
      </c>
      <c r="AN163" s="59">
        <f ca="1">AVERAGE(OFFSET($AM$3,0,0,'Données projet'!$E$10+1,1))-AVERAGE(OFFSET($H$3,0,0,'Données projet'!$E$10+1,1))</f>
        <v>706.69239849991595</v>
      </c>
      <c r="AO163" s="59">
        <f t="shared" si="144"/>
        <v>310.59887275116529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53.879448542984555</v>
      </c>
      <c r="AV163" s="21">
        <f>EXP(-LN(2)/25)*AV162+(1-EXP(-LN(2)/25))/(LN(2)/25)*Calculateur!AQ163*Calculateur!AS163*VLOOKUP('Données projet'!$B$10,Paramètres!$A$1:$I$89,3,0)*0.475*44/12</f>
        <v>21.726258266077579</v>
      </c>
      <c r="AW163" s="21">
        <f>EXP(-LN(2)/2)*AW162+(1-EXP(-LN(2)/2))/(LN(2)/2)*AQ163*AT163*VLOOKUP('Données projet'!$B$10,Paramètres!$A$1:$I$89,3,0)*0.475*44/12</f>
        <v>2.18285344840149E-5</v>
      </c>
      <c r="AX163" s="21">
        <f t="shared" si="166"/>
        <v>75.605728637596613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516.11738880000109</v>
      </c>
      <c r="BF163" s="13">
        <f t="shared" si="167"/>
        <v>114.95732034718567</v>
      </c>
      <c r="BG163" s="20">
        <f t="shared" si="168"/>
        <v>1099.121785098017</v>
      </c>
      <c r="BH163" s="59">
        <f t="shared" si="116"/>
        <v>1392.4551184313502</v>
      </c>
      <c r="BI163" s="59">
        <f ca="1">AVERAGE(OFFSET($BH$3,0,0,'Données projet'!$E$11+1,1))-AVERAGE(OFFSET($H$3,0,0,'Données projet'!$E$11+1,1))</f>
        <v>666.1523645983184</v>
      </c>
      <c r="BJ163" s="59">
        <f t="shared" si="146"/>
        <v>294.13851344047526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50.563790171108572</v>
      </c>
      <c r="BQ163" s="21">
        <f>EXP(-LN(2)/25)*BQ162+(1-EXP(-LN(2)/25))/(LN(2)/25)*Calculateur!BL163*Calculateur!BN163*VLOOKUP('Données projet'!$B$11,Paramètres!$A$1:$I$89,3,0)*0.475*44/12</f>
        <v>20.389257757395868</v>
      </c>
      <c r="BR163" s="21">
        <f>EXP(-LN(2)/2)*BR162+(1-EXP(-LN(2)/2))/(LN(2)/2)*BL163*BO163*VLOOKUP('Données projet'!$B$11,Paramètres!$A$1:$I$89,3,0)*0.475*44/12</f>
        <v>2.0485240054229429E-5</v>
      </c>
      <c r="BS163" s="22">
        <f t="shared" si="169"/>
        <v>70.953068413744504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9.4880000000000049</v>
      </c>
      <c r="BY163" s="12">
        <f>IF('Données projet'!$A$114&gt;35,BY162+BX163-CG162,IF(A163&lt;'Données projet'!$A$114,$BV$205^A163,IF(A163='Données projet'!$A$114,'Données projet'!$B$114,BY162+BX163-CG162)))</f>
        <v>542.36800000000119</v>
      </c>
      <c r="BZ163" s="13">
        <f>BY163*VLOOKUP('Données projet'!$B$12,Paramètres!$A$1:$I$89,3,0)*VLOOKUP('Données projet'!$B$12,Paramètres!$A$1:$I$89,5,0)</f>
        <v>583.80491520000123</v>
      </c>
      <c r="CA163" s="13">
        <f t="shared" si="170"/>
        <v>128.1817646745607</v>
      </c>
      <c r="CB163" s="20">
        <f t="shared" si="171"/>
        <v>1240.0434674481953</v>
      </c>
      <c r="CC163" s="59">
        <f t="shared" si="119"/>
        <v>1533.3768007815286</v>
      </c>
      <c r="CD163" s="59">
        <f ca="1">AVERAGE(OFFSET($CC$3,0,0,'Données projet'!$E$12+1,1))-AVERAGE(OFFSET($H$3,0,0,'Données projet'!$E$12+1,1))</f>
        <v>747.18304127457918</v>
      </c>
      <c r="CE163" s="59">
        <f t="shared" si="148"/>
        <v>327.03701004966723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57.195106914860496</v>
      </c>
      <c r="CL163" s="21">
        <f>EXP(-LN(2)/25)*CL162+(1-EXP(-LN(2)/25))/(LN(2)/25)*Calculateur!CG163*Calculateur!CI163*VLOOKUP('Données projet'!$B$12,Paramètres!$A$1:$I$89,3,0)*0.475*44/12</f>
        <v>23.063258774759266</v>
      </c>
      <c r="CM163" s="21">
        <f>EXP(-LN(2)/2)*CM162+(1-EXP(-LN(2)/2))/(LN(2)/2)*CG163*CJ163*VLOOKUP('Données projet'!$B$12,Paramètres!$A$1:$I$89,3,0)*0.475*44/12</f>
        <v>2.3171828913800432E-5</v>
      </c>
      <c r="CN163" s="22">
        <f t="shared" si="172"/>
        <v>80.25838886144868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9.4880000000000049</v>
      </c>
      <c r="CT163" s="12">
        <f>IF('Données projet'!$A$140&gt;35,CT162+CS163-DB162,IF(A163&lt;'Données projet'!$A$140,$CQ$205^A163,IF(A163='Données projet'!$A$140,'Données projet'!$B$140,CT162+CS163-DB162)))</f>
        <v>542.36800000000119</v>
      </c>
      <c r="CU163" s="17">
        <f>CT163*VLOOKUP('Données projet'!$B$13,Paramètres!$A$1:$I$89,3,0)*VLOOKUP('Données projet'!$B$13,Paramètres!$A$1:$I$89,5,0)</f>
        <v>524.57832960000121</v>
      </c>
      <c r="CV163" s="13">
        <f t="shared" si="173"/>
        <v>116.62092625930494</v>
      </c>
      <c r="CW163" s="20">
        <f t="shared" si="174"/>
        <v>1116.7553706216247</v>
      </c>
      <c r="CX163" s="59">
        <f t="shared" si="122"/>
        <v>1410.088703954958</v>
      </c>
      <c r="CY163" s="59">
        <f ca="1">AVERAGE(OFFSET($CX$3,0,0,'Données projet'!$E$13+1,1))-AVERAGE(OFFSET($H$3,0,0,'Données projet'!$E$13+1,1))</f>
        <v>676.29219382388692</v>
      </c>
      <c r="CZ163" s="59">
        <f t="shared" si="150"/>
        <v>298.25577221580448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51.392704764077578</v>
      </c>
      <c r="DG163" s="21">
        <f>EXP(-LN(2)/25)*DG162+(1-EXP(-LN(2)/25))/(LN(2)/25)*Calculateur!DB163*Calculateur!DD163*VLOOKUP('Données projet'!$B$13,Paramètres!$A$1:$I$89,3,0)*0.475*44/12</f>
        <v>20.723507884566295</v>
      </c>
      <c r="DH163" s="21">
        <f>EXP(-LN(2)/2)*DH162+(1-EXP(-LN(2)/2))/(LN(2)/2)*DB163*DE163*VLOOKUP('Données projet'!$B$13,Paramètres!$A$1:$I$89,3,0)*0.475*44/12</f>
        <v>2.0821063661675753E-5</v>
      </c>
      <c r="DI163" s="22">
        <f t="shared" si="175"/>
        <v>72.116233469707538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-8.8675733422860506E-14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197.51452239559433</v>
      </c>
      <c r="EP163" s="59">
        <f t="shared" si="154"/>
        <v>196.65166921588821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4.5462312985691717</v>
      </c>
      <c r="EW163" s="21">
        <f>EXP(-LN(2)/25)*EW162+(1-EXP(-LN(2)/25))/(LN(2)/25)*Calculateur!ER163*Calculateur!ET163*VLOOKUP('Données projet'!$B$15,Paramètres!$A$1:$I$89,3,0)*0.475*44/12</f>
        <v>2.176845707301335</v>
      </c>
      <c r="EX163" s="21">
        <f>EXP(-LN(2)/2)*EX162+(1-EXP(-LN(2)/2))/(LN(2)/2)*ER163*EU163*VLOOKUP('Données projet'!$B$15,Paramètres!$A$1:$I$89,3,0)*0.475*44/12</f>
        <v>7.8270827829701279E-13</v>
      </c>
      <c r="EY163" s="22">
        <f t="shared" si="181"/>
        <v>6.7230770058712892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1357.4294625387638</v>
      </c>
      <c r="S164" s="59">
        <f ca="1">AVERAGE(OFFSET($R$3,0,0,'Données projet'!$E$9+1,1))-AVERAGE(OFFSET($H$3,0,0,'Données projet'!$E$9+1,1))</f>
        <v>635.71275911100679</v>
      </c>
      <c r="T164" s="59">
        <f t="shared" si="142"/>
        <v>281.7776857269169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9.4880000000000049</v>
      </c>
      <c r="AI164" s="13">
        <f>IF('Données projet'!$A$62&gt;35,AI163+AH164-AQ163,IF(A164&lt;'Données projet'!$A$62,$AF$205^A164,IF(A164='Données projet'!$A$62,'Données projet'!$B$62,AI163+AH164-AQ163)))</f>
        <v>551.85600000000125</v>
      </c>
      <c r="AJ164" s="13">
        <f>AI164*VLOOKUP('Données projet'!$B$10,Paramètres!$A$1:$I$89,3,0)*VLOOKUP('Données projet'!$B$10,Paramètres!$A$1:$I$89,5,0)</f>
        <v>559.58198400000128</v>
      </c>
      <c r="AK164" s="13">
        <f t="shared" si="164"/>
        <v>123.47085376087081</v>
      </c>
      <c r="AL164" s="20">
        <f t="shared" si="165"/>
        <v>1189.6503591001856</v>
      </c>
      <c r="AM164" s="59">
        <f t="shared" si="113"/>
        <v>1482.9836924335189</v>
      </c>
      <c r="AN164" s="59">
        <f ca="1">AVERAGE(OFFSET($AM$3,0,0,'Données projet'!$E$10+1,1))-AVERAGE(OFFSET($H$3,0,0,'Données projet'!$E$10+1,1))</f>
        <v>706.69239849991595</v>
      </c>
      <c r="AO164" s="59">
        <f t="shared" si="144"/>
        <v>310.59887275116529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52.822905420275269</v>
      </c>
      <c r="AV164" s="21">
        <f>EXP(-LN(2)/25)*AV163+(1-EXP(-LN(2)/25))/(LN(2)/25)*Calculateur!AQ164*Calculateur!AS164*VLOOKUP('Données projet'!$B$10,Paramètres!$A$1:$I$89,3,0)*0.475*44/12</f>
        <v>21.132152591257423</v>
      </c>
      <c r="AW164" s="21">
        <f>EXP(-LN(2)/2)*AW163+(1-EXP(-LN(2)/2))/(LN(2)/2)*AQ164*AT164*VLOOKUP('Données projet'!$B$10,Paramètres!$A$1:$I$89,3,0)*0.475*44/12</f>
        <v>1.5435104757011331E-5</v>
      </c>
      <c r="AX164" s="21">
        <f t="shared" si="166"/>
        <v>73.955073446637442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525.14616960000114</v>
      </c>
      <c r="BF164" s="13">
        <f t="shared" si="167"/>
        <v>116.73246364978037</v>
      </c>
      <c r="BG164" s="20">
        <f t="shared" si="168"/>
        <v>1117.9386195767026</v>
      </c>
      <c r="BH164" s="59">
        <f t="shared" si="116"/>
        <v>1411.2719529100359</v>
      </c>
      <c r="BI164" s="59">
        <f ca="1">AVERAGE(OFFSET($BH$3,0,0,'Données projet'!$E$11+1,1))-AVERAGE(OFFSET($H$3,0,0,'Données projet'!$E$11+1,1))</f>
        <v>666.1523645983184</v>
      </c>
      <c r="BJ164" s="59">
        <f t="shared" si="146"/>
        <v>294.13851344047526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49.572265086719852</v>
      </c>
      <c r="BQ164" s="21">
        <f>EXP(-LN(2)/25)*BQ163+(1-EXP(-LN(2)/25))/(LN(2)/25)*Calculateur!BL164*Calculateur!BN164*VLOOKUP('Données projet'!$B$11,Paramètres!$A$1:$I$89,3,0)*0.475*44/12</f>
        <v>19.831712431795413</v>
      </c>
      <c r="BR164" s="21">
        <f>EXP(-LN(2)/2)*BR163+(1-EXP(-LN(2)/2))/(LN(2)/2)*BL164*BO164*VLOOKUP('Données projet'!$B$11,Paramètres!$A$1:$I$89,3,0)*0.475*44/12</f>
        <v>1.4485252156579909E-5</v>
      </c>
      <c r="BS164" s="22">
        <f t="shared" si="169"/>
        <v>69.403992003767414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9.4880000000000049</v>
      </c>
      <c r="BY164" s="12">
        <f>IF('Données projet'!$A$114&gt;35,BY163+BX164-CG163,IF(A164&lt;'Données projet'!$A$114,$BV$205^A164,IF(A164='Données projet'!$A$114,'Données projet'!$B$114,BY163+BX164-CG163)))</f>
        <v>551.85600000000125</v>
      </c>
      <c r="BZ164" s="13">
        <f>BY164*VLOOKUP('Données projet'!$B$12,Paramètres!$A$1:$I$89,3,0)*VLOOKUP('Données projet'!$B$12,Paramètres!$A$1:$I$89,5,0)</f>
        <v>594.01779840000131</v>
      </c>
      <c r="CA164" s="13">
        <f t="shared" si="170"/>
        <v>130.16111666701843</v>
      </c>
      <c r="CB164" s="20">
        <f t="shared" si="171"/>
        <v>1261.2782770750593</v>
      </c>
      <c r="CC164" s="59">
        <f t="shared" si="119"/>
        <v>1554.6116104083926</v>
      </c>
      <c r="CD164" s="59">
        <f ca="1">AVERAGE(OFFSET($CC$3,0,0,'Données projet'!$E$12+1,1))-AVERAGE(OFFSET($H$3,0,0,'Données projet'!$E$12+1,1))</f>
        <v>747.18304127457918</v>
      </c>
      <c r="CE164" s="59">
        <f t="shared" si="148"/>
        <v>327.03701004966723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56.073545753830636</v>
      </c>
      <c r="CL164" s="21">
        <f>EXP(-LN(2)/25)*CL163+(1-EXP(-LN(2)/25))/(LN(2)/25)*Calculateur!CG164*Calculateur!CI164*VLOOKUP('Données projet'!$B$12,Paramètres!$A$1:$I$89,3,0)*0.475*44/12</f>
        <v>22.432592750719408</v>
      </c>
      <c r="CM164" s="21">
        <f>EXP(-LN(2)/2)*CM163+(1-EXP(-LN(2)/2))/(LN(2)/2)*CG164*CJ164*VLOOKUP('Données projet'!$B$12,Paramètres!$A$1:$I$89,3,0)*0.475*44/12</f>
        <v>1.6384957357442797E-5</v>
      </c>
      <c r="CN164" s="22">
        <f t="shared" si="172"/>
        <v>78.506154889507414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9.4880000000000049</v>
      </c>
      <c r="CT164" s="12">
        <f>IF('Données projet'!$A$140&gt;35,CT163+CS164-DB163,IF(A164&lt;'Données projet'!$A$140,$CQ$205^A164,IF(A164='Données projet'!$A$140,'Données projet'!$B$140,CT163+CS164-DB163)))</f>
        <v>551.85600000000125</v>
      </c>
      <c r="CU164" s="17">
        <f>CT164*VLOOKUP('Données projet'!$B$13,Paramètres!$A$1:$I$89,3,0)*VLOOKUP('Données projet'!$B$13,Paramètres!$A$1:$I$89,5,0)</f>
        <v>533.75512320000121</v>
      </c>
      <c r="CV164" s="13">
        <f t="shared" si="173"/>
        <v>118.4217585644279</v>
      </c>
      <c r="CW164" s="20">
        <f t="shared" si="174"/>
        <v>1135.874735739714</v>
      </c>
      <c r="CX164" s="59">
        <f t="shared" si="122"/>
        <v>1429.2080690730472</v>
      </c>
      <c r="CY164" s="59">
        <f ca="1">AVERAGE(OFFSET($CX$3,0,0,'Données projet'!$E$13+1,1))-AVERAGE(OFFSET($H$3,0,0,'Données projet'!$E$13+1,1))</f>
        <v>676.29219382388692</v>
      </c>
      <c r="CZ164" s="59">
        <f t="shared" si="150"/>
        <v>298.25577221580448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50.384925170108716</v>
      </c>
      <c r="DG164" s="21">
        <f>EXP(-LN(2)/25)*DG163+(1-EXP(-LN(2)/25))/(LN(2)/25)*Calculateur!DB164*Calculateur!DD164*VLOOKUP('Données projet'!$B$13,Paramètres!$A$1:$I$89,3,0)*0.475*44/12</f>
        <v>20.156822471660913</v>
      </c>
      <c r="DH164" s="21">
        <f>EXP(-LN(2)/2)*DH163+(1-EXP(-LN(2)/2))/(LN(2)/2)*DB164*DE164*VLOOKUP('Données projet'!$B$13,Paramètres!$A$1:$I$89,3,0)*0.475*44/12</f>
        <v>1.4722715306687733E-5</v>
      </c>
      <c r="DI164" s="22">
        <f t="shared" si="175"/>
        <v>70.541762364484939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-8.8675733422860506E-14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197.51452239559433</v>
      </c>
      <c r="EP164" s="59">
        <f t="shared" si="154"/>
        <v>196.65166921588821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4.4570824757315188</v>
      </c>
      <c r="EW164" s="21">
        <f>EXP(-LN(2)/25)*EW163+(1-EXP(-LN(2)/25))/(LN(2)/25)*Calculateur!ER164*Calculateur!ET164*VLOOKUP('Données projet'!$B$15,Paramètres!$A$1:$I$89,3,0)*0.475*44/12</f>
        <v>2.1173197469598395</v>
      </c>
      <c r="EX164" s="21">
        <f>EXP(-LN(2)/2)*EX163+(1-EXP(-LN(2)/2))/(LN(2)/2)*ER164*EU164*VLOOKUP('Données projet'!$B$15,Paramètres!$A$1:$I$89,3,0)*0.475*44/12</f>
        <v>5.5345833127466516E-13</v>
      </c>
      <c r="EY164" s="22">
        <f t="shared" si="181"/>
        <v>6.5744022226919112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1375.3322738842521</v>
      </c>
      <c r="S165" s="59">
        <f ca="1">AVERAGE(OFFSET($R$3,0,0,'Données projet'!$E$9+1,1))-AVERAGE(OFFSET($H$3,0,0,'Données projet'!$E$9+1,1))</f>
        <v>635.71275911100679</v>
      </c>
      <c r="T165" s="59">
        <f t="shared" si="142"/>
        <v>281.7776857269169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9.4880000000000049</v>
      </c>
      <c r="AI165" s="13">
        <f>IF('Données projet'!$A$62&gt;35,AI164+AH165-AQ164,IF(A165&lt;'Données projet'!$A$62,$AF$205^A165,IF(A165='Données projet'!$A$62,'Données projet'!$B$62,AI164+AH165-AQ164)))</f>
        <v>561.3440000000013</v>
      </c>
      <c r="AJ165" s="13">
        <f>AI165*VLOOKUP('Données projet'!$B$10,Paramètres!$A$1:$I$89,3,0)*VLOOKUP('Données projet'!$B$10,Paramètres!$A$1:$I$89,5,0)</f>
        <v>569.20281600000135</v>
      </c>
      <c r="AK165" s="13">
        <f t="shared" si="164"/>
        <v>125.34471332512402</v>
      </c>
      <c r="AL165" s="20">
        <f t="shared" si="165"/>
        <v>1209.6702802412601</v>
      </c>
      <c r="AM165" s="59">
        <f t="shared" si="113"/>
        <v>1503.0036135745934</v>
      </c>
      <c r="AN165" s="59">
        <f ca="1">AVERAGE(OFFSET($AM$3,0,0,'Données projet'!$E$10+1,1))-AVERAGE(OFFSET($H$3,0,0,'Données projet'!$E$10+1,1))</f>
        <v>706.69239849991595</v>
      </c>
      <c r="AO165" s="59">
        <f t="shared" si="144"/>
        <v>310.59887275116529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51.787080463774636</v>
      </c>
      <c r="AV165" s="21">
        <f>EXP(-LN(2)/25)*AV164+(1-EXP(-LN(2)/25))/(LN(2)/25)*Calculateur!AQ165*Calculateur!AS165*VLOOKUP('Données projet'!$B$10,Paramètres!$A$1:$I$89,3,0)*0.475*44/12</f>
        <v>20.554292767357882</v>
      </c>
      <c r="AW165" s="21">
        <f>EXP(-LN(2)/2)*AW164+(1-EXP(-LN(2)/2))/(LN(2)/2)*AQ165*AT165*VLOOKUP('Données projet'!$B$10,Paramètres!$A$1:$I$89,3,0)*0.475*44/12</f>
        <v>1.091426724200745E-5</v>
      </c>
      <c r="AX165" s="21">
        <f t="shared" si="166"/>
        <v>72.341384145399758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534.17495040000119</v>
      </c>
      <c r="BF165" s="13">
        <f t="shared" si="167"/>
        <v>118.50405780990992</v>
      </c>
      <c r="BG165" s="20">
        <f t="shared" si="168"/>
        <v>1136.7492726322619</v>
      </c>
      <c r="BH165" s="59">
        <f t="shared" si="116"/>
        <v>1430.0826059655951</v>
      </c>
      <c r="BI165" s="59">
        <f ca="1">AVERAGE(OFFSET($BH$3,0,0,'Données projet'!$E$11+1,1))-AVERAGE(OFFSET($H$3,0,0,'Données projet'!$E$11+1,1))</f>
        <v>666.1523645983184</v>
      </c>
      <c r="BJ165" s="59">
        <f t="shared" si="146"/>
        <v>294.13851344047526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48.600183204465409</v>
      </c>
      <c r="BQ165" s="21">
        <f>EXP(-LN(2)/25)*BQ164+(1-EXP(-LN(2)/25))/(LN(2)/25)*Calculateur!BL165*Calculateur!BN165*VLOOKUP('Données projet'!$B$11,Paramètres!$A$1:$I$89,3,0)*0.475*44/12</f>
        <v>19.289413212443538</v>
      </c>
      <c r="BR165" s="21">
        <f>EXP(-LN(2)/2)*BR164+(1-EXP(-LN(2)/2))/(LN(2)/2)*BL165*BO165*VLOOKUP('Données projet'!$B$11,Paramètres!$A$1:$I$89,3,0)*0.475*44/12</f>
        <v>1.0242620027114716E-5</v>
      </c>
      <c r="BS165" s="22">
        <f t="shared" si="169"/>
        <v>67.889606659528965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9.4880000000000049</v>
      </c>
      <c r="BY165" s="12">
        <f>IF('Données projet'!$A$114&gt;35,BY164+BX165-CG164,IF(A165&lt;'Données projet'!$A$114,$BV$205^A165,IF(A165='Données projet'!$A$114,'Données projet'!$B$114,BY164+BX165-CG164)))</f>
        <v>561.3440000000013</v>
      </c>
      <c r="BZ165" s="13">
        <f>BY165*VLOOKUP('Données projet'!$B$12,Paramètres!$A$1:$I$89,3,0)*VLOOKUP('Données projet'!$B$12,Paramètres!$A$1:$I$89,5,0)</f>
        <v>604.23068160000139</v>
      </c>
      <c r="CA165" s="13">
        <f t="shared" si="170"/>
        <v>132.13651123125092</v>
      </c>
      <c r="CB165" s="20">
        <f t="shared" si="171"/>
        <v>1282.5061941810975</v>
      </c>
      <c r="CC165" s="59">
        <f t="shared" si="119"/>
        <v>1575.8395275144308</v>
      </c>
      <c r="CD165" s="59">
        <f ca="1">AVERAGE(OFFSET($CC$3,0,0,'Données projet'!$E$12+1,1))-AVERAGE(OFFSET($H$3,0,0,'Données projet'!$E$12+1,1))</f>
        <v>747.18304127457918</v>
      </c>
      <c r="CE165" s="59">
        <f t="shared" si="148"/>
        <v>327.03701004966723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54.973977723083813</v>
      </c>
      <c r="CL165" s="21">
        <f>EXP(-LN(2)/25)*CL164+(1-EXP(-LN(2)/25))/(LN(2)/25)*Calculateur!CG165*Calculateur!CI165*VLOOKUP('Données projet'!$B$12,Paramètres!$A$1:$I$89,3,0)*0.475*44/12</f>
        <v>21.819172322272202</v>
      </c>
      <c r="CM165" s="21">
        <f>EXP(-LN(2)/2)*CM164+(1-EXP(-LN(2)/2))/(LN(2)/2)*CG165*CJ165*VLOOKUP('Données projet'!$B$12,Paramètres!$A$1:$I$89,3,0)*0.475*44/12</f>
        <v>1.1585914456900216E-5</v>
      </c>
      <c r="CN165" s="22">
        <f t="shared" si="172"/>
        <v>76.793161631270465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9.4880000000000049</v>
      </c>
      <c r="CT165" s="12">
        <f>IF('Données projet'!$A$140&gt;35,CT164+CS165-DB164,IF(A165&lt;'Données projet'!$A$140,$CQ$205^A165,IF(A165='Données projet'!$A$140,'Données projet'!$B$140,CT164+CS165-DB164)))</f>
        <v>561.3440000000013</v>
      </c>
      <c r="CU165" s="17">
        <f>CT165*VLOOKUP('Données projet'!$B$13,Paramètres!$A$1:$I$89,3,0)*VLOOKUP('Données projet'!$B$13,Paramètres!$A$1:$I$89,5,0)</f>
        <v>542.9319168000012</v>
      </c>
      <c r="CV165" s="13">
        <f t="shared" si="173"/>
        <v>120.21899036563822</v>
      </c>
      <c r="CW165" s="20">
        <f t="shared" si="174"/>
        <v>1154.9878299801551</v>
      </c>
      <c r="CX165" s="59">
        <f t="shared" si="122"/>
        <v>1448.3211633134883</v>
      </c>
      <c r="CY165" s="59">
        <f ca="1">AVERAGE(OFFSET($CX$3,0,0,'Données projet'!$E$13+1,1))-AVERAGE(OFFSET($H$3,0,0,'Données projet'!$E$13+1,1))</f>
        <v>676.29219382388692</v>
      </c>
      <c r="CZ165" s="59">
        <f t="shared" si="150"/>
        <v>298.25577221580448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49.396907519292725</v>
      </c>
      <c r="DG165" s="21">
        <f>EXP(-LN(2)/25)*DG164+(1-EXP(-LN(2)/25))/(LN(2)/25)*Calculateur!DB165*Calculateur!DD165*VLOOKUP('Données projet'!$B$13,Paramètres!$A$1:$I$89,3,0)*0.475*44/12</f>
        <v>19.605633101172121</v>
      </c>
      <c r="DH165" s="21">
        <f>EXP(-LN(2)/2)*DH164+(1-EXP(-LN(2)/2))/(LN(2)/2)*DB165*DE165*VLOOKUP('Données projet'!$B$13,Paramètres!$A$1:$I$89,3,0)*0.475*44/12</f>
        <v>1.0410531830837877E-5</v>
      </c>
      <c r="DI165" s="22">
        <f t="shared" si="175"/>
        <v>69.002551030996671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-8.8675733422860506E-14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197.51452239559433</v>
      </c>
      <c r="EP165" s="59">
        <f t="shared" si="154"/>
        <v>196.65166921588821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4.3696818069342989</v>
      </c>
      <c r="EW165" s="21">
        <f>EXP(-LN(2)/25)*EW164+(1-EXP(-LN(2)/25))/(LN(2)/25)*Calculateur!ER165*Calculateur!ET165*VLOOKUP('Données projet'!$B$15,Paramètres!$A$1:$I$89,3,0)*0.475*44/12</f>
        <v>2.0594215271342162</v>
      </c>
      <c r="EX165" s="21">
        <f>EXP(-LN(2)/2)*EX164+(1-EXP(-LN(2)/2))/(LN(2)/2)*ER165*EU165*VLOOKUP('Données projet'!$B$15,Paramètres!$A$1:$I$89,3,0)*0.475*44/12</f>
        <v>3.913541391485064E-13</v>
      </c>
      <c r="EY165" s="22">
        <f t="shared" si="181"/>
        <v>6.4291033340689063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1393.2292846674368</v>
      </c>
      <c r="S166" s="59">
        <f ca="1">AVERAGE(OFFSET($R$3,0,0,'Données projet'!$E$9+1,1))-AVERAGE(OFFSET($H$3,0,0,'Données projet'!$E$9+1,1))</f>
        <v>635.71275911100679</v>
      </c>
      <c r="T166" s="59">
        <f t="shared" si="142"/>
        <v>281.7776857269169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9.4880000000000049</v>
      </c>
      <c r="AI166" s="13">
        <f>IF('Données projet'!$A$62&gt;35,AI165+AH166-AQ165,IF(A166&lt;'Données projet'!$A$62,$AF$205^A166,IF(A166='Données projet'!$A$62,'Données projet'!$B$62,AI165+AH166-AQ165)))</f>
        <v>570.83200000000136</v>
      </c>
      <c r="AJ166" s="13">
        <f>AI166*VLOOKUP('Données projet'!$B$10,Paramètres!$A$1:$I$89,3,0)*VLOOKUP('Données projet'!$B$10,Paramètres!$A$1:$I$89,5,0)</f>
        <v>578.82364800000141</v>
      </c>
      <c r="AK166" s="13">
        <f t="shared" si="164"/>
        <v>127.21488964679713</v>
      </c>
      <c r="AL166" s="20">
        <f t="shared" si="165"/>
        <v>1229.6837864015072</v>
      </c>
      <c r="AM166" s="59">
        <f t="shared" si="113"/>
        <v>1523.0171197348404</v>
      </c>
      <c r="AN166" s="59">
        <f ca="1">AVERAGE(OFFSET($AM$3,0,0,'Données projet'!$E$10+1,1))-AVERAGE(OFFSET($H$3,0,0,'Données projet'!$E$10+1,1))</f>
        <v>706.69239849991595</v>
      </c>
      <c r="AO166" s="59">
        <f t="shared" si="144"/>
        <v>310.59887275116529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50.771567402880144</v>
      </c>
      <c r="AV166" s="21">
        <f>EXP(-LN(2)/25)*AV165+(1-EXP(-LN(2)/25))/(LN(2)/25)*Calculateur!AQ166*Calculateur!AS166*VLOOKUP('Données projet'!$B$10,Paramètres!$A$1:$I$89,3,0)*0.475*44/12</f>
        <v>19.992234550731201</v>
      </c>
      <c r="AW166" s="21">
        <f>EXP(-LN(2)/2)*AW165+(1-EXP(-LN(2)/2))/(LN(2)/2)*AQ166*AT166*VLOOKUP('Données projet'!$B$10,Paramètres!$A$1:$I$89,3,0)*0.475*44/12</f>
        <v>7.7175523785056654E-6</v>
      </c>
      <c r="AX166" s="21">
        <f t="shared" si="166"/>
        <v>70.763809671163727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543.20373120000136</v>
      </c>
      <c r="BF166" s="13">
        <f t="shared" si="167"/>
        <v>120.27216973947687</v>
      </c>
      <c r="BG166" s="20">
        <f t="shared" si="168"/>
        <v>1155.5538608029244</v>
      </c>
      <c r="BH166" s="59">
        <f t="shared" si="116"/>
        <v>1448.8871941362577</v>
      </c>
      <c r="BI166" s="59">
        <f ca="1">AVERAGE(OFFSET($BH$3,0,0,'Données projet'!$E$11+1,1))-AVERAGE(OFFSET($H$3,0,0,'Données projet'!$E$11+1,1))</f>
        <v>666.1523645983184</v>
      </c>
      <c r="BJ166" s="59">
        <f t="shared" si="146"/>
        <v>294.13851344047526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47.647163255010575</v>
      </c>
      <c r="BQ166" s="21">
        <f>EXP(-LN(2)/25)*BQ165+(1-EXP(-LN(2)/25))/(LN(2)/25)*Calculateur!BL166*Calculateur!BN166*VLOOKUP('Données projet'!$B$11,Paramètres!$A$1:$I$89,3,0)*0.475*44/12</f>
        <v>18.761943193763116</v>
      </c>
      <c r="BR166" s="21">
        <f>EXP(-LN(2)/2)*BR165+(1-EXP(-LN(2)/2))/(LN(2)/2)*BL166*BO166*VLOOKUP('Données projet'!$B$11,Paramètres!$A$1:$I$89,3,0)*0.475*44/12</f>
        <v>7.2426260782899553E-6</v>
      </c>
      <c r="BS166" s="22">
        <f t="shared" si="169"/>
        <v>66.409113691399767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9.4880000000000049</v>
      </c>
      <c r="BY166" s="12">
        <f>IF('Données projet'!$A$114&gt;35,BY165+BX166-CG165,IF(A166&lt;'Données projet'!$A$114,$BV$205^A166,IF(A166='Données projet'!$A$114,'Données projet'!$B$114,BY165+BX166-CG165)))</f>
        <v>570.83200000000136</v>
      </c>
      <c r="BZ166" s="13">
        <f>BY166*VLOOKUP('Données projet'!$B$12,Paramètres!$A$1:$I$89,3,0)*VLOOKUP('Données projet'!$B$12,Paramètres!$A$1:$I$89,5,0)</f>
        <v>614.44356480000147</v>
      </c>
      <c r="CA166" s="13">
        <f t="shared" si="170"/>
        <v>134.10802297656238</v>
      </c>
      <c r="CB166" s="20">
        <f t="shared" si="171"/>
        <v>1303.7273487108484</v>
      </c>
      <c r="CC166" s="59">
        <f t="shared" si="119"/>
        <v>1597.0606820441817</v>
      </c>
      <c r="CD166" s="59">
        <f ca="1">AVERAGE(OFFSET($CC$3,0,0,'Données projet'!$E$12+1,1))-AVERAGE(OFFSET($H$3,0,0,'Données projet'!$E$12+1,1))</f>
        <v>747.18304127457918</v>
      </c>
      <c r="CE166" s="59">
        <f t="shared" si="148"/>
        <v>327.03701004966723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53.895971550749657</v>
      </c>
      <c r="CL166" s="21">
        <f>EXP(-LN(2)/25)*CL165+(1-EXP(-LN(2)/25))/(LN(2)/25)*Calculateur!CG166*Calculateur!CI166*VLOOKUP('Données projet'!$B$12,Paramètres!$A$1:$I$89,3,0)*0.475*44/12</f>
        <v>21.222525907699264</v>
      </c>
      <c r="CM166" s="21">
        <f>EXP(-LN(2)/2)*CM165+(1-EXP(-LN(2)/2))/(LN(2)/2)*CG166*CJ166*VLOOKUP('Données projet'!$B$12,Paramètres!$A$1:$I$89,3,0)*0.475*44/12</f>
        <v>8.1924786787213983E-6</v>
      </c>
      <c r="CN166" s="22">
        <f t="shared" si="172"/>
        <v>75.118505650927602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9.4880000000000049</v>
      </c>
      <c r="CT166" s="12">
        <f>IF('Données projet'!$A$140&gt;35,CT165+CS166-DB165,IF(A166&lt;'Données projet'!$A$140,$CQ$205^A166,IF(A166='Données projet'!$A$140,'Données projet'!$B$140,CT165+CS166-DB165)))</f>
        <v>570.83200000000136</v>
      </c>
      <c r="CU166" s="17">
        <f>CT166*VLOOKUP('Données projet'!$B$13,Paramètres!$A$1:$I$89,3,0)*VLOOKUP('Données projet'!$B$13,Paramètres!$A$1:$I$89,5,0)</f>
        <v>552.10871040000131</v>
      </c>
      <c r="CV166" s="13">
        <f t="shared" si="173"/>
        <v>122.01268954315451</v>
      </c>
      <c r="CW166" s="20">
        <f t="shared" si="174"/>
        <v>1174.094771567663</v>
      </c>
      <c r="CX166" s="59">
        <f t="shared" si="122"/>
        <v>1467.4281049009962</v>
      </c>
      <c r="CY166" s="59">
        <f ca="1">AVERAGE(OFFSET($CX$3,0,0,'Données projet'!$E$13+1,1))-AVERAGE(OFFSET($H$3,0,0,'Données projet'!$E$13+1,1))</f>
        <v>676.29219382388692</v>
      </c>
      <c r="CZ166" s="59">
        <f t="shared" si="150"/>
        <v>298.25577221580448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48.428264291977975</v>
      </c>
      <c r="DG166" s="21">
        <f>EXP(-LN(2)/25)*DG165+(1-EXP(-LN(2)/25))/(LN(2)/25)*Calculateur!DB166*Calculateur!DD166*VLOOKUP('Données projet'!$B$13,Paramètres!$A$1:$I$89,3,0)*0.475*44/12</f>
        <v>19.069516033005133</v>
      </c>
      <c r="DH166" s="21">
        <f>EXP(-LN(2)/2)*DH165+(1-EXP(-LN(2)/2))/(LN(2)/2)*DB166*DE166*VLOOKUP('Données projet'!$B$13,Paramètres!$A$1:$I$89,3,0)*0.475*44/12</f>
        <v>7.3613576533438665E-6</v>
      </c>
      <c r="DI166" s="22">
        <f t="shared" si="175"/>
        <v>67.497787686340772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-8.8675733422860506E-14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197.51452239559433</v>
      </c>
      <c r="EP166" s="59">
        <f t="shared" si="154"/>
        <v>196.65166921588821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4.2839950119430483</v>
      </c>
      <c r="EW166" s="21">
        <f>EXP(-LN(2)/25)*EW165+(1-EXP(-LN(2)/25))/(LN(2)/25)*Calculateur!ER166*Calculateur!ET166*VLOOKUP('Données projet'!$B$15,Paramètres!$A$1:$I$89,3,0)*0.475*44/12</f>
        <v>2.0031065371744599</v>
      </c>
      <c r="EX166" s="21">
        <f>EXP(-LN(2)/2)*EX165+(1-EXP(-LN(2)/2))/(LN(2)/2)*ER166*EU166*VLOOKUP('Données projet'!$B$15,Paramètres!$A$1:$I$89,3,0)*0.475*44/12</f>
        <v>2.7672916563733258E-13</v>
      </c>
      <c r="EY166" s="22">
        <f t="shared" si="181"/>
        <v>6.2871015491177857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1411.1206024299286</v>
      </c>
      <c r="S167" s="59">
        <f ca="1">AVERAGE(OFFSET($R$3,0,0,'Données projet'!$E$9+1,1))-AVERAGE(OFFSET($H$3,0,0,'Données projet'!$E$9+1,1))</f>
        <v>635.71275911100679</v>
      </c>
      <c r="T167" s="59">
        <f t="shared" si="142"/>
        <v>281.7776857269169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9.4880000000000049</v>
      </c>
      <c r="AH167" s="12">
        <f t="array" ref="AH167">INDEX(AG:AG,MIN(IF(ISNUMBER(AG167:AG363),ROW(AG167:AG363),"")))</f>
        <v>9.4880000000000049</v>
      </c>
      <c r="AI167" s="13">
        <f>IF('Données projet'!$A$62&gt;35,AI166+AH167-AQ166,IF(A167&lt;'Données projet'!$A$62,$AF$205^A167,IF(A167='Données projet'!$A$62,'Données projet'!$B$62,AI166+AH167-AQ166)))</f>
        <v>580.32000000000141</v>
      </c>
      <c r="AJ167" s="13">
        <f>AI167*VLOOKUP('Données projet'!$B$10,Paramètres!$A$1:$I$89,3,0)*VLOOKUP('Données projet'!$B$10,Paramètres!$A$1:$I$89,5,0)</f>
        <v>588.44448000000148</v>
      </c>
      <c r="AK167" s="13">
        <f t="shared" si="164"/>
        <v>129.08145101269025</v>
      </c>
      <c r="AL167" s="20">
        <f t="shared" si="165"/>
        <v>1249.6909965137713</v>
      </c>
      <c r="AM167" s="59">
        <f t="shared" si="113"/>
        <v>1543.0243298471046</v>
      </c>
      <c r="AN167" s="59">
        <f ca="1">AVERAGE(OFFSET($AM$3,0,0,'Données projet'!$E$10+1,1))-AVERAGE(OFFSET($H$3,0,0,'Données projet'!$E$10+1,1))</f>
        <v>706.69239849991595</v>
      </c>
      <c r="AO167" s="59">
        <f t="shared" si="144"/>
        <v>310.59887275116529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66.020000000000095</v>
      </c>
      <c r="AR167" s="16">
        <f>IF(ISNA(VLOOKUP(A167,'Données projet'!$A$61:$I$81,5,0)),0%,VLOOKUP(A167,'Données projet'!$A$61:$I$81,5,0)*VLOOKUP('Données projet'!$B$10,Paramètres!$A$1:$I$89,7,0))</f>
        <v>0.215</v>
      </c>
      <c r="AS167" s="16">
        <f>IF(ISNA(VLOOKUP(A167,'Données projet'!$A$61:$I$81,6,0)),0%,VLOOKUP(A167,'Données projet'!$A$61:$I$81,6,0)*VLOOKUP('Données projet'!$B$10,Paramètres!$A$1:$I$89,7,0))</f>
        <v>8.6000000000000007E-2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65.687025436827426</v>
      </c>
      <c r="AV167" s="21">
        <f>EXP(-LN(2)/25)*AV166+(1-EXP(-LN(2)/25))/(LN(2)/25)*Calculateur!AQ167*Calculateur!AS167*VLOOKUP('Données projet'!$B$10,Paramètres!$A$1:$I$89,3,0)*0.475*44/12</f>
        <v>25.784909688452114</v>
      </c>
      <c r="AW167" s="21">
        <f>EXP(-LN(2)/2)*AW166+(1-EXP(-LN(2)/2))/(LN(2)/2)*AQ167*AT167*VLOOKUP('Données projet'!$B$10,Paramètres!$A$1:$I$89,3,0)*0.475*44/12</f>
        <v>5.4571336210037249E-6</v>
      </c>
      <c r="AX167" s="21">
        <f t="shared" si="166"/>
        <v>91.471940582413168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552.23251200000141</v>
      </c>
      <c r="BF167" s="13">
        <f t="shared" si="167"/>
        <v>122.03686399854614</v>
      </c>
      <c r="BG167" s="20">
        <f t="shared" si="168"/>
        <v>1174.3524965308034</v>
      </c>
      <c r="BH167" s="59">
        <f t="shared" si="116"/>
        <v>1467.6858298641366</v>
      </c>
      <c r="BI167" s="59">
        <f ca="1">AVERAGE(OFFSET($BH$3,0,0,'Données projet'!$E$11+1,1))-AVERAGE(OFFSET($H$3,0,0,'Données projet'!$E$11+1,1))</f>
        <v>666.1523645983184</v>
      </c>
      <c r="BJ167" s="59">
        <f t="shared" si="146"/>
        <v>294.13851344047526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61.644746948407253</v>
      </c>
      <c r="BQ167" s="21">
        <f>EXP(-LN(2)/25)*BQ166+(1-EXP(-LN(2)/25))/(LN(2)/25)*Calculateur!BL167*Calculateur!BN167*VLOOKUP('Données projet'!$B$11,Paramètres!$A$1:$I$89,3,0)*0.475*44/12</f>
        <v>24.198146015316592</v>
      </c>
      <c r="BR167" s="21">
        <f>EXP(-LN(2)/2)*BR166+(1-EXP(-LN(2)/2))/(LN(2)/2)*BL167*BO167*VLOOKUP('Données projet'!$B$11,Paramètres!$A$1:$I$89,3,0)*0.475*44/12</f>
        <v>5.1213100135573589E-6</v>
      </c>
      <c r="BS167" s="22">
        <f t="shared" si="169"/>
        <v>85.842898085033852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9.4880000000000049</v>
      </c>
      <c r="BX167" s="12">
        <f t="array" ref="BX167">INDEX(BW:BW,MIN(IF(ISNUMBER(BW167:BW363),ROW(BW167:BW363),"")))</f>
        <v>9.4880000000000049</v>
      </c>
      <c r="BY167" s="12">
        <f>IF('Données projet'!$A$114&gt;35,BY166+BX167-CG166,IF(A167&lt;'Données projet'!$A$114,$BV$205^A167,IF(A167='Données projet'!$A$114,'Données projet'!$B$114,BY166+BX167-CG166)))</f>
        <v>580.32000000000141</v>
      </c>
      <c r="BZ167" s="13">
        <f>BY167*VLOOKUP('Données projet'!$B$12,Paramètres!$A$1:$I$89,3,0)*VLOOKUP('Données projet'!$B$12,Paramètres!$A$1:$I$89,5,0)</f>
        <v>624.65644800000155</v>
      </c>
      <c r="CA167" s="13">
        <f t="shared" si="170"/>
        <v>136.07572388987023</v>
      </c>
      <c r="CB167" s="20">
        <f t="shared" si="171"/>
        <v>1324.9418660415267</v>
      </c>
      <c r="CC167" s="59">
        <f t="shared" si="119"/>
        <v>1618.27519937486</v>
      </c>
      <c r="CD167" s="59">
        <f ca="1">AVERAGE(OFFSET($CC$3,0,0,'Données projet'!$E$12+1,1))-AVERAGE(OFFSET($H$3,0,0,'Données projet'!$E$12+1,1))</f>
        <v>747.18304127457918</v>
      </c>
      <c r="CE167" s="59">
        <f t="shared" si="148"/>
        <v>327.03701004966723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66.020000000000095</v>
      </c>
      <c r="CH167" s="16">
        <f>IF(ISNA(VLOOKUP(A167,'Données projet'!$A$113:$I$133,5,0)),0%,VLOOKUP(A167,'Données projet'!$A$113:$I$133,5,0)*VLOOKUP('Données projet'!$B$12,Paramètres!$A$1:$I$89,7,0))</f>
        <v>0.215</v>
      </c>
      <c r="CI167" s="16">
        <f>IF(ISNA(VLOOKUP(A167,'Données projet'!$A$113:$I$133,6,0)),0%,VLOOKUP(A167,'Données projet'!$A$113:$I$133,6,0)*VLOOKUP('Données projet'!$B$12,Paramètres!$A$1:$I$89,7,0))</f>
        <v>8.6000000000000007E-2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69.729303925247535</v>
      </c>
      <c r="CL167" s="21">
        <f>EXP(-LN(2)/25)*CL166+(1-EXP(-LN(2)/25))/(LN(2)/25)*Calculateur!CG167*Calculateur!CI167*VLOOKUP('Données projet'!$B$12,Paramètres!$A$1:$I$89,3,0)*0.475*44/12</f>
        <v>27.371673361587618</v>
      </c>
      <c r="CM167" s="21">
        <f>EXP(-LN(2)/2)*CM166+(1-EXP(-LN(2)/2))/(LN(2)/2)*CG167*CJ167*VLOOKUP('Données projet'!$B$12,Paramètres!$A$1:$I$89,3,0)*0.475*44/12</f>
        <v>5.7929572284501079E-6</v>
      </c>
      <c r="CN167" s="22">
        <f t="shared" si="172"/>
        <v>97.100983079792385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9.4880000000000049</v>
      </c>
      <c r="CS167" s="12">
        <f t="array" ref="CS167">INDEX(CR:CR,MIN(IF(ISNUMBER(CR167:CR363),ROW(CR167:CR363),"")))</f>
        <v>9.4880000000000049</v>
      </c>
      <c r="CT167" s="12">
        <f>IF('Données projet'!$A$140&gt;35,CT166+CS167-DB166,IF(A167&lt;'Données projet'!$A$140,$CQ$205^A167,IF(A167='Données projet'!$A$140,'Données projet'!$B$140,CT166+CS167-DB166)))</f>
        <v>580.32000000000141</v>
      </c>
      <c r="CU167" s="17">
        <f>CT167*VLOOKUP('Données projet'!$B$13,Paramètres!$A$1:$I$89,3,0)*VLOOKUP('Données projet'!$B$13,Paramètres!$A$1:$I$89,5,0)</f>
        <v>561.28550400000142</v>
      </c>
      <c r="CV167" s="13">
        <f t="shared" si="173"/>
        <v>123.8029215913233</v>
      </c>
      <c r="CW167" s="20">
        <f t="shared" si="174"/>
        <v>1193.1956745715572</v>
      </c>
      <c r="CX167" s="59">
        <f t="shared" si="122"/>
        <v>1486.5290079048905</v>
      </c>
      <c r="CY167" s="59">
        <f ca="1">AVERAGE(OFFSET($CX$3,0,0,'Données projet'!$E$13+1,1))-AVERAGE(OFFSET($H$3,0,0,'Données projet'!$E$13+1,1))</f>
        <v>676.29219382388692</v>
      </c>
      <c r="CZ167" s="59">
        <f t="shared" si="150"/>
        <v>298.25577221580448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66.020000000000095</v>
      </c>
      <c r="DC167" s="16">
        <f>IF(ISNA(VLOOKUP(A167,'Données projet'!$A$139:$I$159,5,0)),0%,VLOOKUP(A167,'Données projet'!$A$139:$I$159,5,0)*VLOOKUP('Données projet'!$B$13,Paramètres!$A$1:$I$89,7,0))</f>
        <v>0.215</v>
      </c>
      <c r="DD167" s="16">
        <f>IF(ISNA(VLOOKUP(A167,'Données projet'!$A$139:$I$159,6,0)),0%,VLOOKUP(A167,'Données projet'!$A$139:$I$159,6,0)*VLOOKUP('Données projet'!$B$13,Paramètres!$A$1:$I$89,7,0))</f>
        <v>8.6000000000000007E-2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62.655316570512298</v>
      </c>
      <c r="DG167" s="21">
        <f>EXP(-LN(2)/25)*DG166+(1-EXP(-LN(2)/25))/(LN(2)/25)*Calculateur!DB167*Calculateur!DD167*VLOOKUP('Données projet'!$B$13,Paramètres!$A$1:$I$89,3,0)*0.475*44/12</f>
        <v>24.594836933600469</v>
      </c>
      <c r="DH167" s="21">
        <f>EXP(-LN(2)/2)*DH166+(1-EXP(-LN(2)/2))/(LN(2)/2)*DB167*DE167*VLOOKUP('Données projet'!$B$13,Paramètres!$A$1:$I$89,3,0)*0.475*44/12</f>
        <v>5.2052659154189383E-6</v>
      </c>
      <c r="DI167" s="22">
        <f t="shared" si="175"/>
        <v>87.250158709378695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-8.8675733422860506E-14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197.51452239559433</v>
      </c>
      <c r="EP167" s="59">
        <f t="shared" si="154"/>
        <v>196.65166921588821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4.1999884827377922</v>
      </c>
      <c r="EW167" s="21">
        <f>EXP(-LN(2)/25)*EW166+(1-EXP(-LN(2)/25))/(LN(2)/25)*Calculateur!ER167*Calculateur!ET167*VLOOKUP('Données projet'!$B$15,Paramètres!$A$1:$I$89,3,0)*0.475*44/12</f>
        <v>1.9483314835766297</v>
      </c>
      <c r="EX167" s="21">
        <f>EXP(-LN(2)/2)*EX166+(1-EXP(-LN(2)/2))/(LN(2)/2)*ER167*EU167*VLOOKUP('Données projet'!$B$15,Paramètres!$A$1:$I$89,3,0)*0.475*44/12</f>
        <v>1.956770695742532E-13</v>
      </c>
      <c r="EY167" s="22">
        <f t="shared" si="181"/>
        <v>6.1483199663146175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1304.6863158641488</v>
      </c>
      <c r="S168" s="59">
        <f ca="1">AVERAGE(OFFSET($R$3,0,0,'Données projet'!$E$9+1,1))-AVERAGE(OFFSET($H$3,0,0,'Données projet'!$E$9+1,1))</f>
        <v>635.71275911100679</v>
      </c>
      <c r="T168" s="59">
        <f t="shared" si="142"/>
        <v>281.7776857269169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9.6220000000000034</v>
      </c>
      <c r="AI168" s="13">
        <f>IF('Données projet'!$A$62&gt;35,AI167+AH168-AQ167,IF(A168&lt;'Données projet'!$A$62,$AF$205^A168,IF(A168='Données projet'!$A$62,'Données projet'!$B$62,AI167+AH168-AQ167)))</f>
        <v>523.92200000000128</v>
      </c>
      <c r="AJ168" s="13">
        <f>AI168*VLOOKUP('Données projet'!$B$10,Paramètres!$A$1:$I$89,3,0)*VLOOKUP('Données projet'!$B$10,Paramètres!$A$1:$I$89,5,0)</f>
        <v>531.25690800000132</v>
      </c>
      <c r="AK168" s="13">
        <f t="shared" si="164"/>
        <v>117.93187429253524</v>
      </c>
      <c r="AL168" s="20">
        <f t="shared" si="165"/>
        <v>1130.6704624928343</v>
      </c>
      <c r="AM168" s="59">
        <f t="shared" si="113"/>
        <v>1424.0037958261676</v>
      </c>
      <c r="AN168" s="59">
        <f ca="1">AVERAGE(OFFSET($AM$3,0,0,'Données projet'!$E$10+1,1))-AVERAGE(OFFSET($H$3,0,0,'Données projet'!$E$10+1,1))</f>
        <v>706.69239849991595</v>
      </c>
      <c r="AO168" s="59">
        <f t="shared" si="144"/>
        <v>310.59887275116529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64.39894293314066</v>
      </c>
      <c r="AV168" s="21">
        <f>EXP(-LN(2)/25)*AV167+(1-EXP(-LN(2)/25))/(LN(2)/25)*Calculateur!AQ168*Calculateur!AS168*VLOOKUP('Données projet'!$B$10,Paramètres!$A$1:$I$89,3,0)*0.475*44/12</f>
        <v>25.079819977051923</v>
      </c>
      <c r="AW168" s="21">
        <f>EXP(-LN(2)/2)*AW167+(1-EXP(-LN(2)/2))/(LN(2)/2)*AQ168*AT168*VLOOKUP('Données projet'!$B$10,Paramètres!$A$1:$I$89,3,0)*0.475*44/12</f>
        <v>3.8587761892528327E-6</v>
      </c>
      <c r="AX168" s="21">
        <f t="shared" si="166"/>
        <v>89.478766768968782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498.56417520000116</v>
      </c>
      <c r="BF168" s="13">
        <f t="shared" si="167"/>
        <v>111.49577256237113</v>
      </c>
      <c r="BG168" s="20">
        <f t="shared" si="168"/>
        <v>1062.5210756861318</v>
      </c>
      <c r="BH168" s="59">
        <f t="shared" si="116"/>
        <v>1355.854409019465</v>
      </c>
      <c r="BI168" s="59">
        <f ca="1">AVERAGE(OFFSET($BH$3,0,0,'Données projet'!$E$11+1,1))-AVERAGE(OFFSET($H$3,0,0,'Données projet'!$E$11+1,1))</f>
        <v>666.1523645983184</v>
      </c>
      <c r="BJ168" s="59">
        <f t="shared" si="146"/>
        <v>294.13851344047526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60.435931060331974</v>
      </c>
      <c r="BQ168" s="21">
        <f>EXP(-LN(2)/25)*BQ167+(1-EXP(-LN(2)/25))/(LN(2)/25)*Calculateur!BL168*Calculateur!BN168*VLOOKUP('Données projet'!$B$11,Paramètres!$A$1:$I$89,3,0)*0.475*44/12</f>
        <v>23.536446440002567</v>
      </c>
      <c r="BR168" s="21">
        <f>EXP(-LN(2)/2)*BR167+(1-EXP(-LN(2)/2))/(LN(2)/2)*BL168*BO168*VLOOKUP('Données projet'!$B$11,Paramètres!$A$1:$I$89,3,0)*0.475*44/12</f>
        <v>3.6213130391449785E-6</v>
      </c>
      <c r="BS168" s="22">
        <f t="shared" si="169"/>
        <v>83.972381121647587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9.6220000000000034</v>
      </c>
      <c r="BY168" s="12">
        <f>IF('Données projet'!$A$114&gt;35,BY167+BX168-CG167,IF(A168&lt;'Données projet'!$A$114,$BV$205^A168,IF(A168='Données projet'!$A$114,'Données projet'!$B$114,BY167+BX168-CG167)))</f>
        <v>523.92200000000128</v>
      </c>
      <c r="BZ168" s="13">
        <f>BY168*VLOOKUP('Données projet'!$B$12,Paramètres!$A$1:$I$89,3,0)*VLOOKUP('Données projet'!$B$12,Paramètres!$A$1:$I$89,5,0)</f>
        <v>563.94964080000136</v>
      </c>
      <c r="CA168" s="13">
        <f t="shared" si="170"/>
        <v>124.32200783417154</v>
      </c>
      <c r="CB168" s="20">
        <f t="shared" si="171"/>
        <v>1198.739788037851</v>
      </c>
      <c r="CC168" s="59">
        <f t="shared" si="119"/>
        <v>1492.0731213711842</v>
      </c>
      <c r="CD168" s="59">
        <f ca="1">AVERAGE(OFFSET($CC$3,0,0,'Données projet'!$E$12+1,1))-AVERAGE(OFFSET($H$3,0,0,'Données projet'!$E$12+1,1))</f>
        <v>747.18304127457918</v>
      </c>
      <c r="CE168" s="59">
        <f t="shared" si="148"/>
        <v>327.03701004966723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68.361954805949267</v>
      </c>
      <c r="CL168" s="21">
        <f>EXP(-LN(2)/25)*CL167+(1-EXP(-LN(2)/25))/(LN(2)/25)*Calculateur!CG168*Calculateur!CI168*VLOOKUP('Données projet'!$B$12,Paramètres!$A$1:$I$89,3,0)*0.475*44/12</f>
        <v>26.62319351410126</v>
      </c>
      <c r="CM168" s="21">
        <f>EXP(-LN(2)/2)*CM167+(1-EXP(-LN(2)/2))/(LN(2)/2)*CG168*CJ168*VLOOKUP('Données projet'!$B$12,Paramètres!$A$1:$I$89,3,0)*0.475*44/12</f>
        <v>4.0962393393606992E-6</v>
      </c>
      <c r="CN168" s="22">
        <f t="shared" si="172"/>
        <v>94.985152416289864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9.6220000000000034</v>
      </c>
      <c r="CT168" s="12">
        <f>IF('Données projet'!$A$140&gt;35,CT167+CS168-DB167,IF(A168&lt;'Données projet'!$A$140,$CQ$205^A168,IF(A168='Données projet'!$A$140,'Données projet'!$B$140,CT167+CS168-DB167)))</f>
        <v>523.92200000000128</v>
      </c>
      <c r="CU168" s="17">
        <f>CT168*VLOOKUP('Données projet'!$B$13,Paramètres!$A$1:$I$89,3,0)*VLOOKUP('Données projet'!$B$13,Paramètres!$A$1:$I$89,5,0)</f>
        <v>506.73735840000126</v>
      </c>
      <c r="CV168" s="13">
        <f t="shared" si="173"/>
        <v>113.10928465408364</v>
      </c>
      <c r="CW168" s="20">
        <f t="shared" si="174"/>
        <v>1079.566236652531</v>
      </c>
      <c r="CX168" s="59">
        <f t="shared" si="122"/>
        <v>1372.8995699858642</v>
      </c>
      <c r="CY168" s="59">
        <f ca="1">AVERAGE(OFFSET($CX$3,0,0,'Données projet'!$E$13+1,1))-AVERAGE(OFFSET($H$3,0,0,'Données projet'!$E$13+1,1))</f>
        <v>676.29219382388692</v>
      </c>
      <c r="CZ168" s="59">
        <f t="shared" si="150"/>
        <v>298.25577221580448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61.426684028534147</v>
      </c>
      <c r="DG168" s="21">
        <f>EXP(-LN(2)/25)*DG167+(1-EXP(-LN(2)/25))/(LN(2)/25)*Calculateur!DB168*Calculateur!DD168*VLOOKUP('Données projet'!$B$13,Paramètres!$A$1:$I$89,3,0)*0.475*44/12</f>
        <v>23.922289824264901</v>
      </c>
      <c r="DH168" s="21">
        <f>EXP(-LN(2)/2)*DH167+(1-EXP(-LN(2)/2))/(LN(2)/2)*DB168*DE168*VLOOKUP('Données projet'!$B$13,Paramètres!$A$1:$I$89,3,0)*0.475*44/12</f>
        <v>3.6806788266719333E-6</v>
      </c>
      <c r="DI168" s="22">
        <f t="shared" si="175"/>
        <v>85.348977533477878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-8.8675733422860506E-14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197.51452239559433</v>
      </c>
      <c r="EP168" s="59">
        <f t="shared" si="154"/>
        <v>196.65166921588821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4.117629270331328</v>
      </c>
      <c r="EW168" s="21">
        <f>EXP(-LN(2)/25)*EW167+(1-EXP(-LN(2)/25))/(LN(2)/25)*Calculateur!ER168*Calculateur!ET168*VLOOKUP('Données projet'!$B$15,Paramètres!$A$1:$I$89,3,0)*0.475*44/12</f>
        <v>1.8950542566999269</v>
      </c>
      <c r="EX168" s="21">
        <f>EXP(-LN(2)/2)*EX167+(1-EXP(-LN(2)/2))/(LN(2)/2)*ER168*EU168*VLOOKUP('Données projet'!$B$15,Paramètres!$A$1:$I$89,3,0)*0.475*44/12</f>
        <v>1.3836458281866629E-13</v>
      </c>
      <c r="EY168" s="22">
        <f t="shared" si="181"/>
        <v>6.0126835270313936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1322.8599172985942</v>
      </c>
      <c r="S169" s="59">
        <f ca="1">AVERAGE(OFFSET($R$3,0,0,'Données projet'!$E$9+1,1))-AVERAGE(OFFSET($H$3,0,0,'Données projet'!$E$9+1,1))</f>
        <v>635.71275911100679</v>
      </c>
      <c r="T169" s="59">
        <f t="shared" si="142"/>
        <v>281.7776857269169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9.6220000000000034</v>
      </c>
      <c r="AI169" s="13">
        <f>IF('Données projet'!$A$62&gt;35,AI168+AH169-AQ168,IF(A169&lt;'Données projet'!$A$62,$AF$205^A169,IF(A169='Données projet'!$A$62,'Données projet'!$B$62,AI168+AH169-AQ168)))</f>
        <v>533.54400000000123</v>
      </c>
      <c r="AJ169" s="13">
        <f>AI169*VLOOKUP('Données projet'!$B$10,Paramètres!$A$1:$I$89,3,0)*VLOOKUP('Données projet'!$B$10,Paramètres!$A$1:$I$89,5,0)</f>
        <v>541.01361600000132</v>
      </c>
      <c r="AK169" s="13">
        <f t="shared" si="164"/>
        <v>119.84359445909256</v>
      </c>
      <c r="AL169" s="20">
        <f t="shared" si="165"/>
        <v>1150.9929748829218</v>
      </c>
      <c r="AM169" s="59">
        <f t="shared" si="113"/>
        <v>1444.326308216255</v>
      </c>
      <c r="AN169" s="59">
        <f ca="1">AVERAGE(OFFSET($AM$3,0,0,'Données projet'!$E$10+1,1))-AVERAGE(OFFSET($H$3,0,0,'Données projet'!$E$10+1,1))</f>
        <v>706.69239849991595</v>
      </c>
      <c r="AO169" s="59">
        <f t="shared" si="144"/>
        <v>310.59887275116529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63.136118941698435</v>
      </c>
      <c r="AV169" s="21">
        <f>EXP(-LN(2)/25)*AV168+(1-EXP(-LN(2)/25))/(LN(2)/25)*Calculateur!AQ169*Calculateur!AS169*VLOOKUP('Données projet'!$B$10,Paramètres!$A$1:$I$89,3,0)*0.475*44/12</f>
        <v>24.394010980889025</v>
      </c>
      <c r="AW169" s="21">
        <f>EXP(-LN(2)/2)*AW168+(1-EXP(-LN(2)/2))/(LN(2)/2)*AQ169*AT169*VLOOKUP('Données projet'!$B$10,Paramètres!$A$1:$I$89,3,0)*0.475*44/12</f>
        <v>2.7285668105018625E-6</v>
      </c>
      <c r="AX169" s="21">
        <f t="shared" si="166"/>
        <v>87.530132651154275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507.72047040000115</v>
      </c>
      <c r="BF169" s="13">
        <f t="shared" si="167"/>
        <v>113.30316109216449</v>
      </c>
      <c r="BG169" s="20">
        <f t="shared" si="168"/>
        <v>1081.6161581821882</v>
      </c>
      <c r="BH169" s="59">
        <f t="shared" si="116"/>
        <v>1374.9494915155215</v>
      </c>
      <c r="BI169" s="59">
        <f ca="1">AVERAGE(OFFSET($BH$3,0,0,'Données projet'!$E$11+1,1))-AVERAGE(OFFSET($H$3,0,0,'Données projet'!$E$11+1,1))</f>
        <v>666.1523645983184</v>
      </c>
      <c r="BJ169" s="59">
        <f t="shared" si="146"/>
        <v>294.13851344047526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59.25081931451696</v>
      </c>
      <c r="BQ169" s="21">
        <f>EXP(-LN(2)/25)*BQ168+(1-EXP(-LN(2)/25))/(LN(2)/25)*Calculateur!BL169*Calculateur!BN169*VLOOKUP('Données projet'!$B$11,Paramètres!$A$1:$I$89,3,0)*0.475*44/12</f>
        <v>22.892841074372772</v>
      </c>
      <c r="BR169" s="21">
        <f>EXP(-LN(2)/2)*BR168+(1-EXP(-LN(2)/2))/(LN(2)/2)*BL169*BO169*VLOOKUP('Données projet'!$B$11,Paramètres!$A$1:$I$89,3,0)*0.475*44/12</f>
        <v>2.5606550067786799E-6</v>
      </c>
      <c r="BS169" s="22">
        <f t="shared" si="169"/>
        <v>82.143662949544733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9.6220000000000034</v>
      </c>
      <c r="BY169" s="12">
        <f>IF('Données projet'!$A$114&gt;35,BY168+BX169-CG168,IF(A169&lt;'Données projet'!$A$114,$BV$205^A169,IF(A169='Données projet'!$A$114,'Données projet'!$B$114,BY168+BX169-CG168)))</f>
        <v>533.54400000000123</v>
      </c>
      <c r="BZ169" s="13">
        <f>BY169*VLOOKUP('Données projet'!$B$12,Paramètres!$A$1:$I$89,3,0)*VLOOKUP('Données projet'!$B$12,Paramètres!$A$1:$I$89,5,0)</f>
        <v>574.30676160000132</v>
      </c>
      <c r="CA169" s="13">
        <f t="shared" si="170"/>
        <v>126.33731447581734</v>
      </c>
      <c r="CB169" s="20">
        <f t="shared" si="171"/>
        <v>1220.2884324987176</v>
      </c>
      <c r="CC169" s="59">
        <f t="shared" si="119"/>
        <v>1513.6217658320509</v>
      </c>
      <c r="CD169" s="59">
        <f ca="1">AVERAGE(OFFSET($CC$3,0,0,'Données projet'!$E$12+1,1))-AVERAGE(OFFSET($H$3,0,0,'Données projet'!$E$12+1,1))</f>
        <v>747.18304127457918</v>
      </c>
      <c r="CE169" s="59">
        <f t="shared" si="148"/>
        <v>327.03701004966723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67.021418568879824</v>
      </c>
      <c r="CL169" s="21">
        <f>EXP(-LN(2)/25)*CL168+(1-EXP(-LN(2)/25))/(LN(2)/25)*Calculateur!CG169*Calculateur!CI169*VLOOKUP('Données projet'!$B$12,Paramètres!$A$1:$I$89,3,0)*0.475*44/12</f>
        <v>25.895180887405264</v>
      </c>
      <c r="CM169" s="21">
        <f>EXP(-LN(2)/2)*CM168+(1-EXP(-LN(2)/2))/(LN(2)/2)*CG169*CJ169*VLOOKUP('Données projet'!$B$12,Paramètres!$A$1:$I$89,3,0)*0.475*44/12</f>
        <v>2.896478614225054E-6</v>
      </c>
      <c r="CN169" s="22">
        <f t="shared" si="172"/>
        <v>92.916602352763704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9.6220000000000034</v>
      </c>
      <c r="CT169" s="12">
        <f>IF('Données projet'!$A$140&gt;35,CT168+CS169-DB168,IF(A169&lt;'Données projet'!$A$140,$CQ$205^A169,IF(A169='Données projet'!$A$140,'Données projet'!$B$140,CT168+CS169-DB168)))</f>
        <v>533.54400000000123</v>
      </c>
      <c r="CU169" s="17">
        <f>CT169*VLOOKUP('Données projet'!$B$13,Paramètres!$A$1:$I$89,3,0)*VLOOKUP('Données projet'!$B$13,Paramètres!$A$1:$I$89,5,0)</f>
        <v>516.04375680000112</v>
      </c>
      <c r="CV169" s="13">
        <f t="shared" si="173"/>
        <v>114.94282882350552</v>
      </c>
      <c r="CW169" s="20">
        <f t="shared" si="174"/>
        <v>1098.9683032942742</v>
      </c>
      <c r="CX169" s="59">
        <f t="shared" si="122"/>
        <v>1392.3016366276074</v>
      </c>
      <c r="CY169" s="59">
        <f ca="1">AVERAGE(OFFSET($CX$3,0,0,'Données projet'!$E$13+1,1))-AVERAGE(OFFSET($H$3,0,0,'Données projet'!$E$13+1,1))</f>
        <v>676.29219382388692</v>
      </c>
      <c r="CZ169" s="59">
        <f t="shared" si="150"/>
        <v>298.25577221580448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60.222144221312334</v>
      </c>
      <c r="DG169" s="21">
        <f>EXP(-LN(2)/25)*DG168+(1-EXP(-LN(2)/25))/(LN(2)/25)*Calculateur!DB169*Calculateur!DD169*VLOOKUP('Données projet'!$B$13,Paramètres!$A$1:$I$89,3,0)*0.475*44/12</f>
        <v>23.268133551001831</v>
      </c>
      <c r="DH169" s="21">
        <f>EXP(-LN(2)/2)*DH168+(1-EXP(-LN(2)/2))/(LN(2)/2)*DB169*DE169*VLOOKUP('Données projet'!$B$13,Paramètres!$A$1:$I$89,3,0)*0.475*44/12</f>
        <v>2.6026329577094692E-6</v>
      </c>
      <c r="DI169" s="22">
        <f t="shared" si="175"/>
        <v>83.490280374947119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-8.8675733422860506E-14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197.51452239559433</v>
      </c>
      <c r="EP169" s="59">
        <f t="shared" si="154"/>
        <v>196.65166921588821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4.0368850718459948</v>
      </c>
      <c r="EW169" s="21">
        <f>EXP(-LN(2)/25)*EW168+(1-EXP(-LN(2)/25))/(LN(2)/25)*Calculateur!ER169*Calculateur!ET169*VLOOKUP('Données projet'!$B$15,Paramètres!$A$1:$I$89,3,0)*0.475*44/12</f>
        <v>1.8432338983938952</v>
      </c>
      <c r="EX169" s="21">
        <f>EXP(-LN(2)/2)*EX168+(1-EXP(-LN(2)/2))/(LN(2)/2)*ER169*EU169*VLOOKUP('Données projet'!$B$15,Paramètres!$A$1:$I$89,3,0)*0.475*44/12</f>
        <v>9.7838534787126599E-14</v>
      </c>
      <c r="EY169" s="22">
        <f t="shared" si="181"/>
        <v>5.8801189702399874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1341.0272050710876</v>
      </c>
      <c r="S170" s="59">
        <f ca="1">AVERAGE(OFFSET($R$3,0,0,'Données projet'!$E$9+1,1))-AVERAGE(OFFSET($H$3,0,0,'Données projet'!$E$9+1,1))</f>
        <v>635.71275911100679</v>
      </c>
      <c r="T170" s="59">
        <f t="shared" si="142"/>
        <v>281.7776857269169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9.6220000000000034</v>
      </c>
      <c r="AI170" s="13">
        <f>IF('Données projet'!$A$62&gt;35,AI169+AH170-AQ169,IF(A170&lt;'Données projet'!$A$62,$AF$205^A170,IF(A170='Données projet'!$A$62,'Données projet'!$B$62,AI169+AH170-AQ169)))</f>
        <v>543.16600000000119</v>
      </c>
      <c r="AJ170" s="13">
        <f>AI170*VLOOKUP('Données projet'!$B$10,Paramètres!$A$1:$I$89,3,0)*VLOOKUP('Données projet'!$B$10,Paramètres!$A$1:$I$89,5,0)</f>
        <v>550.77032400000132</v>
      </c>
      <c r="AK170" s="13">
        <f t="shared" si="164"/>
        <v>121.75130557491971</v>
      </c>
      <c r="AL170" s="20">
        <f t="shared" si="165"/>
        <v>1171.3085048429873</v>
      </c>
      <c r="AM170" s="59">
        <f t="shared" si="113"/>
        <v>1464.6418381763206</v>
      </c>
      <c r="AN170" s="59">
        <f ca="1">AVERAGE(OFFSET($AM$3,0,0,'Données projet'!$E$10+1,1))-AVERAGE(OFFSET($H$3,0,0,'Données projet'!$E$10+1,1))</f>
        <v>706.69239849991595</v>
      </c>
      <c r="AO170" s="59">
        <f t="shared" si="144"/>
        <v>310.59887275116529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61.89805815848181</v>
      </c>
      <c r="AV170" s="21">
        <f>EXP(-LN(2)/25)*AV169+(1-EXP(-LN(2)/25))/(LN(2)/25)*Calculateur!AQ170*Calculateur!AS170*VLOOKUP('Données projet'!$B$10,Paramètres!$A$1:$I$89,3,0)*0.475*44/12</f>
        <v>23.726955467791331</v>
      </c>
      <c r="AW170" s="21">
        <f>EXP(-LN(2)/2)*AW169+(1-EXP(-LN(2)/2))/(LN(2)/2)*AQ170*AT170*VLOOKUP('Données projet'!$B$10,Paramètres!$A$1:$I$89,3,0)*0.475*44/12</f>
        <v>1.9293880946264163E-6</v>
      </c>
      <c r="AX170" s="21">
        <f t="shared" si="166"/>
        <v>85.625015555661236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516.87676560000114</v>
      </c>
      <c r="BF170" s="13">
        <f t="shared" si="167"/>
        <v>115.10675936414104</v>
      </c>
      <c r="BG170" s="20">
        <f t="shared" si="168"/>
        <v>1100.7046393125474</v>
      </c>
      <c r="BH170" s="59">
        <f t="shared" si="116"/>
        <v>1394.0379726458807</v>
      </c>
      <c r="BI170" s="59">
        <f ca="1">AVERAGE(OFFSET($BH$3,0,0,'Données projet'!$E$11+1,1))-AVERAGE(OFFSET($H$3,0,0,'Données projet'!$E$11+1,1))</f>
        <v>666.1523645983184</v>
      </c>
      <c r="BJ170" s="59">
        <f t="shared" si="146"/>
        <v>294.13851344047526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58.088946887190595</v>
      </c>
      <c r="BQ170" s="21">
        <f>EXP(-LN(2)/25)*BQ169+(1-EXP(-LN(2)/25))/(LN(2)/25)*Calculateur!BL170*Calculateur!BN170*VLOOKUP('Données projet'!$B$11,Paramètres!$A$1:$I$89,3,0)*0.475*44/12</f>
        <v>22.266835131311858</v>
      </c>
      <c r="BR170" s="21">
        <f>EXP(-LN(2)/2)*BR169+(1-EXP(-LN(2)/2))/(LN(2)/2)*BL170*BO170*VLOOKUP('Données projet'!$B$11,Paramètres!$A$1:$I$89,3,0)*0.475*44/12</f>
        <v>1.8106565195724895E-6</v>
      </c>
      <c r="BS170" s="22">
        <f t="shared" si="169"/>
        <v>80.355783829158966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9.6220000000000034</v>
      </c>
      <c r="BY170" s="12">
        <f>IF('Données projet'!$A$114&gt;35,BY169+BX170-CG169,IF(A170&lt;'Données projet'!$A$114,$BV$205^A170,IF(A170='Données projet'!$A$114,'Données projet'!$B$114,BY169+BX170-CG169)))</f>
        <v>543.16600000000119</v>
      </c>
      <c r="BZ170" s="13">
        <f>BY170*VLOOKUP('Données projet'!$B$12,Paramètres!$A$1:$I$89,3,0)*VLOOKUP('Données projet'!$B$12,Paramètres!$A$1:$I$89,5,0)</f>
        <v>584.66388240000128</v>
      </c>
      <c r="CA170" s="13">
        <f t="shared" si="170"/>
        <v>128.34839483649139</v>
      </c>
      <c r="CB170" s="20">
        <f t="shared" si="171"/>
        <v>1241.8297161868911</v>
      </c>
      <c r="CC170" s="59">
        <f t="shared" si="119"/>
        <v>1535.1630495202244</v>
      </c>
      <c r="CD170" s="59">
        <f ca="1">AVERAGE(OFFSET($CC$3,0,0,'Données projet'!$E$12+1,1))-AVERAGE(OFFSET($H$3,0,0,'Données projet'!$E$12+1,1))</f>
        <v>747.18304127457918</v>
      </c>
      <c r="CE170" s="59">
        <f t="shared" si="148"/>
        <v>327.03701004966723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65.707169429772947</v>
      </c>
      <c r="CL170" s="21">
        <f>EXP(-LN(2)/25)*CL169+(1-EXP(-LN(2)/25))/(LN(2)/25)*Calculateur!CG170*Calculateur!CI170*VLOOKUP('Données projet'!$B$12,Paramètres!$A$1:$I$89,3,0)*0.475*44/12</f>
        <v>25.187075804270787</v>
      </c>
      <c r="CM170" s="21">
        <f>EXP(-LN(2)/2)*CM169+(1-EXP(-LN(2)/2))/(LN(2)/2)*CG170*CJ170*VLOOKUP('Données projet'!$B$12,Paramètres!$A$1:$I$89,3,0)*0.475*44/12</f>
        <v>2.0481196696803496E-6</v>
      </c>
      <c r="CN170" s="22">
        <f t="shared" si="172"/>
        <v>90.894247282163406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9.6220000000000034</v>
      </c>
      <c r="CT170" s="12">
        <f>IF('Données projet'!$A$140&gt;35,CT169+CS170-DB169,IF(A170&lt;'Données projet'!$A$140,$CQ$205^A170,IF(A170='Données projet'!$A$140,'Données projet'!$B$140,CT169+CS170-DB169)))</f>
        <v>543.16600000000119</v>
      </c>
      <c r="CU170" s="17">
        <f>CT170*VLOOKUP('Données projet'!$B$13,Paramètres!$A$1:$I$89,3,0)*VLOOKUP('Données projet'!$B$13,Paramètres!$A$1:$I$89,5,0)</f>
        <v>525.35015520000115</v>
      </c>
      <c r="CV170" s="13">
        <f t="shared" si="173"/>
        <v>116.77252788435995</v>
      </c>
      <c r="CW170" s="20">
        <f t="shared" si="174"/>
        <v>1118.3636730385954</v>
      </c>
      <c r="CX170" s="59">
        <f t="shared" si="122"/>
        <v>1411.6970063719286</v>
      </c>
      <c r="CY170" s="59">
        <f ca="1">AVERAGE(OFFSET($CX$3,0,0,'Données projet'!$E$13+1,1))-AVERAGE(OFFSET($H$3,0,0,'Données projet'!$E$13+1,1))</f>
        <v>676.29219382388692</v>
      </c>
      <c r="CZ170" s="59">
        <f t="shared" si="150"/>
        <v>298.25577221580448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59.041224705013406</v>
      </c>
      <c r="DG170" s="21">
        <f>EXP(-LN(2)/25)*DG169+(1-EXP(-LN(2)/25))/(LN(2)/25)*Calculateur!DB170*Calculateur!DD170*VLOOKUP('Données projet'!$B$13,Paramètres!$A$1:$I$89,3,0)*0.475*44/12</f>
        <v>22.631865215431723</v>
      </c>
      <c r="DH170" s="21">
        <f>EXP(-LN(2)/2)*DH169+(1-EXP(-LN(2)/2))/(LN(2)/2)*DB170*DE170*VLOOKUP('Données projet'!$B$13,Paramètres!$A$1:$I$89,3,0)*0.475*44/12</f>
        <v>1.8403394133359666E-6</v>
      </c>
      <c r="DI170" s="22">
        <f t="shared" si="175"/>
        <v>81.673091760784544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-8.8675733422860506E-14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197.51452239559433</v>
      </c>
      <c r="EP170" s="59">
        <f t="shared" si="154"/>
        <v>196.65166921588821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3.957724217843861</v>
      </c>
      <c r="EW170" s="21">
        <f>EXP(-LN(2)/25)*EW169+(1-EXP(-LN(2)/25))/(LN(2)/25)*Calculateur!ER170*Calculateur!ET170*VLOOKUP('Données projet'!$B$15,Paramètres!$A$1:$I$89,3,0)*0.475*44/12</f>
        <v>1.7928305705108563</v>
      </c>
      <c r="EX170" s="21">
        <f>EXP(-LN(2)/2)*EX169+(1-EXP(-LN(2)/2))/(LN(2)/2)*ER170*EU170*VLOOKUP('Données projet'!$B$15,Paramètres!$A$1:$I$89,3,0)*0.475*44/12</f>
        <v>6.9182291409333145E-14</v>
      </c>
      <c r="EY170" s="22">
        <f t="shared" si="181"/>
        <v>5.750554788354787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1359.1883039291858</v>
      </c>
      <c r="S171" s="59">
        <f ca="1">AVERAGE(OFFSET($R$3,0,0,'Données projet'!$E$9+1,1))-AVERAGE(OFFSET($H$3,0,0,'Données projet'!$E$9+1,1))</f>
        <v>635.71275911100679</v>
      </c>
      <c r="T171" s="59">
        <f t="shared" si="142"/>
        <v>281.7776857269169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9.6220000000000034</v>
      </c>
      <c r="AI171" s="13">
        <f>IF('Données projet'!$A$62&gt;35,AI170+AH171-AQ170,IF(A171&lt;'Données projet'!$A$62,$AF$205^A171,IF(A171='Données projet'!$A$62,'Données projet'!$B$62,AI170+AH171-AQ170)))</f>
        <v>552.78800000000115</v>
      </c>
      <c r="AJ171" s="13">
        <f>AI171*VLOOKUP('Données projet'!$B$10,Paramètres!$A$1:$I$89,3,0)*VLOOKUP('Données projet'!$B$10,Paramètres!$A$1:$I$89,5,0)</f>
        <v>560.52703200000121</v>
      </c>
      <c r="AK171" s="13">
        <f t="shared" si="164"/>
        <v>123.65508685225305</v>
      </c>
      <c r="AL171" s="20">
        <f t="shared" si="165"/>
        <v>1191.6171903343427</v>
      </c>
      <c r="AM171" s="59">
        <f t="shared" si="113"/>
        <v>1484.950523667676</v>
      </c>
      <c r="AN171" s="59">
        <f ca="1">AVERAGE(OFFSET($AM$3,0,0,'Données projet'!$E$10+1,1))-AVERAGE(OFFSET($H$3,0,0,'Données projet'!$E$10+1,1))</f>
        <v>706.69239849991595</v>
      </c>
      <c r="AO171" s="59">
        <f t="shared" si="144"/>
        <v>310.59887275116529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60.684274992081555</v>
      </c>
      <c r="AV171" s="21">
        <f>EXP(-LN(2)/25)*AV170+(1-EXP(-LN(2)/25))/(LN(2)/25)*Calculateur!AQ171*Calculateur!AS171*VLOOKUP('Données projet'!$B$10,Paramètres!$A$1:$I$89,3,0)*0.475*44/12</f>
        <v>23.078140622778218</v>
      </c>
      <c r="AW171" s="21">
        <f>EXP(-LN(2)/2)*AW170+(1-EXP(-LN(2)/2))/(LN(2)/2)*AQ171*AT171*VLOOKUP('Données projet'!$B$10,Paramètres!$A$1:$I$89,3,0)*0.475*44/12</f>
        <v>1.3642834052509312E-6</v>
      </c>
      <c r="AX171" s="21">
        <f t="shared" si="166"/>
        <v>83.762416979143183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526.03306080000118</v>
      </c>
      <c r="BF171" s="13">
        <f t="shared" si="167"/>
        <v>116.90664226754956</v>
      </c>
      <c r="BG171" s="20">
        <f t="shared" si="168"/>
        <v>1119.7866495093174</v>
      </c>
      <c r="BH171" s="59">
        <f t="shared" si="116"/>
        <v>1413.1199828426506</v>
      </c>
      <c r="BI171" s="59">
        <f ca="1">AVERAGE(OFFSET($BH$3,0,0,'Données projet'!$E$11+1,1))-AVERAGE(OFFSET($H$3,0,0,'Données projet'!$E$11+1,1))</f>
        <v>666.1523645983184</v>
      </c>
      <c r="BJ171" s="59">
        <f t="shared" si="146"/>
        <v>294.13851344047526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56.949858069491889</v>
      </c>
      <c r="BQ171" s="21">
        <f>EXP(-LN(2)/25)*BQ170+(1-EXP(-LN(2)/25))/(LN(2)/25)*Calculateur!BL171*Calculateur!BN171*VLOOKUP('Données projet'!$B$11,Paramètres!$A$1:$I$89,3,0)*0.475*44/12</f>
        <v>21.657947353684168</v>
      </c>
      <c r="BR171" s="21">
        <f>EXP(-LN(2)/2)*BR170+(1-EXP(-LN(2)/2))/(LN(2)/2)*BL171*BO171*VLOOKUP('Données projet'!$B$11,Paramètres!$A$1:$I$89,3,0)*0.475*44/12</f>
        <v>1.2803275033893401E-6</v>
      </c>
      <c r="BS171" s="22">
        <f t="shared" si="169"/>
        <v>78.60780670350357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9.6220000000000034</v>
      </c>
      <c r="BY171" s="12">
        <f>IF('Données projet'!$A$114&gt;35,BY170+BX171-CG170,IF(A171&lt;'Données projet'!$A$114,$BV$205^A171,IF(A171='Données projet'!$A$114,'Données projet'!$B$114,BY170+BX171-CG170)))</f>
        <v>552.78800000000115</v>
      </c>
      <c r="BZ171" s="13">
        <f>BY171*VLOOKUP('Données projet'!$B$12,Paramètres!$A$1:$I$89,3,0)*VLOOKUP('Données projet'!$B$12,Paramètres!$A$1:$I$89,5,0)</f>
        <v>595.02100320000113</v>
      </c>
      <c r="CA171" s="13">
        <f t="shared" si="170"/>
        <v>130.35533242054169</v>
      </c>
      <c r="CB171" s="20">
        <f t="shared" si="171"/>
        <v>1263.363784539112</v>
      </c>
      <c r="CC171" s="59">
        <f t="shared" si="119"/>
        <v>1556.6971178724452</v>
      </c>
      <c r="CD171" s="59">
        <f ca="1">AVERAGE(OFFSET($CC$3,0,0,'Données projet'!$E$12+1,1))-AVERAGE(OFFSET($H$3,0,0,'Données projet'!$E$12+1,1))</f>
        <v>747.18304127457918</v>
      </c>
      <c r="CE171" s="59">
        <f t="shared" si="148"/>
        <v>327.03701004966723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64.418691914671129</v>
      </c>
      <c r="CL171" s="21">
        <f>EXP(-LN(2)/25)*CL170+(1-EXP(-LN(2)/25))/(LN(2)/25)*Calculateur!CG171*Calculateur!CI171*VLOOKUP('Données projet'!$B$12,Paramètres!$A$1:$I$89,3,0)*0.475*44/12</f>
        <v>24.498333891872253</v>
      </c>
      <c r="CM171" s="21">
        <f>EXP(-LN(2)/2)*CM170+(1-EXP(-LN(2)/2))/(LN(2)/2)*CG171*CJ171*VLOOKUP('Données projet'!$B$12,Paramètres!$A$1:$I$89,3,0)*0.475*44/12</f>
        <v>1.448239307112527E-6</v>
      </c>
      <c r="CN171" s="22">
        <f t="shared" si="172"/>
        <v>88.917027254782681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9.6220000000000034</v>
      </c>
      <c r="CT171" s="12">
        <f>IF('Données projet'!$A$140&gt;35,CT170+CS171-DB170,IF(A171&lt;'Données projet'!$A$140,$CQ$205^A171,IF(A171='Données projet'!$A$140,'Données projet'!$B$140,CT170+CS171-DB170)))</f>
        <v>552.78800000000115</v>
      </c>
      <c r="CU171" s="17">
        <f>CT171*VLOOKUP('Données projet'!$B$13,Paramètres!$A$1:$I$89,3,0)*VLOOKUP('Données projet'!$B$13,Paramètres!$A$1:$I$89,5,0)</f>
        <v>534.65655360000108</v>
      </c>
      <c r="CV171" s="13">
        <f t="shared" si="173"/>
        <v>118.59845780965615</v>
      </c>
      <c r="CW171" s="20">
        <f t="shared" si="174"/>
        <v>1137.752478205153</v>
      </c>
      <c r="CX171" s="59">
        <f t="shared" si="122"/>
        <v>1431.0858115384863</v>
      </c>
      <c r="CY171" s="59">
        <f ca="1">AVERAGE(OFFSET($CX$3,0,0,'Données projet'!$E$13+1,1))-AVERAGE(OFFSET($H$3,0,0,'Données projet'!$E$13+1,1))</f>
        <v>676.29219382388692</v>
      </c>
      <c r="CZ171" s="59">
        <f t="shared" si="150"/>
        <v>298.25577221580448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57.883462300139314</v>
      </c>
      <c r="DG171" s="21">
        <f>EXP(-LN(2)/25)*DG170+(1-EXP(-LN(2)/25))/(LN(2)/25)*Calculateur!DB171*Calculateur!DD171*VLOOKUP('Données projet'!$B$13,Paramètres!$A$1:$I$89,3,0)*0.475*44/12</f>
        <v>22.012995670957679</v>
      </c>
      <c r="DH171" s="21">
        <f>EXP(-LN(2)/2)*DH170+(1-EXP(-LN(2)/2))/(LN(2)/2)*DB171*DE171*VLOOKUP('Données projet'!$B$13,Paramètres!$A$1:$I$89,3,0)*0.475*44/12</f>
        <v>1.3013164788547346E-6</v>
      </c>
      <c r="DI171" s="22">
        <f t="shared" si="175"/>
        <v>79.896459272413466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-8.8675733422860506E-14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197.51452239559433</v>
      </c>
      <c r="EP171" s="59">
        <f t="shared" si="154"/>
        <v>196.65166921588821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3.8801156599053557</v>
      </c>
      <c r="EW171" s="21">
        <f>EXP(-LN(2)/25)*EW170+(1-EXP(-LN(2)/25))/(LN(2)/25)*Calculateur!ER171*Calculateur!ET171*VLOOKUP('Données projet'!$B$15,Paramètres!$A$1:$I$89,3,0)*0.475*44/12</f>
        <v>1.7438055242793749</v>
      </c>
      <c r="EX171" s="21">
        <f>EXP(-LN(2)/2)*EX170+(1-EXP(-LN(2)/2))/(LN(2)/2)*ER171*EU171*VLOOKUP('Données projet'!$B$15,Paramètres!$A$1:$I$89,3,0)*0.475*44/12</f>
        <v>4.89192673935633E-14</v>
      </c>
      <c r="EY171" s="22">
        <f t="shared" si="181"/>
        <v>5.6239211841847796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1377.3433340288634</v>
      </c>
      <c r="S172" s="59">
        <f ca="1">AVERAGE(OFFSET($R$3,0,0,'Données projet'!$E$9+1,1))-AVERAGE(OFFSET($H$3,0,0,'Données projet'!$E$9+1,1))</f>
        <v>635.71275911100679</v>
      </c>
      <c r="T172" s="59">
        <f t="shared" si="142"/>
        <v>281.7776857269169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9.6220000000000034</v>
      </c>
      <c r="AI172" s="13">
        <f>IF('Données projet'!$A$62&gt;35,AI171+AH172-AQ171,IF(A172&lt;'Données projet'!$A$62,$AF$205^A172,IF(A172='Données projet'!$A$62,'Données projet'!$B$62,AI171+AH172-AQ171)))</f>
        <v>562.41000000000111</v>
      </c>
      <c r="AJ172" s="13">
        <f>AI172*VLOOKUP('Données projet'!$B$10,Paramètres!$A$1:$I$89,3,0)*VLOOKUP('Données projet'!$B$10,Paramètres!$A$1:$I$89,5,0)</f>
        <v>570.28374000000122</v>
      </c>
      <c r="AK172" s="13">
        <f t="shared" si="164"/>
        <v>125.55501458776541</v>
      </c>
      <c r="AL172" s="20">
        <f t="shared" si="165"/>
        <v>1211.9191642403603</v>
      </c>
      <c r="AM172" s="59">
        <f t="shared" si="113"/>
        <v>1505.2524975736935</v>
      </c>
      <c r="AN172" s="59">
        <f ca="1">AVERAGE(OFFSET($AM$3,0,0,'Données projet'!$E$10+1,1))-AVERAGE(OFFSET($H$3,0,0,'Données projet'!$E$10+1,1))</f>
        <v>706.69239849991595</v>
      </c>
      <c r="AO172" s="59">
        <f t="shared" si="144"/>
        <v>310.59887275116529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59.494293373239778</v>
      </c>
      <c r="AV172" s="21">
        <f>EXP(-LN(2)/25)*AV171+(1-EXP(-LN(2)/25))/(LN(2)/25)*Calculateur!AQ172*Calculateur!AS172*VLOOKUP('Données projet'!$B$10,Paramètres!$A$1:$I$89,3,0)*0.475*44/12</f>
        <v>22.447067653821676</v>
      </c>
      <c r="AW172" s="21">
        <f>EXP(-LN(2)/2)*AW171+(1-EXP(-LN(2)/2))/(LN(2)/2)*AQ172*AT172*VLOOKUP('Données projet'!$B$10,Paramètres!$A$1:$I$89,3,0)*0.475*44/12</f>
        <v>9.6469404731320817E-7</v>
      </c>
      <c r="AX172" s="21">
        <f t="shared" si="166"/>
        <v>81.9413619917555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535.189356000001</v>
      </c>
      <c r="BF172" s="13">
        <f t="shared" si="167"/>
        <v>118.70288193519161</v>
      </c>
      <c r="BG172" s="20">
        <f t="shared" si="168"/>
        <v>1138.8623144037938</v>
      </c>
      <c r="BH172" s="59">
        <f t="shared" si="116"/>
        <v>1432.195647737127</v>
      </c>
      <c r="BI172" s="59">
        <f ca="1">AVERAGE(OFFSET($BH$3,0,0,'Données projet'!$E$11+1,1))-AVERAGE(OFFSET($H$3,0,0,'Données projet'!$E$11+1,1))</f>
        <v>666.1523645983184</v>
      </c>
      <c r="BJ172" s="59">
        <f t="shared" si="146"/>
        <v>294.13851344047526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55.833106088732684</v>
      </c>
      <c r="BQ172" s="21">
        <f>EXP(-LN(2)/25)*BQ171+(1-EXP(-LN(2)/25))/(LN(2)/25)*Calculateur!BL172*Calculateur!BN172*VLOOKUP('Données projet'!$B$11,Paramètres!$A$1:$I$89,3,0)*0.475*44/12</f>
        <v>21.065709644355724</v>
      </c>
      <c r="BR172" s="21">
        <f>EXP(-LN(2)/2)*BR171+(1-EXP(-LN(2)/2))/(LN(2)/2)*BL172*BO172*VLOOKUP('Données projet'!$B$11,Paramètres!$A$1:$I$89,3,0)*0.475*44/12</f>
        <v>9.0532825978624484E-7</v>
      </c>
      <c r="BS172" s="22">
        <f t="shared" si="169"/>
        <v>76.898816638416676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9.6220000000000034</v>
      </c>
      <c r="BY172" s="12">
        <f>IF('Données projet'!$A$114&gt;35,BY171+BX172-CG171,IF(A172&lt;'Données projet'!$A$114,$BV$205^A172,IF(A172='Données projet'!$A$114,'Données projet'!$B$114,BY171+BX172-CG171)))</f>
        <v>562.41000000000111</v>
      </c>
      <c r="BZ172" s="13">
        <f>BY172*VLOOKUP('Données projet'!$B$12,Paramètres!$A$1:$I$89,3,0)*VLOOKUP('Données projet'!$B$12,Paramètres!$A$1:$I$89,5,0)</f>
        <v>605.37812400000121</v>
      </c>
      <c r="CA172" s="13">
        <f t="shared" si="170"/>
        <v>132.35820765877301</v>
      </c>
      <c r="CB172" s="20">
        <f t="shared" si="171"/>
        <v>1284.8907776390317</v>
      </c>
      <c r="CC172" s="59">
        <f t="shared" si="119"/>
        <v>1578.224110972365</v>
      </c>
      <c r="CD172" s="59">
        <f ca="1">AVERAGE(OFFSET($CC$3,0,0,'Données projet'!$E$12+1,1))-AVERAGE(OFFSET($H$3,0,0,'Données projet'!$E$12+1,1))</f>
        <v>747.18304127457918</v>
      </c>
      <c r="CE172" s="59">
        <f t="shared" si="148"/>
        <v>327.03701004966723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63.155480657746779</v>
      </c>
      <c r="CL172" s="21">
        <f>EXP(-LN(2)/25)*CL171+(1-EXP(-LN(2)/25))/(LN(2)/25)*Calculateur!CG172*Calculateur!CI172*VLOOKUP('Données projet'!$B$12,Paramètres!$A$1:$I$89,3,0)*0.475*44/12</f>
        <v>23.828425663287618</v>
      </c>
      <c r="CM172" s="21">
        <f>EXP(-LN(2)/2)*CM171+(1-EXP(-LN(2)/2))/(LN(2)/2)*CG172*CJ172*VLOOKUP('Données projet'!$B$12,Paramètres!$A$1:$I$89,3,0)*0.475*44/12</f>
        <v>1.0240598348401748E-6</v>
      </c>
      <c r="CN172" s="22">
        <f t="shared" si="172"/>
        <v>86.983907345094238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9.6220000000000034</v>
      </c>
      <c r="CT172" s="12">
        <f>IF('Données projet'!$A$140&gt;35,CT171+CS172-DB171,IF(A172&lt;'Données projet'!$A$140,$CQ$205^A172,IF(A172='Données projet'!$A$140,'Données projet'!$B$140,CT171+CS172-DB171)))</f>
        <v>562.41000000000111</v>
      </c>
      <c r="CU172" s="17">
        <f>CT172*VLOOKUP('Données projet'!$B$13,Paramètres!$A$1:$I$89,3,0)*VLOOKUP('Données projet'!$B$13,Paramètres!$A$1:$I$89,5,0)</f>
        <v>543.96295200000111</v>
      </c>
      <c r="CV172" s="13">
        <f t="shared" si="173"/>
        <v>120.42069177606618</v>
      </c>
      <c r="CW172" s="20">
        <f t="shared" si="174"/>
        <v>1157.134846243317</v>
      </c>
      <c r="CX172" s="59">
        <f t="shared" si="122"/>
        <v>1450.4681795766503</v>
      </c>
      <c r="CY172" s="59">
        <f ca="1">AVERAGE(OFFSET($CX$3,0,0,'Données projet'!$E$13+1,1))-AVERAGE(OFFSET($H$3,0,0,'Données projet'!$E$13+1,1))</f>
        <v>676.29219382388692</v>
      </c>
      <c r="CZ172" s="59">
        <f t="shared" si="150"/>
        <v>298.25577221580448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56.748402909859465</v>
      </c>
      <c r="DG172" s="21">
        <f>EXP(-LN(2)/25)*DG171+(1-EXP(-LN(2)/25))/(LN(2)/25)*Calculateur!DB172*Calculateur!DD172*VLOOKUP('Données projet'!$B$13,Paramètres!$A$1:$I$89,3,0)*0.475*44/12</f>
        <v>21.41104914672221</v>
      </c>
      <c r="DH172" s="21">
        <f>EXP(-LN(2)/2)*DH171+(1-EXP(-LN(2)/2))/(LN(2)/2)*DB172*DE172*VLOOKUP('Données projet'!$B$13,Paramètres!$A$1:$I$89,3,0)*0.475*44/12</f>
        <v>9.2016970666798332E-7</v>
      </c>
      <c r="DI172" s="22">
        <f t="shared" si="175"/>
        <v>78.159452976751382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-8.8675733422860506E-14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197.51452239559433</v>
      </c>
      <c r="EP172" s="59">
        <f t="shared" si="154"/>
        <v>196.65166921588821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3.8040289584514784</v>
      </c>
      <c r="EW172" s="21">
        <f>EXP(-LN(2)/25)*EW171+(1-EXP(-LN(2)/25))/(LN(2)/25)*Calculateur!ER172*Calculateur!ET172*VLOOKUP('Données projet'!$B$15,Paramètres!$A$1:$I$89,3,0)*0.475*44/12</f>
        <v>1.6961210705152083</v>
      </c>
      <c r="EX172" s="21">
        <f>EXP(-LN(2)/2)*EX171+(1-EXP(-LN(2)/2))/(LN(2)/2)*ER172*EU172*VLOOKUP('Données projet'!$B$15,Paramètres!$A$1:$I$89,3,0)*0.475*44/12</f>
        <v>3.4591145704666573E-14</v>
      </c>
      <c r="EY172" s="22">
        <f t="shared" si="181"/>
        <v>5.5001500289667211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1395.4924111791279</v>
      </c>
      <c r="S173" s="59">
        <f ca="1">AVERAGE(OFFSET($R$3,0,0,'Données projet'!$E$9+1,1))-AVERAGE(OFFSET($H$3,0,0,'Données projet'!$E$9+1,1))</f>
        <v>635.71275911100679</v>
      </c>
      <c r="T173" s="59">
        <f t="shared" si="142"/>
        <v>281.7776857269169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9.6220000000000034</v>
      </c>
      <c r="AI173" s="13">
        <f>IF('Données projet'!$A$62&gt;35,AI172+AH173-AQ172,IF(A173&lt;'Données projet'!$A$62,$AF$205^A173,IF(A173='Données projet'!$A$62,'Données projet'!$B$62,AI172+AH173-AQ172)))</f>
        <v>572.03200000000106</v>
      </c>
      <c r="AJ173" s="13">
        <f>AI173*VLOOKUP('Données projet'!$B$10,Paramètres!$A$1:$I$89,3,0)*VLOOKUP('Données projet'!$B$10,Paramètres!$A$1:$I$89,5,0)</f>
        <v>580.04044800000111</v>
      </c>
      <c r="AK173" s="13">
        <f t="shared" si="164"/>
        <v>127.45116231789045</v>
      </c>
      <c r="AL173" s="20">
        <f t="shared" si="165"/>
        <v>1232.2145546369943</v>
      </c>
      <c r="AM173" s="59">
        <f t="shared" si="113"/>
        <v>1525.5478879703276</v>
      </c>
      <c r="AN173" s="59">
        <f ca="1">AVERAGE(OFFSET($AM$3,0,0,'Données projet'!$E$10+1,1))-AVERAGE(OFFSET($H$3,0,0,'Données projet'!$E$10+1,1))</f>
        <v>706.69239849991595</v>
      </c>
      <c r="AO173" s="59">
        <f t="shared" si="144"/>
        <v>310.59887275116529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58.327646568126369</v>
      </c>
      <c r="AV173" s="21">
        <f>EXP(-LN(2)/25)*AV172+(1-EXP(-LN(2)/25))/(LN(2)/25)*Calculateur!AQ173*Calculateur!AS173*VLOOKUP('Données projet'!$B$10,Paramètres!$A$1:$I$89,3,0)*0.475*44/12</f>
        <v>21.833251408387937</v>
      </c>
      <c r="AW173" s="21">
        <f>EXP(-LN(2)/2)*AW172+(1-EXP(-LN(2)/2))/(LN(2)/2)*AQ173*AT173*VLOOKUP('Données projet'!$B$10,Paramètres!$A$1:$I$89,3,0)*0.475*44/12</f>
        <v>6.8214170262546562E-7</v>
      </c>
      <c r="AX173" s="21">
        <f t="shared" si="166"/>
        <v>80.160898658656009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544.34565120000104</v>
      </c>
      <c r="BF173" s="13">
        <f t="shared" si="167"/>
        <v>120.49554789026885</v>
      </c>
      <c r="BG173" s="20">
        <f t="shared" si="168"/>
        <v>1157.9317550822202</v>
      </c>
      <c r="BH173" s="59">
        <f t="shared" si="116"/>
        <v>1451.2650884155535</v>
      </c>
      <c r="BI173" s="59">
        <f ca="1">AVERAGE(OFFSET($BH$3,0,0,'Données projet'!$E$11+1,1))-AVERAGE(OFFSET($H$3,0,0,'Données projet'!$E$11+1,1))</f>
        <v>666.1523645983184</v>
      </c>
      <c r="BJ173" s="59">
        <f t="shared" si="146"/>
        <v>294.13851344047526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54.738252933164716</v>
      </c>
      <c r="BQ173" s="21">
        <f>EXP(-LN(2)/25)*BQ172+(1-EXP(-LN(2)/25))/(LN(2)/25)*Calculateur!BL173*Calculateur!BN173*VLOOKUP('Données projet'!$B$11,Paramètres!$A$1:$I$89,3,0)*0.475*44/12</f>
        <v>20.489666706333292</v>
      </c>
      <c r="BR173" s="21">
        <f>EXP(-LN(2)/2)*BR172+(1-EXP(-LN(2)/2))/(LN(2)/2)*BL173*BO173*VLOOKUP('Données projet'!$B$11,Paramètres!$A$1:$I$89,3,0)*0.475*44/12</f>
        <v>6.4016375169467007E-7</v>
      </c>
      <c r="BS173" s="22">
        <f t="shared" si="169"/>
        <v>75.22792027966176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9.6220000000000034</v>
      </c>
      <c r="BY173" s="12">
        <f>IF('Données projet'!$A$114&gt;35,BY172+BX173-CG172,IF(A173&lt;'Données projet'!$A$114,$BV$205^A173,IF(A173='Données projet'!$A$114,'Données projet'!$B$114,BY172+BX173-CG172)))</f>
        <v>572.03200000000106</v>
      </c>
      <c r="BZ173" s="13">
        <f>BY173*VLOOKUP('Données projet'!$B$12,Paramètres!$A$1:$I$89,3,0)*VLOOKUP('Données projet'!$B$12,Paramètres!$A$1:$I$89,5,0)</f>
        <v>615.73524480000117</v>
      </c>
      <c r="CA173" s="13">
        <f t="shared" si="170"/>
        <v>134.35709807218751</v>
      </c>
      <c r="CB173" s="20">
        <f t="shared" si="171"/>
        <v>1306.4108305023954</v>
      </c>
      <c r="CC173" s="59">
        <f t="shared" si="119"/>
        <v>1599.7441638357286</v>
      </c>
      <c r="CD173" s="59">
        <f ca="1">AVERAGE(OFFSET($CC$3,0,0,'Données projet'!$E$12+1,1))-AVERAGE(OFFSET($H$3,0,0,'Données projet'!$E$12+1,1))</f>
        <v>747.18304127457918</v>
      </c>
      <c r="CE173" s="59">
        <f t="shared" si="148"/>
        <v>327.03701004966723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61.917040203087929</v>
      </c>
      <c r="CL173" s="21">
        <f>EXP(-LN(2)/25)*CL172+(1-EXP(-LN(2)/25))/(LN(2)/25)*Calculateur!CG173*Calculateur!CI173*VLOOKUP('Données projet'!$B$12,Paramètres!$A$1:$I$89,3,0)*0.475*44/12</f>
        <v>23.176836110442572</v>
      </c>
      <c r="CM173" s="21">
        <f>EXP(-LN(2)/2)*CM172+(1-EXP(-LN(2)/2))/(LN(2)/2)*CG173*CJ173*VLOOKUP('Données projet'!$B$12,Paramètres!$A$1:$I$89,3,0)*0.475*44/12</f>
        <v>7.2411965355626349E-7</v>
      </c>
      <c r="CN173" s="22">
        <f t="shared" si="172"/>
        <v>85.093877037650159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9.6220000000000034</v>
      </c>
      <c r="CT173" s="12">
        <f>IF('Données projet'!$A$140&gt;35,CT172+CS173-DB172,IF(A173&lt;'Données projet'!$A$140,$CQ$205^A173,IF(A173='Données projet'!$A$140,'Données projet'!$B$140,CT172+CS173-DB172)))</f>
        <v>572.03200000000106</v>
      </c>
      <c r="CU173" s="17">
        <f>CT173*VLOOKUP('Données projet'!$B$13,Paramètres!$A$1:$I$89,3,0)*VLOOKUP('Données projet'!$B$13,Paramètres!$A$1:$I$89,5,0)</f>
        <v>553.26935040000103</v>
      </c>
      <c r="CV173" s="13">
        <f t="shared" si="173"/>
        <v>122.23930031289737</v>
      </c>
      <c r="CW173" s="20">
        <f t="shared" si="174"/>
        <v>1176.5108999916313</v>
      </c>
      <c r="CX173" s="59">
        <f t="shared" si="122"/>
        <v>1469.8442333249645</v>
      </c>
      <c r="CY173" s="59">
        <f ca="1">AVERAGE(OFFSET($CX$3,0,0,'Données projet'!$E$13+1,1))-AVERAGE(OFFSET($H$3,0,0,'Données projet'!$E$13+1,1))</f>
        <v>676.29219382388692</v>
      </c>
      <c r="CZ173" s="59">
        <f t="shared" si="150"/>
        <v>298.25577221580448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55.635601341905137</v>
      </c>
      <c r="DG173" s="21">
        <f>EXP(-LN(2)/25)*DG172+(1-EXP(-LN(2)/25))/(LN(2)/25)*Calculateur!DB173*Calculateur!DD173*VLOOKUP('Données projet'!$B$13,Paramètres!$A$1:$I$89,3,0)*0.475*44/12</f>
        <v>20.825562881846952</v>
      </c>
      <c r="DH173" s="21">
        <f>EXP(-LN(2)/2)*DH172+(1-EXP(-LN(2)/2))/(LN(2)/2)*DB173*DE173*VLOOKUP('Données projet'!$B$13,Paramètres!$A$1:$I$89,3,0)*0.475*44/12</f>
        <v>6.5065823942736729E-7</v>
      </c>
      <c r="DI173" s="22">
        <f t="shared" si="175"/>
        <v>76.461164874410329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-8.8675733422860506E-14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197.51452239559433</v>
      </c>
      <c r="EP173" s="59">
        <f t="shared" si="154"/>
        <v>196.65166921588821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3.7294342708048061</v>
      </c>
      <c r="EW173" s="21">
        <f>EXP(-LN(2)/25)*EW172+(1-EXP(-LN(2)/25))/(LN(2)/25)*Calculateur!ER173*Calculateur!ET173*VLOOKUP('Données projet'!$B$15,Paramètres!$A$1:$I$89,3,0)*0.475*44/12</f>
        <v>1.6497405506468394</v>
      </c>
      <c r="EX173" s="21">
        <f>EXP(-LN(2)/2)*EX172+(1-EXP(-LN(2)/2))/(LN(2)/2)*ER173*EU173*VLOOKUP('Données projet'!$B$15,Paramètres!$A$1:$I$89,3,0)*0.475*44/12</f>
        <v>2.445963369678165E-14</v>
      </c>
      <c r="EY173" s="22">
        <f t="shared" si="181"/>
        <v>5.3791748214516701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1413.6356470697069</v>
      </c>
      <c r="S174" s="59">
        <f ca="1">AVERAGE(OFFSET($R$3,0,0,'Données projet'!$E$9+1,1))-AVERAGE(OFFSET($H$3,0,0,'Données projet'!$E$9+1,1))</f>
        <v>635.71275911100679</v>
      </c>
      <c r="T174" s="59">
        <f t="shared" si="142"/>
        <v>281.7776857269169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9.6220000000000034</v>
      </c>
      <c r="AI174" s="13">
        <f>IF('Données projet'!$A$62&gt;35,AI173+AH174-AQ173,IF(A174&lt;'Données projet'!$A$62,$AF$205^A174,IF(A174='Données projet'!$A$62,'Données projet'!$B$62,AI173+AH174-AQ173)))</f>
        <v>581.65400000000102</v>
      </c>
      <c r="AJ174" s="13">
        <f>AI174*VLOOKUP('Données projet'!$B$10,Paramètres!$A$1:$I$89,3,0)*VLOOKUP('Données projet'!$B$10,Paramètres!$A$1:$I$89,5,0)</f>
        <v>589.79715600000111</v>
      </c>
      <c r="AK174" s="13">
        <f t="shared" si="164"/>
        <v>129.34360096340086</v>
      </c>
      <c r="AL174" s="20">
        <f t="shared" si="165"/>
        <v>1252.5034850445916</v>
      </c>
      <c r="AM174" s="59">
        <f t="shared" si="113"/>
        <v>1545.8368183779248</v>
      </c>
      <c r="AN174" s="59">
        <f ca="1">AVERAGE(OFFSET($AM$3,0,0,'Données projet'!$E$10+1,1))-AVERAGE(OFFSET($H$3,0,0,'Données projet'!$E$10+1,1))</f>
        <v>706.69239849991595</v>
      </c>
      <c r="AO174" s="59">
        <f t="shared" si="144"/>
        <v>310.59887275116529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57.183876995276947</v>
      </c>
      <c r="AV174" s="21">
        <f>EXP(-LN(2)/25)*AV173+(1-EXP(-LN(2)/25))/(LN(2)/25)*Calculateur!AQ174*Calculateur!AS174*VLOOKUP('Données projet'!$B$10,Paramètres!$A$1:$I$89,3,0)*0.475*44/12</f>
        <v>21.23622000046478</v>
      </c>
      <c r="AW174" s="21">
        <f>EXP(-LN(2)/2)*AW173+(1-EXP(-LN(2)/2))/(LN(2)/2)*AQ174*AT174*VLOOKUP('Données projet'!$B$10,Paramètres!$A$1:$I$89,3,0)*0.475*44/12</f>
        <v>4.8234702365660409E-7</v>
      </c>
      <c r="AX174" s="21">
        <f t="shared" si="166"/>
        <v>78.420097478088749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553.50194640000097</v>
      </c>
      <c r="BF174" s="13">
        <f t="shared" si="167"/>
        <v>122.28470718307115</v>
      </c>
      <c r="BG174" s="20">
        <f t="shared" si="168"/>
        <v>1176.9950883238507</v>
      </c>
      <c r="BH174" s="59">
        <f t="shared" si="116"/>
        <v>1470.328421657184</v>
      </c>
      <c r="BI174" s="59">
        <f ca="1">AVERAGE(OFFSET($BH$3,0,0,'Données projet'!$E$11+1,1))-AVERAGE(OFFSET($H$3,0,0,'Données projet'!$E$11+1,1))</f>
        <v>666.1523645983184</v>
      </c>
      <c r="BJ174" s="59">
        <f t="shared" si="146"/>
        <v>294.13851344047526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53.664869180182947</v>
      </c>
      <c r="BQ174" s="21">
        <f>EXP(-LN(2)/25)*BQ173+(1-EXP(-LN(2)/25))/(LN(2)/25)*Calculateur!BL174*Calculateur!BN174*VLOOKUP('Données projet'!$B$11,Paramètres!$A$1:$I$89,3,0)*0.475*44/12</f>
        <v>19.929375692743864</v>
      </c>
      <c r="BR174" s="21">
        <f>EXP(-LN(2)/2)*BR173+(1-EXP(-LN(2)/2))/(LN(2)/2)*BL174*BO174*VLOOKUP('Données projet'!$B$11,Paramètres!$A$1:$I$89,3,0)*0.475*44/12</f>
        <v>4.5266412989312242E-7</v>
      </c>
      <c r="BS174" s="22">
        <f t="shared" si="169"/>
        <v>73.594245325590933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9.6220000000000034</v>
      </c>
      <c r="BY174" s="12">
        <f>IF('Données projet'!$A$114&gt;35,BY173+BX174-CG173,IF(A174&lt;'Données projet'!$A$114,$BV$205^A174,IF(A174='Données projet'!$A$114,'Données projet'!$B$114,BY173+BX174-CG173)))</f>
        <v>581.65400000000102</v>
      </c>
      <c r="BZ174" s="13">
        <f>BY174*VLOOKUP('Données projet'!$B$12,Paramètres!$A$1:$I$89,3,0)*VLOOKUP('Données projet'!$B$12,Paramètres!$A$1:$I$89,5,0)</f>
        <v>626.09236560000102</v>
      </c>
      <c r="CA174" s="13">
        <f t="shared" si="170"/>
        <v>136.35207842439701</v>
      </c>
      <c r="CB174" s="20">
        <f t="shared" si="171"/>
        <v>1327.9240733424931</v>
      </c>
      <c r="CC174" s="59">
        <f t="shared" si="119"/>
        <v>1621.2574066758264</v>
      </c>
      <c r="CD174" s="59">
        <f ca="1">AVERAGE(OFFSET($CC$3,0,0,'Données projet'!$E$12+1,1))-AVERAGE(OFFSET($H$3,0,0,'Données projet'!$E$12+1,1))</f>
        <v>747.18304127457918</v>
      </c>
      <c r="CE174" s="59">
        <f t="shared" si="148"/>
        <v>327.03701004966723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60.702884810370847</v>
      </c>
      <c r="CL174" s="21">
        <f>EXP(-LN(2)/25)*CL173+(1-EXP(-LN(2)/25))/(LN(2)/25)*Calculateur!CG174*Calculateur!CI174*VLOOKUP('Données projet'!$B$12,Paramètres!$A$1:$I$89,3,0)*0.475*44/12</f>
        <v>22.543064308185681</v>
      </c>
      <c r="CM174" s="21">
        <f>EXP(-LN(2)/2)*CM173+(1-EXP(-LN(2)/2))/(LN(2)/2)*CG174*CJ174*VLOOKUP('Données projet'!$B$12,Paramètres!$A$1:$I$89,3,0)*0.475*44/12</f>
        <v>5.120299174200874E-7</v>
      </c>
      <c r="CN174" s="22">
        <f t="shared" si="172"/>
        <v>83.245949630586438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9.6220000000000034</v>
      </c>
      <c r="CT174" s="12">
        <f>IF('Données projet'!$A$140&gt;35,CT173+CS174-DB173,IF(A174&lt;'Données projet'!$A$140,$CQ$205^A174,IF(A174='Données projet'!$A$140,'Données projet'!$B$140,CT173+CS174-DB173)))</f>
        <v>581.65400000000102</v>
      </c>
      <c r="CU174" s="17">
        <f>CT174*VLOOKUP('Données projet'!$B$13,Paramètres!$A$1:$I$89,3,0)*VLOOKUP('Données projet'!$B$13,Paramètres!$A$1:$I$89,5,0)</f>
        <v>562.57574880000095</v>
      </c>
      <c r="CV174" s="13">
        <f t="shared" si="173"/>
        <v>124.05435144075845</v>
      </c>
      <c r="CW174" s="20">
        <f t="shared" si="174"/>
        <v>1195.8807579193226</v>
      </c>
      <c r="CX174" s="59">
        <f t="shared" si="122"/>
        <v>1489.2140912526559</v>
      </c>
      <c r="CY174" s="59">
        <f ca="1">AVERAGE(OFFSET($CX$3,0,0,'Données projet'!$E$13+1,1))-AVERAGE(OFFSET($H$3,0,0,'Données projet'!$E$13+1,1))</f>
        <v>676.29219382388692</v>
      </c>
      <c r="CZ174" s="59">
        <f t="shared" si="150"/>
        <v>298.25577221580448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54.544621133956454</v>
      </c>
      <c r="DG174" s="21">
        <f>EXP(-LN(2)/25)*DG173+(1-EXP(-LN(2)/25))/(LN(2)/25)*Calculateur!DB174*Calculateur!DD174*VLOOKUP('Données projet'!$B$13,Paramètres!$A$1:$I$89,3,0)*0.475*44/12</f>
        <v>20.256086769674091</v>
      </c>
      <c r="DH174" s="21">
        <f>EXP(-LN(2)/2)*DH173+(1-EXP(-LN(2)/2))/(LN(2)/2)*DB174*DE174*VLOOKUP('Données projet'!$B$13,Paramètres!$A$1:$I$89,3,0)*0.475*44/12</f>
        <v>4.6008485333399166E-7</v>
      </c>
      <c r="DI174" s="22">
        <f t="shared" si="175"/>
        <v>74.800708363715401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-8.8675733422860506E-14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197.51452239559433</v>
      </c>
      <c r="EP174" s="59">
        <f t="shared" si="154"/>
        <v>196.65166921588821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3.6563023394846179</v>
      </c>
      <c r="EW174" s="21">
        <f>EXP(-LN(2)/25)*EW173+(1-EXP(-LN(2)/25))/(LN(2)/25)*Calculateur!ER174*Calculateur!ET174*VLOOKUP('Données projet'!$B$15,Paramètres!$A$1:$I$89,3,0)*0.475*44/12</f>
        <v>1.6046283085333166</v>
      </c>
      <c r="EX174" s="21">
        <f>EXP(-LN(2)/2)*EX173+(1-EXP(-LN(2)/2))/(LN(2)/2)*ER174*EU174*VLOOKUP('Données projet'!$B$15,Paramètres!$A$1:$I$89,3,0)*0.475*44/12</f>
        <v>1.7295572852333286E-14</v>
      </c>
      <c r="EY174" s="22">
        <f t="shared" si="181"/>
        <v>5.2609306480179514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1431.7731494832431</v>
      </c>
      <c r="S175" s="59">
        <f ca="1">AVERAGE(OFFSET($R$3,0,0,'Données projet'!$E$9+1,1))-AVERAGE(OFFSET($H$3,0,0,'Données projet'!$E$9+1,1))</f>
        <v>635.71275911100679</v>
      </c>
      <c r="T175" s="59">
        <f t="shared" si="142"/>
        <v>281.7776857269169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9.6220000000000034</v>
      </c>
      <c r="AI175" s="13">
        <f>IF('Données projet'!$A$62&gt;35,AI174+AH175-AQ174,IF(A175&lt;'Données projet'!$A$62,$AF$205^A175,IF(A175='Données projet'!$A$62,'Données projet'!$B$62,AI174+AH175-AQ174)))</f>
        <v>591.27600000000098</v>
      </c>
      <c r="AJ175" s="13">
        <f>AI175*VLOOKUP('Données projet'!$B$10,Paramètres!$A$1:$I$89,3,0)*VLOOKUP('Données projet'!$B$10,Paramètres!$A$1:$I$89,5,0)</f>
        <v>599.553864000001</v>
      </c>
      <c r="AK175" s="13">
        <f t="shared" si="164"/>
        <v>131.23239896414796</v>
      </c>
      <c r="AL175" s="20">
        <f t="shared" si="165"/>
        <v>1272.7860746625593</v>
      </c>
      <c r="AM175" s="59">
        <f t="shared" si="113"/>
        <v>1566.1194079958925</v>
      </c>
      <c r="AN175" s="59">
        <f ca="1">AVERAGE(OFFSET($AM$3,0,0,'Données projet'!$E$10+1,1))-AVERAGE(OFFSET($H$3,0,0,'Données projet'!$E$10+1,1))</f>
        <v>706.69239849991595</v>
      </c>
      <c r="AO175" s="59">
        <f t="shared" si="144"/>
        <v>310.59887275116529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56.062536046120549</v>
      </c>
      <c r="AV175" s="21">
        <f>EXP(-LN(2)/25)*AV174+(1-EXP(-LN(2)/25))/(LN(2)/25)*Calculateur!AQ175*Calculateur!AS175*VLOOKUP('Données projet'!$B$10,Paramètres!$A$1:$I$89,3,0)*0.475*44/12</f>
        <v>20.655514447787798</v>
      </c>
      <c r="AW175" s="21">
        <f>EXP(-LN(2)/2)*AW174+(1-EXP(-LN(2)/2))/(LN(2)/2)*AQ175*AT175*VLOOKUP('Données projet'!$B$10,Paramètres!$A$1:$I$89,3,0)*0.475*44/12</f>
        <v>3.4107085131273281E-7</v>
      </c>
      <c r="AX175" s="21">
        <f t="shared" si="166"/>
        <v>76.718050834979195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562.65824160000091</v>
      </c>
      <c r="BF175" s="13">
        <f t="shared" si="167"/>
        <v>124.07042451836233</v>
      </c>
      <c r="BG175" s="20">
        <f t="shared" si="168"/>
        <v>1196.052426822816</v>
      </c>
      <c r="BH175" s="59">
        <f t="shared" si="116"/>
        <v>1489.3857601561492</v>
      </c>
      <c r="BI175" s="59">
        <f ca="1">AVERAGE(OFFSET($BH$3,0,0,'Données projet'!$E$11+1,1))-AVERAGE(OFFSET($H$3,0,0,'Données projet'!$E$11+1,1))</f>
        <v>666.1523645983184</v>
      </c>
      <c r="BJ175" s="59">
        <f t="shared" si="146"/>
        <v>294.13851344047526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52.612533827897707</v>
      </c>
      <c r="BQ175" s="21">
        <f>EXP(-LN(2)/25)*BQ174+(1-EXP(-LN(2)/25))/(LN(2)/25)*Calculateur!BL175*Calculateur!BN175*VLOOKUP('Données projet'!$B$11,Paramètres!$A$1:$I$89,3,0)*0.475*44/12</f>
        <v>19.384405866385464</v>
      </c>
      <c r="BR175" s="21">
        <f>EXP(-LN(2)/2)*BR174+(1-EXP(-LN(2)/2))/(LN(2)/2)*BL175*BO175*VLOOKUP('Données projet'!$B$11,Paramètres!$A$1:$I$89,3,0)*0.475*44/12</f>
        <v>3.2008187584733504E-7</v>
      </c>
      <c r="BS175" s="22">
        <f t="shared" si="169"/>
        <v>71.996940014365052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9.6220000000000034</v>
      </c>
      <c r="BY175" s="12">
        <f>IF('Données projet'!$A$114&gt;35,BY174+BX175-CG174,IF(A175&lt;'Données projet'!$A$114,$BV$205^A175,IF(A175='Données projet'!$A$114,'Données projet'!$B$114,BY174+BX175-CG174)))</f>
        <v>591.27600000000098</v>
      </c>
      <c r="BZ175" s="13">
        <f>BY175*VLOOKUP('Données projet'!$B$12,Paramètres!$A$1:$I$89,3,0)*VLOOKUP('Données projet'!$B$12,Paramètres!$A$1:$I$89,5,0)</f>
        <v>636.44948640000109</v>
      </c>
      <c r="CA175" s="13">
        <f t="shared" si="170"/>
        <v>138.34322086366288</v>
      </c>
      <c r="CB175" s="20">
        <f t="shared" si="171"/>
        <v>1349.4306318175479</v>
      </c>
      <c r="CC175" s="59">
        <f t="shared" si="119"/>
        <v>1642.7639651508812</v>
      </c>
      <c r="CD175" s="59">
        <f ca="1">AVERAGE(OFFSET($CC$3,0,0,'Données projet'!$E$12+1,1))-AVERAGE(OFFSET($H$3,0,0,'Données projet'!$E$12+1,1))</f>
        <v>747.18304127457918</v>
      </c>
      <c r="CE175" s="59">
        <f t="shared" si="148"/>
        <v>327.03701004966723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59.512538264343284</v>
      </c>
      <c r="CL175" s="21">
        <f>EXP(-LN(2)/25)*CL174+(1-EXP(-LN(2)/25))/(LN(2)/25)*Calculateur!CG175*Calculateur!CI175*VLOOKUP('Données projet'!$B$12,Paramètres!$A$1:$I$89,3,0)*0.475*44/12</f>
        <v>21.926623029190115</v>
      </c>
      <c r="CM175" s="21">
        <f>EXP(-LN(2)/2)*CM174+(1-EXP(-LN(2)/2))/(LN(2)/2)*CG175*CJ175*VLOOKUP('Données projet'!$B$12,Paramètres!$A$1:$I$89,3,0)*0.475*44/12</f>
        <v>3.6205982677813175E-7</v>
      </c>
      <c r="CN175" s="22">
        <f t="shared" si="172"/>
        <v>81.439161655593225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9.6220000000000034</v>
      </c>
      <c r="CT175" s="12">
        <f>IF('Données projet'!$A$140&gt;35,CT174+CS175-DB174,IF(A175&lt;'Données projet'!$A$140,$CQ$205^A175,IF(A175='Données projet'!$A$140,'Données projet'!$B$140,CT174+CS175-DB174)))</f>
        <v>591.27600000000098</v>
      </c>
      <c r="CU175" s="17">
        <f>CT175*VLOOKUP('Données projet'!$B$13,Paramètres!$A$1:$I$89,3,0)*VLOOKUP('Données projet'!$B$13,Paramètres!$A$1:$I$89,5,0)</f>
        <v>571.88214720000099</v>
      </c>
      <c r="CV175" s="13">
        <f t="shared" si="173"/>
        <v>125.86591080078884</v>
      </c>
      <c r="CW175" s="20">
        <f t="shared" si="174"/>
        <v>1215.2445343513755</v>
      </c>
      <c r="CX175" s="59">
        <f t="shared" si="122"/>
        <v>1508.5778676847087</v>
      </c>
      <c r="CY175" s="59">
        <f ca="1">AVERAGE(OFFSET($CX$3,0,0,'Données projet'!$E$13+1,1))-AVERAGE(OFFSET($H$3,0,0,'Données projet'!$E$13+1,1))</f>
        <v>676.29219382388692</v>
      </c>
      <c r="CZ175" s="59">
        <f t="shared" si="150"/>
        <v>298.25577221580448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53.475034382453423</v>
      </c>
      <c r="DG175" s="21">
        <f>EXP(-LN(2)/25)*DG174+(1-EXP(-LN(2)/25))/(LN(2)/25)*Calculateur!DB175*Calculateur!DD175*VLOOKUP('Données projet'!$B$13,Paramètres!$A$1:$I$89,3,0)*0.475*44/12</f>
        <v>19.702183011736047</v>
      </c>
      <c r="DH175" s="21">
        <f>EXP(-LN(2)/2)*DH174+(1-EXP(-LN(2)/2))/(LN(2)/2)*DB175*DE175*VLOOKUP('Données projet'!$B$13,Paramètres!$A$1:$I$89,3,0)*0.475*44/12</f>
        <v>3.2532911971368365E-7</v>
      </c>
      <c r="DI175" s="22">
        <f t="shared" si="175"/>
        <v>73.177217719518595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-8.8675733422860506E-14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197.51452239559433</v>
      </c>
      <c r="EP175" s="59">
        <f t="shared" si="154"/>
        <v>196.65166921588821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3.5846044807315454</v>
      </c>
      <c r="EW175" s="21">
        <f>EXP(-LN(2)/25)*EW174+(1-EXP(-LN(2)/25))/(LN(2)/25)*Calculateur!ER175*Calculateur!ET175*VLOOKUP('Données projet'!$B$15,Paramètres!$A$1:$I$89,3,0)*0.475*44/12</f>
        <v>1.5607496630527378</v>
      </c>
      <c r="EX175" s="21">
        <f>EXP(-LN(2)/2)*EX174+(1-EXP(-LN(2)/2))/(LN(2)/2)*ER175*EU175*VLOOKUP('Données projet'!$B$15,Paramètres!$A$1:$I$89,3,0)*0.475*44/12</f>
        <v>1.2229816848390825E-14</v>
      </c>
      <c r="EY175" s="22">
        <f t="shared" si="181"/>
        <v>5.1453541437842958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1449.9050224932876</v>
      </c>
      <c r="S176" s="59">
        <f ca="1">AVERAGE(OFFSET($R$3,0,0,'Données projet'!$E$9+1,1))-AVERAGE(OFFSET($H$3,0,0,'Données projet'!$E$9+1,1))</f>
        <v>635.71275911100679</v>
      </c>
      <c r="T176" s="59">
        <f t="shared" si="142"/>
        <v>281.7776857269169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9.6220000000000034</v>
      </c>
      <c r="AI176" s="13">
        <f>IF('Données projet'!$A$62&gt;35,AI175+AH176-AQ175,IF(A176&lt;'Données projet'!$A$62,$AF$205^A176,IF(A176='Données projet'!$A$62,'Données projet'!$B$62,AI175+AH176-AQ175)))</f>
        <v>600.89800000000093</v>
      </c>
      <c r="AJ176" s="13">
        <f>AI176*VLOOKUP('Données projet'!$B$10,Paramètres!$A$1:$I$89,3,0)*VLOOKUP('Données projet'!$B$10,Paramètres!$A$1:$I$89,5,0)</f>
        <v>609.310572000001</v>
      </c>
      <c r="AK176" s="13">
        <f t="shared" si="164"/>
        <v>133.11762240478217</v>
      </c>
      <c r="AL176" s="20">
        <f t="shared" si="165"/>
        <v>1293.0624385883307</v>
      </c>
      <c r="AM176" s="59">
        <f t="shared" si="113"/>
        <v>1586.3957719216639</v>
      </c>
      <c r="AN176" s="59">
        <f ca="1">AVERAGE(OFFSET($AM$3,0,0,'Données projet'!$E$10+1,1))-AVERAGE(OFFSET($H$3,0,0,'Données projet'!$E$10+1,1))</f>
        <v>706.69239849991595</v>
      </c>
      <c r="AO176" s="59">
        <f t="shared" si="144"/>
        <v>310.59887275116529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54.963183909026661</v>
      </c>
      <c r="AV176" s="21">
        <f>EXP(-LN(2)/25)*AV175+(1-EXP(-LN(2)/25))/(LN(2)/25)*Calculateur!AQ176*Calculateur!AS176*VLOOKUP('Données projet'!$B$10,Paramètres!$A$1:$I$89,3,0)*0.475*44/12</f>
        <v>20.090688318986746</v>
      </c>
      <c r="AW176" s="21">
        <f>EXP(-LN(2)/2)*AW175+(1-EXP(-LN(2)/2))/(LN(2)/2)*AQ176*AT176*VLOOKUP('Données projet'!$B$10,Paramètres!$A$1:$I$89,3,0)*0.475*44/12</f>
        <v>2.4117351182830204E-7</v>
      </c>
      <c r="AX176" s="21">
        <f t="shared" si="166"/>
        <v>75.053872469186913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571.81453680000084</v>
      </c>
      <c r="BF176" s="13">
        <f t="shared" si="167"/>
        <v>125.85276237424009</v>
      </c>
      <c r="BG176" s="20">
        <f t="shared" si="168"/>
        <v>1215.1038793951363</v>
      </c>
      <c r="BH176" s="59">
        <f t="shared" si="116"/>
        <v>1508.4372127284696</v>
      </c>
      <c r="BI176" s="59">
        <f ca="1">AVERAGE(OFFSET($BH$3,0,0,'Données projet'!$E$11+1,1))-AVERAGE(OFFSET($H$3,0,0,'Données projet'!$E$11+1,1))</f>
        <v>666.1523645983184</v>
      </c>
      <c r="BJ176" s="59">
        <f t="shared" si="146"/>
        <v>294.13851344047526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51.580834130009599</v>
      </c>
      <c r="BQ176" s="21">
        <f>EXP(-LN(2)/25)*BQ175+(1-EXP(-LN(2)/25))/(LN(2)/25)*Calculateur!BL176*Calculateur!BN176*VLOOKUP('Données projet'!$B$11,Paramètres!$A$1:$I$89,3,0)*0.475*44/12</f>
        <v>18.854338268587554</v>
      </c>
      <c r="BR176" s="21">
        <f>EXP(-LN(2)/2)*BR175+(1-EXP(-LN(2)/2))/(LN(2)/2)*BL176*BO176*VLOOKUP('Données projet'!$B$11,Paramètres!$A$1:$I$89,3,0)*0.475*44/12</f>
        <v>2.2633206494656121E-7</v>
      </c>
      <c r="BS176" s="22">
        <f t="shared" si="169"/>
        <v>70.435172624929223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9.6220000000000034</v>
      </c>
      <c r="BY176" s="12">
        <f>IF('Données projet'!$A$114&gt;35,BY175+BX176-CG175,IF(A176&lt;'Données projet'!$A$114,$BV$205^A176,IF(A176='Données projet'!$A$114,'Données projet'!$B$114,BY175+BX176-CG175)))</f>
        <v>600.89800000000093</v>
      </c>
      <c r="BZ176" s="13">
        <f>BY176*VLOOKUP('Données projet'!$B$12,Paramètres!$A$1:$I$89,3,0)*VLOOKUP('Données projet'!$B$12,Paramètres!$A$1:$I$89,5,0)</f>
        <v>646.80660720000094</v>
      </c>
      <c r="CA176" s="13">
        <f t="shared" si="170"/>
        <v>140.33059505542982</v>
      </c>
      <c r="CB176" s="20">
        <f t="shared" si="171"/>
        <v>1370.930627261542</v>
      </c>
      <c r="CC176" s="59">
        <f t="shared" si="119"/>
        <v>1664.2639605948752</v>
      </c>
      <c r="CD176" s="59">
        <f ca="1">AVERAGE(OFFSET($CC$3,0,0,'Données projet'!$E$12+1,1))-AVERAGE(OFFSET($H$3,0,0,'Données projet'!$E$12+1,1))</f>
        <v>747.18304127457918</v>
      </c>
      <c r="CE176" s="59">
        <f t="shared" si="148"/>
        <v>327.03701004966723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58.345533688043616</v>
      </c>
      <c r="CL176" s="21">
        <f>EXP(-LN(2)/25)*CL175+(1-EXP(-LN(2)/25))/(LN(2)/25)*Calculateur!CG176*Calculateur!CI176*VLOOKUP('Données projet'!$B$12,Paramètres!$A$1:$I$89,3,0)*0.475*44/12</f>
        <v>21.327038369385921</v>
      </c>
      <c r="CM176" s="21">
        <f>EXP(-LN(2)/2)*CM175+(1-EXP(-LN(2)/2))/(LN(2)/2)*CG176*CJ176*VLOOKUP('Données projet'!$B$12,Paramètres!$A$1:$I$89,3,0)*0.475*44/12</f>
        <v>2.560149587100437E-7</v>
      </c>
      <c r="CN176" s="22">
        <f t="shared" si="172"/>
        <v>79.672572313444491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9.6220000000000034</v>
      </c>
      <c r="CT176" s="12">
        <f>IF('Données projet'!$A$140&gt;35,CT175+CS176-DB175,IF(A176&lt;'Données projet'!$A$140,$CQ$205^A176,IF(A176='Données projet'!$A$140,'Données projet'!$B$140,CT175+CS176-DB175)))</f>
        <v>600.89800000000093</v>
      </c>
      <c r="CU176" s="17">
        <f>CT176*VLOOKUP('Données projet'!$B$13,Paramètres!$A$1:$I$89,3,0)*VLOOKUP('Données projet'!$B$13,Paramètres!$A$1:$I$89,5,0)</f>
        <v>581.18854560000091</v>
      </c>
      <c r="CV176" s="13">
        <f t="shared" si="173"/>
        <v>127.67404177523856</v>
      </c>
      <c r="CW176" s="20">
        <f t="shared" si="174"/>
        <v>1234.602339678542</v>
      </c>
      <c r="CX176" s="59">
        <f t="shared" si="122"/>
        <v>1527.9356730118752</v>
      </c>
      <c r="CY176" s="59">
        <f ca="1">AVERAGE(OFFSET($CX$3,0,0,'Données projet'!$E$13+1,1))-AVERAGE(OFFSET($H$3,0,0,'Données projet'!$E$13+1,1))</f>
        <v>676.29219382388692</v>
      </c>
      <c r="CZ176" s="59">
        <f t="shared" si="150"/>
        <v>298.25577221580448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52.426421574763864</v>
      </c>
      <c r="DG176" s="21">
        <f>EXP(-LN(2)/25)*DG175+(1-EXP(-LN(2)/25))/(LN(2)/25)*Calculateur!DB176*Calculateur!DD176*VLOOKUP('Données projet'!$B$13,Paramètres!$A$1:$I$89,3,0)*0.475*44/12</f>
        <v>19.16342578118735</v>
      </c>
      <c r="DH176" s="21">
        <f>EXP(-LN(2)/2)*DH175+(1-EXP(-LN(2)/2))/(LN(2)/2)*DB176*DE176*VLOOKUP('Données projet'!$B$13,Paramètres!$A$1:$I$89,3,0)*0.475*44/12</f>
        <v>2.3004242666699583E-7</v>
      </c>
      <c r="DI176" s="22">
        <f t="shared" si="175"/>
        <v>71.589847585993638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-8.8675733422860506E-14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197.51452239559433</v>
      </c>
      <c r="EP176" s="59">
        <f t="shared" si="154"/>
        <v>196.65166921588821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3.5143125732572447</v>
      </c>
      <c r="EW176" s="21">
        <f>EXP(-LN(2)/25)*EW175+(1-EXP(-LN(2)/25))/(LN(2)/25)*Calculateur!ER176*Calculateur!ET176*VLOOKUP('Données projet'!$B$15,Paramètres!$A$1:$I$89,3,0)*0.475*44/12</f>
        <v>1.518070881440303</v>
      </c>
      <c r="EX176" s="21">
        <f>EXP(-LN(2)/2)*EX175+(1-EXP(-LN(2)/2))/(LN(2)/2)*ER176*EU176*VLOOKUP('Données projet'!$B$15,Paramètres!$A$1:$I$89,3,0)*0.475*44/12</f>
        <v>8.6477864261666431E-15</v>
      </c>
      <c r="EY176" s="22">
        <f t="shared" si="181"/>
        <v>5.0323834546975563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1468.0313666492473</v>
      </c>
      <c r="S177" s="59">
        <f ca="1">AVERAGE(OFFSET($R$3,0,0,'Données projet'!$E$9+1,1))-AVERAGE(OFFSET($H$3,0,0,'Données projet'!$E$9+1,1))</f>
        <v>635.71275911100679</v>
      </c>
      <c r="T177" s="59">
        <f t="shared" si="142"/>
        <v>281.7776857269169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9.6220000000000034</v>
      </c>
      <c r="AH177" s="12">
        <f t="array" ref="AH177">INDEX(AG:AG,MIN(IF(ISNUMBER(AG177:AG373),ROW(AG177:AG373),"")))</f>
        <v>9.6220000000000034</v>
      </c>
      <c r="AI177" s="13">
        <f>IF('Données projet'!$A$62&gt;35,AI176+AH177-AQ176,IF(A177&lt;'Données projet'!$A$62,$AF$205^A177,IF(A177='Données projet'!$A$62,'Données projet'!$B$62,AI176+AH177-AQ176)))</f>
        <v>610.52000000000089</v>
      </c>
      <c r="AJ177" s="13">
        <f>AI177*VLOOKUP('Données projet'!$B$10,Paramètres!$A$1:$I$89,3,0)*VLOOKUP('Données projet'!$B$10,Paramètres!$A$1:$I$89,5,0)</f>
        <v>619.06728000000089</v>
      </c>
      <c r="AK177" s="13">
        <f t="shared" si="164"/>
        <v>134.99933513219278</v>
      </c>
      <c r="AL177" s="20">
        <f t="shared" si="165"/>
        <v>1313.332688021904</v>
      </c>
      <c r="AM177" s="59">
        <f t="shared" si="113"/>
        <v>1606.6660213552373</v>
      </c>
      <c r="AN177" s="59">
        <f ca="1">AVERAGE(OFFSET($AM$3,0,0,'Données projet'!$E$10+1,1))-AVERAGE(OFFSET($H$3,0,0,'Données projet'!$E$10+1,1))</f>
        <v>706.69239849991595</v>
      </c>
      <c r="AO177" s="59">
        <f t="shared" si="144"/>
        <v>310.59887275116529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240</v>
      </c>
      <c r="AR177" s="16">
        <f>IF(ISNA(VLOOKUP(A177,'Données projet'!$A$61:$I$81,5,0)),0%,VLOOKUP(A177,'Données projet'!$A$61:$I$81,5,0)*VLOOKUP('Données projet'!$B$10,Paramètres!$A$1:$I$89,7,0))</f>
        <v>0.19350000000000001</v>
      </c>
      <c r="AS177" s="16">
        <f>IF(ISNA(VLOOKUP(A177,'Données projet'!$A$61:$I$81,6,0)),0%,VLOOKUP(A177,'Données projet'!$A$61:$I$81,6,0)*VLOOKUP('Données projet'!$B$10,Paramètres!$A$1:$I$89,7,0))</f>
        <v>2.1500000000000002E-2</v>
      </c>
      <c r="AT177" s="16">
        <f>IF(ISNA(VLOOKUP(A177,'Données projet'!$A$61:$I$81,7,0)),0%,VLOOKUP(A177,'Données projet'!$A$61:$I$81,7,0))</f>
        <v>0.05</v>
      </c>
      <c r="AU177" s="21">
        <f>EXP(-LN(2)/35)*AU176+(1-EXP(-LN(2)/35))/(LN(2)/35)*AQ177*AR177*VLOOKUP('Données projet'!$B$10,Paramètres!$A$1:$I$89,3,0)*0.475*44/12</f>
        <v>105.94216644426993</v>
      </c>
      <c r="AV177" s="21">
        <f>EXP(-LN(2)/25)*AV176+(1-EXP(-LN(2)/25))/(LN(2)/25)*Calculateur!AQ177*Calculateur!AS177*VLOOKUP('Données projet'!$B$10,Paramètres!$A$1:$I$89,3,0)*0.475*44/12</f>
        <v>25.30261957716338</v>
      </c>
      <c r="AW177" s="21">
        <f>EXP(-LN(2)/2)*AW176+(1-EXP(-LN(2)/2))/(LN(2)/2)*AQ177*AT177*VLOOKUP('Données projet'!$B$10,Paramètres!$A$1:$I$89,3,0)*0.475*44/12</f>
        <v>11.480835667453793</v>
      </c>
      <c r="AX177" s="21">
        <f t="shared" si="166"/>
        <v>142.72562168888709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580.97083200000088</v>
      </c>
      <c r="BF177" s="13">
        <f t="shared" si="167"/>
        <v>127.63178111316617</v>
      </c>
      <c r="BG177" s="20">
        <f t="shared" si="168"/>
        <v>1234.1495511720993</v>
      </c>
      <c r="BH177" s="59">
        <f t="shared" si="116"/>
        <v>1527.4828845054326</v>
      </c>
      <c r="BI177" s="59">
        <f ca="1">AVERAGE(OFFSET($BH$3,0,0,'Données projet'!$E$11+1,1))-AVERAGE(OFFSET($H$3,0,0,'Données projet'!$E$11+1,1))</f>
        <v>666.1523645983184</v>
      </c>
      <c r="BJ177" s="59">
        <f t="shared" si="146"/>
        <v>294.13851344047526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99.422648509237902</v>
      </c>
      <c r="BQ177" s="21">
        <f>EXP(-LN(2)/25)*BQ176+(1-EXP(-LN(2)/25))/(LN(2)/25)*Calculateur!BL177*Calculateur!BN177*VLOOKUP('Données projet'!$B$11,Paramètres!$A$1:$I$89,3,0)*0.475*44/12</f>
        <v>23.745535295491777</v>
      </c>
      <c r="BR177" s="21">
        <f>EXP(-LN(2)/2)*BR176+(1-EXP(-LN(2)/2))/(LN(2)/2)*BL177*BO177*VLOOKUP('Données projet'!$B$11,Paramètres!$A$1:$I$89,3,0)*0.475*44/12</f>
        <v>10.77432270330279</v>
      </c>
      <c r="BS177" s="22">
        <f t="shared" si="169"/>
        <v>133.94250650803247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9.6220000000000034</v>
      </c>
      <c r="BX177" s="12">
        <f t="array" ref="BX177">INDEX(BW:BW,MIN(IF(ISNUMBER(BW177:BW373),ROW(BW177:BW373),"")))</f>
        <v>9.6220000000000034</v>
      </c>
      <c r="BY177" s="12">
        <f>IF('Données projet'!$A$114&gt;35,BY176+BX177-CG176,IF(A177&lt;'Données projet'!$A$114,$BV$205^A177,IF(A177='Données projet'!$A$114,'Données projet'!$B$114,BY176+BX177-CG176)))</f>
        <v>610.52000000000089</v>
      </c>
      <c r="BZ177" s="13">
        <f>BY177*VLOOKUP('Données projet'!$B$12,Paramètres!$A$1:$I$89,3,0)*VLOOKUP('Données projet'!$B$12,Paramètres!$A$1:$I$89,5,0)</f>
        <v>657.1637280000009</v>
      </c>
      <c r="CA177" s="13">
        <f t="shared" si="170"/>
        <v>142.31426830612801</v>
      </c>
      <c r="CB177" s="20">
        <f t="shared" si="171"/>
        <v>1392.4241768998411</v>
      </c>
      <c r="CC177" s="59">
        <f t="shared" si="119"/>
        <v>1685.7575102331743</v>
      </c>
      <c r="CD177" s="59">
        <f ca="1">AVERAGE(OFFSET($CC$3,0,0,'Données projet'!$E$12+1,1))-AVERAGE(OFFSET($H$3,0,0,'Données projet'!$E$12+1,1))</f>
        <v>747.18304127457918</v>
      </c>
      <c r="CE177" s="59">
        <f t="shared" si="148"/>
        <v>327.03701004966723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240</v>
      </c>
      <c r="CH177" s="16">
        <f>IF(ISNA(VLOOKUP(A177,'Données projet'!$A$113:$I$133,5,0)),0%,VLOOKUP(A177,'Données projet'!$A$113:$I$133,5,0)*VLOOKUP('Données projet'!$B$12,Paramètres!$A$1:$I$89,7,0))</f>
        <v>0.19350000000000001</v>
      </c>
      <c r="CI177" s="16">
        <f>IF(ISNA(VLOOKUP(A177,'Données projet'!$A$113:$I$133,6,0)),0%,VLOOKUP(A177,'Données projet'!$A$113:$I$133,6,0)*VLOOKUP('Données projet'!$B$12,Paramètres!$A$1:$I$89,7,0))</f>
        <v>2.1500000000000002E-2</v>
      </c>
      <c r="CJ177" s="16">
        <f>IF(ISNA(VLOOKUP(A177,'Données projet'!$A$113:$I$133,7,0)),0%,VLOOKUP(A177,'Données projet'!$A$113:$I$133,7,0))</f>
        <v>0.05</v>
      </c>
      <c r="CK177" s="21">
        <f>EXP(-LN(2)/35)*CK176+(1-EXP(-LN(2)/35))/(LN(2)/35)*CG177*CH177*VLOOKUP('Données projet'!$B$12,Paramètres!$A$1:$I$89,3,0)*0.475*44/12</f>
        <v>112.46168437930186</v>
      </c>
      <c r="CL177" s="21">
        <f>EXP(-LN(2)/25)*CL176+(1-EXP(-LN(2)/25))/(LN(2)/25)*Calculateur!CG177*Calculateur!CI177*VLOOKUP('Données projet'!$B$12,Paramètres!$A$1:$I$89,3,0)*0.475*44/12</f>
        <v>26.859703858834965</v>
      </c>
      <c r="CM177" s="21">
        <f>EXP(-LN(2)/2)*CM176+(1-EXP(-LN(2)/2))/(LN(2)/2)*CG177*CJ177*VLOOKUP('Données projet'!$B$12,Paramètres!$A$1:$I$89,3,0)*0.475*44/12</f>
        <v>12.187348631604792</v>
      </c>
      <c r="CN177" s="22">
        <f t="shared" si="172"/>
        <v>151.5087368697416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9.6220000000000034</v>
      </c>
      <c r="CS177" s="12">
        <f t="array" ref="CS177">INDEX(CR:CR,MIN(IF(ISNUMBER(CR177:CR373),ROW(CR177:CR373),"")))</f>
        <v>9.6220000000000034</v>
      </c>
      <c r="CT177" s="12">
        <f>IF('Données projet'!$A$140&gt;35,CT176+CS177-DB176,IF(A177&lt;'Données projet'!$A$140,$CQ$205^A177,IF(A177='Données projet'!$A$140,'Données projet'!$B$140,CT176+CS177-DB176)))</f>
        <v>610.52000000000089</v>
      </c>
      <c r="CU177" s="17">
        <f>CT177*VLOOKUP('Données projet'!$B$13,Paramètres!$A$1:$I$89,3,0)*VLOOKUP('Données projet'!$B$13,Paramètres!$A$1:$I$89,5,0)</f>
        <v>590.49494400000094</v>
      </c>
      <c r="CV177" s="13">
        <f t="shared" si="173"/>
        <v>129.47880560010532</v>
      </c>
      <c r="CW177" s="20">
        <f t="shared" si="174"/>
        <v>1253.9542805535184</v>
      </c>
      <c r="CX177" s="59">
        <f t="shared" si="122"/>
        <v>1547.2876138868517</v>
      </c>
      <c r="CY177" s="59">
        <f ca="1">AVERAGE(OFFSET($CX$3,0,0,'Données projet'!$E$13+1,1))-AVERAGE(OFFSET($H$3,0,0,'Données projet'!$E$13+1,1))</f>
        <v>676.29219382388692</v>
      </c>
      <c r="CZ177" s="59">
        <f t="shared" si="150"/>
        <v>298.25577221580448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240</v>
      </c>
      <c r="DC177" s="16">
        <f>IF(ISNA(VLOOKUP(A177,'Données projet'!$A$139:$I$159,5,0)),0%,VLOOKUP(A177,'Données projet'!$A$139:$I$159,5,0)*VLOOKUP('Données projet'!$B$13,Paramètres!$A$1:$I$89,7,0))</f>
        <v>0.19350000000000001</v>
      </c>
      <c r="DD177" s="16">
        <f>IF(ISNA(VLOOKUP(A177,'Données projet'!$A$139:$I$159,6,0)),0%,VLOOKUP(A177,'Données projet'!$A$139:$I$159,6,0)*VLOOKUP('Données projet'!$B$13,Paramètres!$A$1:$I$89,7,0))</f>
        <v>2.1500000000000002E-2</v>
      </c>
      <c r="DE177" s="16">
        <f>IF(ISNA(VLOOKUP(A177,'Données projet'!$A$139:$I$159,7,0)),0%,VLOOKUP(A177,'Données projet'!$A$139:$I$159,7,0))</f>
        <v>0.05</v>
      </c>
      <c r="DF177" s="21">
        <f>EXP(-LN(2)/35)*DF176+(1-EXP(-LN(2)/35))/(LN(2)/35)*DB177*DC177*VLOOKUP('Données projet'!$B$13,Paramètres!$A$1:$I$89,3,0)*0.475*44/12</f>
        <v>101.05252799299591</v>
      </c>
      <c r="DG177" s="21">
        <f>EXP(-LN(2)/25)*DG176+(1-EXP(-LN(2)/25))/(LN(2)/25)*Calculateur!DB177*Calculateur!DD177*VLOOKUP('Données projet'!$B$13,Paramètres!$A$1:$I$89,3,0)*0.475*44/12</f>
        <v>24.134806365909679</v>
      </c>
      <c r="DH177" s="21">
        <f>EXP(-LN(2)/2)*DH176+(1-EXP(-LN(2)/2))/(LN(2)/2)*DB177*DE177*VLOOKUP('Données projet'!$B$13,Paramètres!$A$1:$I$89,3,0)*0.475*44/12</f>
        <v>10.950950944340539</v>
      </c>
      <c r="DI177" s="22">
        <f t="shared" si="175"/>
        <v>136.13828530324614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-8.8675733422860506E-14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197.51452239559433</v>
      </c>
      <c r="EP177" s="59">
        <f t="shared" si="154"/>
        <v>196.65166921588821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3.4453990472146847</v>
      </c>
      <c r="EW177" s="21">
        <f>EXP(-LN(2)/25)*EW176+(1-EXP(-LN(2)/25))/(LN(2)/25)*Calculateur!ER177*Calculateur!ET177*VLOOKUP('Données projet'!$B$15,Paramètres!$A$1:$I$89,3,0)*0.475*44/12</f>
        <v>1.4765591533554399</v>
      </c>
      <c r="EX177" s="21">
        <f>EXP(-LN(2)/2)*EX176+(1-EXP(-LN(2)/2))/(LN(2)/2)*ER177*EU177*VLOOKUP('Données projet'!$B$15,Paramètres!$A$1:$I$89,3,0)*0.475*44/12</f>
        <v>6.1149084241954125E-15</v>
      </c>
      <c r="EY177" s="22">
        <f t="shared" si="181"/>
        <v>4.9219582005701303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1025.6477076892454</v>
      </c>
      <c r="S178" s="59">
        <f ca="1">AVERAGE(OFFSET($R$3,0,0,'Données projet'!$E$9+1,1))-AVERAGE(OFFSET($H$3,0,0,'Données projet'!$E$9+1,1))</f>
        <v>635.71275911100679</v>
      </c>
      <c r="T178" s="59">
        <f t="shared" si="142"/>
        <v>281.7776857269169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6.140000000000005</v>
      </c>
      <c r="AI178" s="13">
        <f>IF('Données projet'!$A$62&gt;35,AI177+AH178-AQ177,IF(A178&lt;'Données projet'!$A$62,$AF$205^A178,IF(A178='Données projet'!$A$62,'Données projet'!$B$62,AI177+AH178-AQ177)))</f>
        <v>376.66000000000088</v>
      </c>
      <c r="AJ178" s="13">
        <f>AI178*VLOOKUP('Données projet'!$B$10,Paramètres!$A$1:$I$89,3,0)*VLOOKUP('Données projet'!$B$10,Paramètres!$A$1:$I$89,5,0)</f>
        <v>381.93324000000092</v>
      </c>
      <c r="AK178" s="13">
        <f t="shared" si="164"/>
        <v>88.104112736615605</v>
      </c>
      <c r="AL178" s="20">
        <f t="shared" si="165"/>
        <v>818.64838934960699</v>
      </c>
      <c r="AM178" s="59">
        <f t="shared" si="113"/>
        <v>1111.9817226829402</v>
      </c>
      <c r="AN178" s="59">
        <f ca="1">AVERAGE(OFFSET($AM$3,0,0,'Données projet'!$E$10+1,1))-AVERAGE(OFFSET($H$3,0,0,'Données projet'!$E$10+1,1))</f>
        <v>706.69239849991595</v>
      </c>
      <c r="AO178" s="59">
        <f t="shared" si="144"/>
        <v>310.59887275116529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103.8647051786388</v>
      </c>
      <c r="AV178" s="21">
        <f>EXP(-LN(2)/25)*AV177+(1-EXP(-LN(2)/25))/(LN(2)/25)*Calculateur!AQ178*Calculateur!AS178*VLOOKUP('Données projet'!$B$10,Paramètres!$A$1:$I$89,3,0)*0.475*44/12</f>
        <v>24.610718114218916</v>
      </c>
      <c r="AW178" s="21">
        <f>EXP(-LN(2)/2)*AW177+(1-EXP(-LN(2)/2))/(LN(2)/2)*AQ178*AT178*VLOOKUP('Données projet'!$B$10,Paramètres!$A$1:$I$89,3,0)*0.475*44/12</f>
        <v>8.1181767541449599</v>
      </c>
      <c r="AX178" s="21">
        <f t="shared" si="166"/>
        <v>136.5936000470027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358.42965600000082</v>
      </c>
      <c r="BF178" s="13">
        <f t="shared" si="167"/>
        <v>83.295853427413832</v>
      </c>
      <c r="BG178" s="20">
        <f t="shared" si="168"/>
        <v>769.33859558608037</v>
      </c>
      <c r="BH178" s="59">
        <f t="shared" si="116"/>
        <v>1062.6719289194136</v>
      </c>
      <c r="BI178" s="59">
        <f ca="1">AVERAGE(OFFSET($BH$3,0,0,'Données projet'!$E$11+1,1))-AVERAGE(OFFSET($H$3,0,0,'Données projet'!$E$11+1,1))</f>
        <v>666.1523645983184</v>
      </c>
      <c r="BJ178" s="59">
        <f t="shared" si="146"/>
        <v>294.13851344047526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97.473031013799456</v>
      </c>
      <c r="BQ178" s="21">
        <f>EXP(-LN(2)/25)*BQ177+(1-EXP(-LN(2)/25))/(LN(2)/25)*Calculateur!BL178*Calculateur!BN178*VLOOKUP('Données projet'!$B$11,Paramètres!$A$1:$I$89,3,0)*0.475*44/12</f>
        <v>23.096212384113123</v>
      </c>
      <c r="BR178" s="21">
        <f>EXP(-LN(2)/2)*BR177+(1-EXP(-LN(2)/2))/(LN(2)/2)*BL178*BO178*VLOOKUP('Données projet'!$B$11,Paramètres!$A$1:$I$89,3,0)*0.475*44/12</f>
        <v>7.6185966461975774</v>
      </c>
      <c r="BS178" s="22">
        <f t="shared" si="169"/>
        <v>128.18784004411015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6.140000000000005</v>
      </c>
      <c r="BY178" s="12">
        <f>IF('Données projet'!$A$114&gt;35,BY177+BX178-CG177,IF(A178&lt;'Données projet'!$A$114,$BV$205^A178,IF(A178='Données projet'!$A$114,'Données projet'!$B$114,BY177+BX178-CG177)))</f>
        <v>376.66000000000088</v>
      </c>
      <c r="BZ178" s="13">
        <f>BY178*VLOOKUP('Données projet'!$B$12,Paramètres!$A$1:$I$89,3,0)*VLOOKUP('Données projet'!$B$12,Paramètres!$A$1:$I$89,5,0)</f>
        <v>405.43682400000091</v>
      </c>
      <c r="CA178" s="13">
        <f t="shared" si="170"/>
        <v>92.878030299884514</v>
      </c>
      <c r="CB178" s="20">
        <f t="shared" si="171"/>
        <v>867.89837123896712</v>
      </c>
      <c r="CC178" s="59">
        <f t="shared" si="119"/>
        <v>1161.2317045723005</v>
      </c>
      <c r="CD178" s="59">
        <f ca="1">AVERAGE(OFFSET($CC$3,0,0,'Données projet'!$E$12+1,1))-AVERAGE(OFFSET($H$3,0,0,'Données projet'!$E$12+1,1))</f>
        <v>747.18304127457918</v>
      </c>
      <c r="CE178" s="59">
        <f t="shared" si="148"/>
        <v>327.03701004966723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110.25637934347805</v>
      </c>
      <c r="CL178" s="21">
        <f>EXP(-LN(2)/25)*CL177+(1-EXP(-LN(2)/25))/(LN(2)/25)*Calculateur!CG178*Calculateur!CI178*VLOOKUP('Données projet'!$B$12,Paramètres!$A$1:$I$89,3,0)*0.475*44/12</f>
        <v>26.125223844324687</v>
      </c>
      <c r="CM178" s="21">
        <f>EXP(-LN(2)/2)*CM177+(1-EXP(-LN(2)/2))/(LN(2)/2)*CG178*CJ178*VLOOKUP('Données projet'!$B$12,Paramètres!$A$1:$I$89,3,0)*0.475*44/12</f>
        <v>8.6177568620923388</v>
      </c>
      <c r="CN178" s="22">
        <f t="shared" si="172"/>
        <v>144.99936004989507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6.140000000000005</v>
      </c>
      <c r="CT178" s="12">
        <f>IF('Données projet'!$A$140&gt;35,CT177+CS178-DB177,IF(A178&lt;'Données projet'!$A$140,$CQ$205^A178,IF(A178='Données projet'!$A$140,'Données projet'!$B$140,CT177+CS178-DB177)))</f>
        <v>376.66000000000088</v>
      </c>
      <c r="CU178" s="17">
        <f>CT178*VLOOKUP('Données projet'!$B$13,Paramètres!$A$1:$I$89,3,0)*VLOOKUP('Données projet'!$B$13,Paramètres!$A$1:$I$89,5,0)</f>
        <v>364.30555200000089</v>
      </c>
      <c r="CV178" s="13">
        <f t="shared" si="173"/>
        <v>84.501270131616337</v>
      </c>
      <c r="CW178" s="20">
        <f t="shared" si="174"/>
        <v>781.6718818792333</v>
      </c>
      <c r="CX178" s="59">
        <f t="shared" si="122"/>
        <v>1075.0052152125666</v>
      </c>
      <c r="CY178" s="59">
        <f ca="1">AVERAGE(OFFSET($CX$3,0,0,'Données projet'!$E$13+1,1))-AVERAGE(OFFSET($H$3,0,0,'Données projet'!$E$13+1,1))</f>
        <v>676.29219382388692</v>
      </c>
      <c r="CZ178" s="59">
        <f t="shared" si="150"/>
        <v>298.25577221580448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99.070949555009292</v>
      </c>
      <c r="DG178" s="21">
        <f>EXP(-LN(2)/25)*DG177+(1-EXP(-LN(2)/25))/(LN(2)/25)*Calculateur!DB178*Calculateur!DD178*VLOOKUP('Données projet'!$B$13,Paramètres!$A$1:$I$89,3,0)*0.475*44/12</f>
        <v>23.474838816639572</v>
      </c>
      <c r="DH178" s="21">
        <f>EXP(-LN(2)/2)*DH177+(1-EXP(-LN(2)/2))/(LN(2)/2)*DB178*DE178*VLOOKUP('Données projet'!$B$13,Paramètres!$A$1:$I$89,3,0)*0.475*44/12</f>
        <v>7.7434916731844217</v>
      </c>
      <c r="DI178" s="22">
        <f t="shared" si="175"/>
        <v>130.28928004483328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-8.8675733422860506E-14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197.51452239559433</v>
      </c>
      <c r="EP178" s="59">
        <f t="shared" si="154"/>
        <v>196.65166921588821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3.3778368733847191</v>
      </c>
      <c r="EW178" s="21">
        <f>EXP(-LN(2)/25)*EW177+(1-EXP(-LN(2)/25))/(LN(2)/25)*Calculateur!ER178*Calculateur!ET178*VLOOKUP('Données projet'!$B$15,Paramètres!$A$1:$I$89,3,0)*0.475*44/12</f>
        <v>1.4361825656580642</v>
      </c>
      <c r="EX178" s="21">
        <f>EXP(-LN(2)/2)*EX177+(1-EXP(-LN(2)/2))/(LN(2)/2)*ER178*EU178*VLOOKUP('Données projet'!$B$15,Paramètres!$A$1:$I$89,3,0)*0.475*44/12</f>
        <v>4.3238932130833216E-15</v>
      </c>
      <c r="EY178" s="22">
        <f t="shared" si="181"/>
        <v>4.814019439042788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1037.3201327854931</v>
      </c>
      <c r="S179" s="59">
        <f ca="1">AVERAGE(OFFSET($R$3,0,0,'Données projet'!$E$9+1,1))-AVERAGE(OFFSET($H$3,0,0,'Données projet'!$E$9+1,1))</f>
        <v>635.71275911100679</v>
      </c>
      <c r="T179" s="59">
        <f t="shared" si="142"/>
        <v>281.7776857269169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6.140000000000005</v>
      </c>
      <c r="AI179" s="13">
        <f>IF('Données projet'!$A$62&gt;35,AI178+AH179-AQ178,IF(A179&lt;'Données projet'!$A$62,$AF$205^A179,IF(A179='Données projet'!$A$62,'Données projet'!$B$62,AI178+AH179-AQ178)))</f>
        <v>382.80000000000086</v>
      </c>
      <c r="AJ179" s="13">
        <f>AI179*VLOOKUP('Données projet'!$B$10,Paramètres!$A$1:$I$89,3,0)*VLOOKUP('Données projet'!$B$10,Paramètres!$A$1:$I$89,5,0)</f>
        <v>388.15920000000091</v>
      </c>
      <c r="AK179" s="13">
        <f t="shared" si="164"/>
        <v>89.37194271202209</v>
      </c>
      <c r="AL179" s="20">
        <f t="shared" si="165"/>
        <v>831.70007355677342</v>
      </c>
      <c r="AM179" s="59">
        <f t="shared" si="113"/>
        <v>1125.0334068901068</v>
      </c>
      <c r="AN179" s="59">
        <f ca="1">AVERAGE(OFFSET($AM$3,0,0,'Données projet'!$E$10+1,1))-AVERAGE(OFFSET($H$3,0,0,'Données projet'!$E$10+1,1))</f>
        <v>706.69239849991595</v>
      </c>
      <c r="AO179" s="59">
        <f t="shared" si="144"/>
        <v>310.59887275116529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101.82798166130044</v>
      </c>
      <c r="AV179" s="21">
        <f>EXP(-LN(2)/25)*AV178+(1-EXP(-LN(2)/25))/(LN(2)/25)*Calculateur!AQ179*Calculateur!AS179*VLOOKUP('Données projet'!$B$10,Paramètres!$A$1:$I$89,3,0)*0.475*44/12</f>
        <v>23.937736733164183</v>
      </c>
      <c r="AW179" s="21">
        <f>EXP(-LN(2)/2)*AW178+(1-EXP(-LN(2)/2))/(LN(2)/2)*AQ179*AT179*VLOOKUP('Données projet'!$B$10,Paramètres!$A$1:$I$89,3,0)*0.475*44/12</f>
        <v>5.7404178337268972</v>
      </c>
      <c r="AX179" s="21">
        <f t="shared" si="166"/>
        <v>131.50613622819154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364.27248000000083</v>
      </c>
      <c r="BF179" s="13">
        <f t="shared" si="167"/>
        <v>84.494491907753954</v>
      </c>
      <c r="BG179" s="20">
        <f t="shared" si="168"/>
        <v>781.60247607267286</v>
      </c>
      <c r="BH179" s="59">
        <f t="shared" si="116"/>
        <v>1074.9358094060062</v>
      </c>
      <c r="BI179" s="59">
        <f ca="1">AVERAGE(OFFSET($BH$3,0,0,'Données projet'!$E$11+1,1))-AVERAGE(OFFSET($H$3,0,0,'Données projet'!$E$11+1,1))</f>
        <v>666.1523645983184</v>
      </c>
      <c r="BJ179" s="59">
        <f t="shared" si="146"/>
        <v>294.13851344047526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95.561644328297305</v>
      </c>
      <c r="BQ179" s="21">
        <f>EXP(-LN(2)/25)*BQ178+(1-EXP(-LN(2)/25))/(LN(2)/25)*Calculateur!BL179*Calculateur!BN179*VLOOKUP('Données projet'!$B$11,Paramètres!$A$1:$I$89,3,0)*0.475*44/12</f>
        <v>22.464645241892526</v>
      </c>
      <c r="BR179" s="21">
        <f>EXP(-LN(2)/2)*BR178+(1-EXP(-LN(2)/2))/(LN(2)/2)*BL179*BO179*VLOOKUP('Données projet'!$B$11,Paramètres!$A$1:$I$89,3,0)*0.475*44/12</f>
        <v>5.3871613516513959</v>
      </c>
      <c r="BS179" s="22">
        <f t="shared" si="169"/>
        <v>123.41345092184123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6.140000000000005</v>
      </c>
      <c r="BY179" s="12">
        <f>IF('Données projet'!$A$114&gt;35,BY178+BX179-CG178,IF(A179&lt;'Données projet'!$A$114,$BV$205^A179,IF(A179='Données projet'!$A$114,'Données projet'!$B$114,BY178+BX179-CG178)))</f>
        <v>382.80000000000086</v>
      </c>
      <c r="BZ179" s="13">
        <f>BY179*VLOOKUP('Données projet'!$B$12,Paramètres!$A$1:$I$89,3,0)*VLOOKUP('Données projet'!$B$12,Paramètres!$A$1:$I$89,5,0)</f>
        <v>412.04592000000093</v>
      </c>
      <c r="CA179" s="13">
        <f t="shared" si="170"/>
        <v>94.214557588036485</v>
      </c>
      <c r="CB179" s="20">
        <f t="shared" si="171"/>
        <v>881.73699846583179</v>
      </c>
      <c r="CC179" s="59">
        <f t="shared" si="119"/>
        <v>1175.0703317991652</v>
      </c>
      <c r="CD179" s="59">
        <f ca="1">AVERAGE(OFFSET($CC$3,0,0,'Données projet'!$E$12+1,1))-AVERAGE(OFFSET($H$3,0,0,'Données projet'!$E$12+1,1))</f>
        <v>747.18304127457918</v>
      </c>
      <c r="CE179" s="59">
        <f t="shared" si="148"/>
        <v>327.03701004966723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108.09431899430348</v>
      </c>
      <c r="CL179" s="21">
        <f>EXP(-LN(2)/25)*CL178+(1-EXP(-LN(2)/25))/(LN(2)/25)*Calculateur!CG179*Calculateur!CI179*VLOOKUP('Données projet'!$B$12,Paramètres!$A$1:$I$89,3,0)*0.475*44/12</f>
        <v>25.410828224435818</v>
      </c>
      <c r="CM179" s="21">
        <f>EXP(-LN(2)/2)*CM178+(1-EXP(-LN(2)/2))/(LN(2)/2)*CG179*CJ179*VLOOKUP('Données projet'!$B$12,Paramètres!$A$1:$I$89,3,0)*0.475*44/12</f>
        <v>6.0936743158023958</v>
      </c>
      <c r="CN179" s="22">
        <f t="shared" si="172"/>
        <v>139.59882153454168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6.140000000000005</v>
      </c>
      <c r="CT179" s="12">
        <f>IF('Données projet'!$A$140&gt;35,CT178+CS179-DB178,IF(A179&lt;'Données projet'!$A$140,$CQ$205^A179,IF(A179='Données projet'!$A$140,'Données projet'!$B$140,CT178+CS179-DB178)))</f>
        <v>382.80000000000086</v>
      </c>
      <c r="CU179" s="17">
        <f>CT179*VLOOKUP('Données projet'!$B$13,Paramètres!$A$1:$I$89,3,0)*VLOOKUP('Données projet'!$B$13,Paramètres!$A$1:$I$89,5,0)</f>
        <v>370.24416000000082</v>
      </c>
      <c r="CV179" s="13">
        <f t="shared" si="173"/>
        <v>85.717254719680312</v>
      </c>
      <c r="CW179" s="20">
        <f t="shared" si="174"/>
        <v>794.13279730344448</v>
      </c>
      <c r="CX179" s="59">
        <f t="shared" si="122"/>
        <v>1087.4661306367777</v>
      </c>
      <c r="CY179" s="59">
        <f ca="1">AVERAGE(OFFSET($CX$3,0,0,'Données projet'!$E$13+1,1))-AVERAGE(OFFSET($H$3,0,0,'Données projet'!$E$13+1,1))</f>
        <v>676.29219382388692</v>
      </c>
      <c r="CZ179" s="59">
        <f t="shared" si="150"/>
        <v>298.25577221580448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97.128228661548093</v>
      </c>
      <c r="DG179" s="21">
        <f>EXP(-LN(2)/25)*DG178+(1-EXP(-LN(2)/25))/(LN(2)/25)*Calculateur!DB179*Calculateur!DD179*VLOOKUP('Données projet'!$B$13,Paramètres!$A$1:$I$89,3,0)*0.475*44/12</f>
        <v>22.832918114710441</v>
      </c>
      <c r="DH179" s="21">
        <f>EXP(-LN(2)/2)*DH178+(1-EXP(-LN(2)/2))/(LN(2)/2)*DB179*DE179*VLOOKUP('Données projet'!$B$13,Paramètres!$A$1:$I$89,3,0)*0.475*44/12</f>
        <v>5.4754754721702703</v>
      </c>
      <c r="DI179" s="22">
        <f t="shared" si="175"/>
        <v>125.4366222484288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-8.8675733422860506E-14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197.51452239559433</v>
      </c>
      <c r="EP179" s="59">
        <f t="shared" si="154"/>
        <v>196.65166921588821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3.3115995525747022</v>
      </c>
      <c r="EW179" s="21">
        <f>EXP(-LN(2)/25)*EW178+(1-EXP(-LN(2)/25))/(LN(2)/25)*Calculateur!ER179*Calculateur!ET179*VLOOKUP('Données projet'!$B$15,Paramètres!$A$1:$I$89,3,0)*0.475*44/12</f>
        <v>1.3969100778745858</v>
      </c>
      <c r="EX179" s="21">
        <f>EXP(-LN(2)/2)*EX178+(1-EXP(-LN(2)/2))/(LN(2)/2)*ER179*EU179*VLOOKUP('Données projet'!$B$15,Paramètres!$A$1:$I$89,3,0)*0.475*44/12</f>
        <v>3.0574542120977062E-15</v>
      </c>
      <c r="EY179" s="22">
        <f t="shared" si="181"/>
        <v>4.7085096304492904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1048.9888334111897</v>
      </c>
      <c r="S180" s="59">
        <f ca="1">AVERAGE(OFFSET($R$3,0,0,'Données projet'!$E$9+1,1))-AVERAGE(OFFSET($H$3,0,0,'Données projet'!$E$9+1,1))</f>
        <v>635.71275911100679</v>
      </c>
      <c r="T180" s="59">
        <f t="shared" si="142"/>
        <v>281.7776857269169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6.140000000000005</v>
      </c>
      <c r="AH180" s="12">
        <f t="array" ref="AH180">INDEX(AG:AG,MIN(IF(ISNUMBER(AG180:AG376),ROW(AG180:AG376),"")))</f>
        <v>6.140000000000005</v>
      </c>
      <c r="AI180" s="13">
        <f>IF('Données projet'!$A$62&gt;35,AI179+AH180-AQ179,IF(A180&lt;'Données projet'!$A$62,$AF$205^A180,IF(A180='Données projet'!$A$62,'Données projet'!$B$62,AI179+AH180-AQ179)))</f>
        <v>388.94000000000085</v>
      </c>
      <c r="AJ180" s="13">
        <f>AI180*VLOOKUP('Données projet'!$B$10,Paramètres!$A$1:$I$89,3,0)*VLOOKUP('Données projet'!$B$10,Paramètres!$A$1:$I$89,5,0)</f>
        <v>394.38516000000089</v>
      </c>
      <c r="AK180" s="13">
        <f t="shared" si="164"/>
        <v>90.637407722136572</v>
      </c>
      <c r="AL180" s="20">
        <f t="shared" si="165"/>
        <v>844.74763878272279</v>
      </c>
      <c r="AM180" s="59">
        <f t="shared" si="113"/>
        <v>1138.080972116056</v>
      </c>
      <c r="AN180" s="59">
        <f ca="1">AVERAGE(OFFSET($AM$3,0,0,'Données projet'!$E$10+1,1))-AVERAGE(OFFSET($H$3,0,0,'Données projet'!$E$10+1,1))</f>
        <v>706.69239849991595</v>
      </c>
      <c r="AO180" s="59">
        <f t="shared" si="144"/>
        <v>310.59887275116529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128.66000000000003</v>
      </c>
      <c r="AR180" s="16">
        <f>IF(ISNA(VLOOKUP(A180,'Données projet'!$A$61:$I$81,5,0)),0%,VLOOKUP(A180,'Données projet'!$A$61:$I$81,5,0)*VLOOKUP('Données projet'!$B$10,Paramètres!$A$1:$I$89,7,0))</f>
        <v>0.19350000000000001</v>
      </c>
      <c r="AS180" s="16">
        <f>IF(ISNA(VLOOKUP(A180,'Données projet'!$A$61:$I$81,6,0)),0%,VLOOKUP(A180,'Données projet'!$A$61:$I$81,6,0)*VLOOKUP('Données projet'!$B$10,Paramètres!$A$1:$I$89,7,0))</f>
        <v>2.1500000000000002E-2</v>
      </c>
      <c r="AT180" s="16">
        <f>IF(ISNA(VLOOKUP(A180,'Données projet'!$A$61:$I$81,7,0)),0%,VLOOKUP(A180,'Données projet'!$A$61:$I$81,7,0))</f>
        <v>0.05</v>
      </c>
      <c r="AU180" s="21">
        <f>EXP(-LN(2)/35)*AU179+(1-EXP(-LN(2)/35))/(LN(2)/35)*AQ180*AR180*VLOOKUP('Données projet'!$B$10,Paramètres!$A$1:$I$89,3,0)*0.475*44/12</f>
        <v>127.73796761205486</v>
      </c>
      <c r="AV180" s="21">
        <f>EXP(-LN(2)/25)*AV179+(1-EXP(-LN(2)/25))/(LN(2)/25)*Calculateur!AQ180*Calculateur!AS180*VLOOKUP('Données projet'!$B$10,Paramètres!$A$1:$I$89,3,0)*0.475*44/12</f>
        <v>26.371701504829375</v>
      </c>
      <c r="AW180" s="21">
        <f>EXP(-LN(2)/2)*AW179+(1-EXP(-LN(2)/2))/(LN(2)/2)*AQ180*AT180*VLOOKUP('Données projet'!$B$10,Paramètres!$A$1:$I$89,3,0)*0.475*44/12</f>
        <v>10.213772939712136</v>
      </c>
      <c r="AX180" s="21">
        <f t="shared" si="166"/>
        <v>164.32344205659635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370.11530400000083</v>
      </c>
      <c r="BF180" s="13">
        <f t="shared" si="167"/>
        <v>85.690894490175097</v>
      </c>
      <c r="BG180" s="20">
        <f t="shared" si="168"/>
        <v>793.86246237038984</v>
      </c>
      <c r="BH180" s="59">
        <f t="shared" si="116"/>
        <v>1087.1957957037232</v>
      </c>
      <c r="BI180" s="59">
        <f ca="1">AVERAGE(OFFSET($BH$3,0,0,'Données projet'!$E$11+1,1))-AVERAGE(OFFSET($H$3,0,0,'Données projet'!$E$11+1,1))</f>
        <v>666.1523645983184</v>
      </c>
      <c r="BJ180" s="59">
        <f t="shared" si="146"/>
        <v>294.13851344047526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119.87716960515914</v>
      </c>
      <c r="BQ180" s="21">
        <f>EXP(-LN(2)/25)*BQ179+(1-EXP(-LN(2)/25))/(LN(2)/25)*Calculateur!BL180*Calculateur!BN180*VLOOKUP('Données projet'!$B$11,Paramètres!$A$1:$I$89,3,0)*0.475*44/12</f>
        <v>24.748827566070627</v>
      </c>
      <c r="BR180" s="21">
        <f>EXP(-LN(2)/2)*BR179+(1-EXP(-LN(2)/2))/(LN(2)/2)*BL180*BO180*VLOOKUP('Données projet'!$B$11,Paramètres!$A$1:$I$89,3,0)*0.475*44/12</f>
        <v>9.5852330664990806</v>
      </c>
      <c r="BS180" s="22">
        <f t="shared" si="169"/>
        <v>154.21123023772884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6.140000000000005</v>
      </c>
      <c r="BX180" s="12">
        <f t="array" ref="BX180">INDEX(BW:BW,MIN(IF(ISNUMBER(BW180:BW376),ROW(BW180:BW376),"")))</f>
        <v>6.140000000000005</v>
      </c>
      <c r="BY180" s="12">
        <f>IF('Données projet'!$A$114&gt;35,BY179+BX180-CG179,IF(A180&lt;'Données projet'!$A$114,$BV$205^A180,IF(A180='Données projet'!$A$114,'Données projet'!$B$114,BY179+BX180-CG179)))</f>
        <v>388.94000000000085</v>
      </c>
      <c r="BZ180" s="13">
        <f>BY180*VLOOKUP('Données projet'!$B$12,Paramètres!$A$1:$I$89,3,0)*VLOOKUP('Données projet'!$B$12,Paramètres!$A$1:$I$89,5,0)</f>
        <v>418.6550160000009</v>
      </c>
      <c r="CA180" s="13">
        <f t="shared" si="170"/>
        <v>95.548591765353734</v>
      </c>
      <c r="CB180" s="20">
        <f t="shared" si="171"/>
        <v>895.57128352465918</v>
      </c>
      <c r="CC180" s="59">
        <f t="shared" si="119"/>
        <v>1188.9046168579926</v>
      </c>
      <c r="CD180" s="59">
        <f ca="1">AVERAGE(OFFSET($CC$3,0,0,'Données projet'!$E$12+1,1))-AVERAGE(OFFSET($H$3,0,0,'Données projet'!$E$12+1,1))</f>
        <v>747.18304127457918</v>
      </c>
      <c r="CE180" s="59">
        <f t="shared" si="148"/>
        <v>327.03701004966723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128.66000000000003</v>
      </c>
      <c r="CH180" s="16">
        <f>IF(ISNA(VLOOKUP(A180,'Données projet'!$A$113:$I$133,5,0)),0%,VLOOKUP(A180,'Données projet'!$A$113:$I$133,5,0)*VLOOKUP('Données projet'!$B$12,Paramètres!$A$1:$I$89,7,0))</f>
        <v>0.19350000000000001</v>
      </c>
      <c r="CI180" s="16">
        <f>IF(ISNA(VLOOKUP(A180,'Données projet'!$A$113:$I$133,6,0)),0%,VLOOKUP(A180,'Données projet'!$A$113:$I$133,6,0)*VLOOKUP('Données projet'!$B$12,Paramètres!$A$1:$I$89,7,0))</f>
        <v>2.1500000000000002E-2</v>
      </c>
      <c r="CJ180" s="16">
        <f>IF(ISNA(VLOOKUP(A180,'Données projet'!$A$113:$I$133,7,0)),0%,VLOOKUP(A180,'Données projet'!$A$113:$I$133,7,0))</f>
        <v>0.05</v>
      </c>
      <c r="CK180" s="21">
        <f>EXP(-LN(2)/35)*CK179+(1-EXP(-LN(2)/35))/(LN(2)/35)*CG180*CH180*VLOOKUP('Données projet'!$B$12,Paramètres!$A$1:$I$89,3,0)*0.475*44/12</f>
        <v>135.59876561895049</v>
      </c>
      <c r="CL180" s="21">
        <f>EXP(-LN(2)/25)*CL179+(1-EXP(-LN(2)/25))/(LN(2)/25)*Calculateur!CG180*Calculateur!CI180*VLOOKUP('Données projet'!$B$12,Paramètres!$A$1:$I$89,3,0)*0.475*44/12</f>
        <v>27.994575443588097</v>
      </c>
      <c r="CM180" s="21">
        <f>EXP(-LN(2)/2)*CM179+(1-EXP(-LN(2)/2))/(LN(2)/2)*CG180*CJ180*VLOOKUP('Données projet'!$B$12,Paramètres!$A$1:$I$89,3,0)*0.475*44/12</f>
        <v>10.842312812925186</v>
      </c>
      <c r="CN180" s="22">
        <f t="shared" si="172"/>
        <v>174.4356538754638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6.140000000000005</v>
      </c>
      <c r="CS180" s="12">
        <f t="array" ref="CS180">INDEX(CR:CR,MIN(IF(ISNUMBER(CR180:CR376),ROW(CR180:CR376),"")))</f>
        <v>6.140000000000005</v>
      </c>
      <c r="CT180" s="12">
        <f>IF('Données projet'!$A$140&gt;35,CT179+CS180-DB179,IF(A180&lt;'Données projet'!$A$140,$CQ$205^A180,IF(A180='Données projet'!$A$140,'Données projet'!$B$140,CT179+CS180-DB179)))</f>
        <v>388.94000000000085</v>
      </c>
      <c r="CU180" s="17">
        <f>CT180*VLOOKUP('Données projet'!$B$13,Paramètres!$A$1:$I$89,3,0)*VLOOKUP('Données projet'!$B$13,Paramètres!$A$1:$I$89,5,0)</f>
        <v>376.18276800000086</v>
      </c>
      <c r="CV180" s="13">
        <f t="shared" si="173"/>
        <v>86.930971053008207</v>
      </c>
      <c r="CW180" s="20">
        <f t="shared" si="174"/>
        <v>806.58976218399073</v>
      </c>
      <c r="CX180" s="59">
        <f t="shared" si="122"/>
        <v>1099.9230955173241</v>
      </c>
      <c r="CY180" s="59">
        <f ca="1">AVERAGE(OFFSET($CX$3,0,0,'Données projet'!$E$13+1,1))-AVERAGE(OFFSET($H$3,0,0,'Données projet'!$E$13+1,1))</f>
        <v>676.29219382388692</v>
      </c>
      <c r="CZ180" s="59">
        <f t="shared" si="150"/>
        <v>298.25577221580448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128.66000000000003</v>
      </c>
      <c r="DC180" s="16">
        <f>IF(ISNA(VLOOKUP(A180,'Données projet'!$A$139:$I$159,5,0)),0%,VLOOKUP(A180,'Données projet'!$A$139:$I$159,5,0)*VLOOKUP('Données projet'!$B$13,Paramètres!$A$1:$I$89,7,0))</f>
        <v>0.19350000000000001</v>
      </c>
      <c r="DD180" s="16">
        <f>IF(ISNA(VLOOKUP(A180,'Données projet'!$A$139:$I$159,6,0)),0%,VLOOKUP(A180,'Données projet'!$A$139:$I$159,6,0)*VLOOKUP('Données projet'!$B$13,Paramètres!$A$1:$I$89,7,0))</f>
        <v>2.1500000000000002E-2</v>
      </c>
      <c r="DE180" s="16">
        <f>IF(ISNA(VLOOKUP(A180,'Données projet'!$A$139:$I$159,7,0)),0%,VLOOKUP(A180,'Données projet'!$A$139:$I$159,7,0))</f>
        <v>0.05</v>
      </c>
      <c r="DF180" s="21">
        <f>EXP(-LN(2)/35)*DF179+(1-EXP(-LN(2)/35))/(LN(2)/35)*DB180*DC180*VLOOKUP('Données projet'!$B$13,Paramètres!$A$1:$I$89,3,0)*0.475*44/12</f>
        <v>121.84236910688308</v>
      </c>
      <c r="DG180" s="21">
        <f>EXP(-LN(2)/25)*DG179+(1-EXP(-LN(2)/25))/(LN(2)/25)*Calculateur!DB180*Calculateur!DD180*VLOOKUP('Données projet'!$B$13,Paramètres!$A$1:$I$89,3,0)*0.475*44/12</f>
        <v>25.154546050760317</v>
      </c>
      <c r="DH180" s="21">
        <f>EXP(-LN(2)/2)*DH179+(1-EXP(-LN(2)/2))/(LN(2)/2)*DB180*DE180*VLOOKUP('Données projet'!$B$13,Paramètres!$A$1:$I$89,3,0)*0.475*44/12</f>
        <v>9.7423680348023431</v>
      </c>
      <c r="DI180" s="22">
        <f t="shared" si="175"/>
        <v>156.73928319244575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-8.8675733422860506E-14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197.51452239559433</v>
      </c>
      <c r="EP180" s="59">
        <f t="shared" si="154"/>
        <v>196.65166921588821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3.2466611052249932</v>
      </c>
      <c r="EW180" s="21">
        <f>EXP(-LN(2)/25)*EW179+(1-EXP(-LN(2)/25))/(LN(2)/25)*Calculateur!ER180*Calculateur!ET180*VLOOKUP('Données projet'!$B$15,Paramètres!$A$1:$I$89,3,0)*0.475*44/12</f>
        <v>1.358711498334797</v>
      </c>
      <c r="EX180" s="21">
        <f>EXP(-LN(2)/2)*EX179+(1-EXP(-LN(2)/2))/(LN(2)/2)*ER180*EU180*VLOOKUP('Données projet'!$B$15,Paramètres!$A$1:$I$89,3,0)*0.475*44/12</f>
        <v>2.1619466065416608E-15</v>
      </c>
      <c r="EY180" s="22">
        <f t="shared" si="181"/>
        <v>4.6053726035597915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810.79455072925271</v>
      </c>
      <c r="S181" s="59">
        <f ca="1">AVERAGE(OFFSET($R$3,0,0,'Données projet'!$E$9+1,1))-AVERAGE(OFFSET($H$3,0,0,'Données projet'!$E$9+1,1))</f>
        <v>635.71275911100679</v>
      </c>
      <c r="T181" s="59">
        <f t="shared" si="142"/>
        <v>281.7776857269169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3.76000000000001</v>
      </c>
      <c r="AI181" s="13">
        <f>IF('Données projet'!$A$62&gt;35,AI180+AH181-AQ180,IF(A181&lt;'Données projet'!$A$62,$AF$205^A181,IF(A181='Données projet'!$A$62,'Données projet'!$B$62,AI180+AH181-AQ180)))</f>
        <v>264.04000000000082</v>
      </c>
      <c r="AJ181" s="13">
        <f>AI181*VLOOKUP('Données projet'!$B$10,Paramètres!$A$1:$I$89,3,0)*VLOOKUP('Données projet'!$B$10,Paramètres!$A$1:$I$89,5,0)</f>
        <v>267.73656000000085</v>
      </c>
      <c r="AK181" s="13">
        <f t="shared" si="164"/>
        <v>64.368675094258279</v>
      </c>
      <c r="AL181" s="20">
        <f t="shared" si="165"/>
        <v>578.41661778916796</v>
      </c>
      <c r="AM181" s="59">
        <f t="shared" si="113"/>
        <v>871.74995112250122</v>
      </c>
      <c r="AN181" s="59">
        <f ca="1">AVERAGE(OFFSET($AM$3,0,0,'Données projet'!$E$10+1,1))-AVERAGE(OFFSET($H$3,0,0,'Données projet'!$E$10+1,1))</f>
        <v>706.69239849991595</v>
      </c>
      <c r="AO181" s="59">
        <f t="shared" si="144"/>
        <v>310.59887275116529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125.23310397964948</v>
      </c>
      <c r="AV181" s="21">
        <f>EXP(-LN(2)/25)*AV180+(1-EXP(-LN(2)/25))/(LN(2)/25)*Calculateur!AQ181*Calculateur!AS181*VLOOKUP('Données projet'!$B$10,Paramètres!$A$1:$I$89,3,0)*0.475*44/12</f>
        <v>25.650565940352308</v>
      </c>
      <c r="AW181" s="21">
        <f>EXP(-LN(2)/2)*AW180+(1-EXP(-LN(2)/2))/(LN(2)/2)*AQ181*AT181*VLOOKUP('Données projet'!$B$10,Paramètres!$A$1:$I$89,3,0)*0.475*44/12</f>
        <v>7.2222281071701104</v>
      </c>
      <c r="AX181" s="21">
        <f t="shared" si="166"/>
        <v>158.10589802717192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251.26046400000078</v>
      </c>
      <c r="BF181" s="13">
        <f t="shared" si="167"/>
        <v>60.855771194207591</v>
      </c>
      <c r="BG181" s="20">
        <f t="shared" si="168"/>
        <v>543.60244296324618</v>
      </c>
      <c r="BH181" s="59">
        <f t="shared" si="116"/>
        <v>836.93577629657943</v>
      </c>
      <c r="BI181" s="59">
        <f ca="1">AVERAGE(OFFSET($BH$3,0,0,'Données projet'!$E$11+1,1))-AVERAGE(OFFSET($H$3,0,0,'Données projet'!$E$11+1,1))</f>
        <v>666.1523645983184</v>
      </c>
      <c r="BJ181" s="59">
        <f t="shared" si="146"/>
        <v>294.13851344047526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117.52645142705563</v>
      </c>
      <c r="BQ181" s="21">
        <f>EXP(-LN(2)/25)*BQ180+(1-EXP(-LN(2)/25))/(LN(2)/25)*Calculateur!BL181*Calculateur!BN181*VLOOKUP('Données projet'!$B$11,Paramètres!$A$1:$I$89,3,0)*0.475*44/12</f>
        <v>24.072069574792149</v>
      </c>
      <c r="BR181" s="21">
        <f>EXP(-LN(2)/2)*BR180+(1-EXP(-LN(2)/2))/(LN(2)/2)*BL181*BO181*VLOOKUP('Données projet'!$B$11,Paramètres!$A$1:$I$89,3,0)*0.475*44/12</f>
        <v>6.7777833005750256</v>
      </c>
      <c r="BS181" s="22">
        <f t="shared" si="169"/>
        <v>148.37630430242282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3.76000000000001</v>
      </c>
      <c r="BY181" s="12">
        <f>IF('Données projet'!$A$114&gt;35,BY180+BX181-CG180,IF(A181&lt;'Données projet'!$A$114,$BV$205^A181,IF(A181='Données projet'!$A$114,'Données projet'!$B$114,BY180+BX181-CG180)))</f>
        <v>264.04000000000082</v>
      </c>
      <c r="BZ181" s="13">
        <f>BY181*VLOOKUP('Données projet'!$B$12,Paramètres!$A$1:$I$89,3,0)*VLOOKUP('Données projet'!$B$12,Paramètres!$A$1:$I$89,5,0)</f>
        <v>284.21265600000083</v>
      </c>
      <c r="CA181" s="13">
        <f t="shared" si="170"/>
        <v>67.856488988661411</v>
      </c>
      <c r="CB181" s="20">
        <f t="shared" si="171"/>
        <v>613.18709418858668</v>
      </c>
      <c r="CC181" s="59">
        <f t="shared" si="119"/>
        <v>906.52042752192006</v>
      </c>
      <c r="CD181" s="59">
        <f ca="1">AVERAGE(OFFSET($CC$3,0,0,'Données projet'!$E$12+1,1))-AVERAGE(OFFSET($H$3,0,0,'Données projet'!$E$12+1,1))</f>
        <v>747.18304127457918</v>
      </c>
      <c r="CE181" s="59">
        <f t="shared" si="148"/>
        <v>327.03701004966723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132.93975653224325</v>
      </c>
      <c r="CL181" s="21">
        <f>EXP(-LN(2)/25)*CL180+(1-EXP(-LN(2)/25))/(LN(2)/25)*Calculateur!CG181*Calculateur!CI181*VLOOKUP('Données projet'!$B$12,Paramètres!$A$1:$I$89,3,0)*0.475*44/12</f>
        <v>27.229062305912439</v>
      </c>
      <c r="CM181" s="21">
        <f>EXP(-LN(2)/2)*CM180+(1-EXP(-LN(2)/2))/(LN(2)/2)*CG181*CJ181*VLOOKUP('Données projet'!$B$12,Paramètres!$A$1:$I$89,3,0)*0.475*44/12</f>
        <v>7.6666729137651908</v>
      </c>
      <c r="CN181" s="22">
        <f t="shared" si="172"/>
        <v>167.83549175192087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3.76000000000001</v>
      </c>
      <c r="CT181" s="12">
        <f>IF('Données projet'!$A$140&gt;35,CT180+CS181-DB180,IF(A181&lt;'Données projet'!$A$140,$CQ$205^A181,IF(A181='Données projet'!$A$140,'Données projet'!$B$140,CT180+CS181-DB180)))</f>
        <v>264.04000000000082</v>
      </c>
      <c r="CU181" s="17">
        <f>CT181*VLOOKUP('Données projet'!$B$13,Paramètres!$A$1:$I$89,3,0)*VLOOKUP('Données projet'!$B$13,Paramètres!$A$1:$I$89,5,0)</f>
        <v>255.3794880000008</v>
      </c>
      <c r="CV181" s="13">
        <f t="shared" si="173"/>
        <v>61.736446043268934</v>
      </c>
      <c r="CW181" s="20">
        <f t="shared" si="174"/>
        <v>552.31025179202811</v>
      </c>
      <c r="CX181" s="59">
        <f t="shared" si="122"/>
        <v>845.64358512536137</v>
      </c>
      <c r="CY181" s="59">
        <f ca="1">AVERAGE(OFFSET($CX$3,0,0,'Données projet'!$E$13+1,1))-AVERAGE(OFFSET($H$3,0,0,'Données projet'!$E$13+1,1))</f>
        <v>676.29219382388692</v>
      </c>
      <c r="CZ181" s="59">
        <f t="shared" si="150"/>
        <v>298.25577221580448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119.45311456520412</v>
      </c>
      <c r="DG181" s="21">
        <f>EXP(-LN(2)/25)*DG180+(1-EXP(-LN(2)/25))/(LN(2)/25)*Calculateur!DB181*Calculateur!DD181*VLOOKUP('Données projet'!$B$13,Paramètres!$A$1:$I$89,3,0)*0.475*44/12</f>
        <v>24.466693666182191</v>
      </c>
      <c r="DH181" s="21">
        <f>EXP(-LN(2)/2)*DH180+(1-EXP(-LN(2)/2))/(LN(2)/2)*DB181*DE181*VLOOKUP('Données projet'!$B$13,Paramètres!$A$1:$I$89,3,0)*0.475*44/12</f>
        <v>6.8888945022237955</v>
      </c>
      <c r="DI181" s="22">
        <f t="shared" si="175"/>
        <v>150.80870273361009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-8.8675733422860506E-14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197.51452239559433</v>
      </c>
      <c r="EP181" s="59">
        <f t="shared" si="154"/>
        <v>196.65166921588821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3.1829960612192703</v>
      </c>
      <c r="EW181" s="21">
        <f>EXP(-LN(2)/25)*EW180+(1-EXP(-LN(2)/25))/(LN(2)/25)*Calculateur!ER181*Calculateur!ET181*VLOOKUP('Données projet'!$B$15,Paramètres!$A$1:$I$89,3,0)*0.475*44/12</f>
        <v>1.3215574609612997</v>
      </c>
      <c r="EX181" s="21">
        <f>EXP(-LN(2)/2)*EX180+(1-EXP(-LN(2)/2))/(LN(2)/2)*ER181*EU181*VLOOKUP('Données projet'!$B$15,Paramètres!$A$1:$I$89,3,0)*0.475*44/12</f>
        <v>1.5287271060488531E-15</v>
      </c>
      <c r="EY181" s="22">
        <f t="shared" si="181"/>
        <v>4.5045535221805721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817.99425539682284</v>
      </c>
      <c r="S182" s="59">
        <f ca="1">AVERAGE(OFFSET($R$3,0,0,'Données projet'!$E$9+1,1))-AVERAGE(OFFSET($H$3,0,0,'Données projet'!$E$9+1,1))</f>
        <v>635.71275911100679</v>
      </c>
      <c r="T182" s="59">
        <f t="shared" si="142"/>
        <v>281.7776857269169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3.76000000000001</v>
      </c>
      <c r="AI182" s="13">
        <f>IF('Données projet'!$A$62&gt;35,AI181+AH182-AQ181,IF(A182&lt;'Données projet'!$A$62,$AF$205^A182,IF(A182='Données projet'!$A$62,'Données projet'!$B$62,AI181+AH182-AQ181)))</f>
        <v>267.80000000000081</v>
      </c>
      <c r="AJ182" s="13">
        <f>AI182*VLOOKUP('Données projet'!$B$10,Paramètres!$A$1:$I$89,3,0)*VLOOKUP('Données projet'!$B$10,Paramètres!$A$1:$I$89,5,0)</f>
        <v>271.54920000000084</v>
      </c>
      <c r="AK182" s="13">
        <f t="shared" si="164"/>
        <v>65.177939068610073</v>
      </c>
      <c r="AL182" s="20">
        <f t="shared" si="165"/>
        <v>586.46643387783058</v>
      </c>
      <c r="AM182" s="59">
        <f t="shared" si="113"/>
        <v>879.79976721116395</v>
      </c>
      <c r="AN182" s="59">
        <f ca="1">AVERAGE(OFFSET($AM$3,0,0,'Données projet'!$E$10+1,1))-AVERAGE(OFFSET($H$3,0,0,'Données projet'!$E$10+1,1))</f>
        <v>706.69239849991595</v>
      </c>
      <c r="AO182" s="59">
        <f t="shared" si="144"/>
        <v>310.59887275116529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122.77735919525963</v>
      </c>
      <c r="AV182" s="21">
        <f>EXP(-LN(2)/25)*AV181+(1-EXP(-LN(2)/25))/(LN(2)/25)*Calculateur!AQ182*Calculateur!AS182*VLOOKUP('Données projet'!$B$10,Paramètres!$A$1:$I$89,3,0)*0.475*44/12</f>
        <v>24.949149865808735</v>
      </c>
      <c r="AW182" s="21">
        <f>EXP(-LN(2)/2)*AW181+(1-EXP(-LN(2)/2))/(LN(2)/2)*AQ182*AT182*VLOOKUP('Données projet'!$B$10,Paramètres!$A$1:$I$89,3,0)*0.475*44/12</f>
        <v>5.106886469856069</v>
      </c>
      <c r="AX182" s="21">
        <f t="shared" si="166"/>
        <v>152.83339553092446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254.83848000000077</v>
      </c>
      <c r="BF182" s="13">
        <f t="shared" si="167"/>
        <v>61.620869795145929</v>
      </c>
      <c r="BG182" s="20">
        <f t="shared" si="168"/>
        <v>551.16670089321383</v>
      </c>
      <c r="BH182" s="59">
        <f t="shared" si="116"/>
        <v>844.50003422654709</v>
      </c>
      <c r="BI182" s="59">
        <f ca="1">AVERAGE(OFFSET($BH$3,0,0,'Données projet'!$E$11+1,1))-AVERAGE(OFFSET($H$3,0,0,'Données projet'!$E$11+1,1))</f>
        <v>666.1523645983184</v>
      </c>
      <c r="BJ182" s="59">
        <f t="shared" si="146"/>
        <v>294.13851344047526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115.22182939862823</v>
      </c>
      <c r="BQ182" s="21">
        <f>EXP(-LN(2)/25)*BQ181+(1-EXP(-LN(2)/25))/(LN(2)/25)*Calculateur!BL182*Calculateur!BN182*VLOOKUP('Données projet'!$B$11,Paramètres!$A$1:$I$89,3,0)*0.475*44/12</f>
        <v>23.413817566374338</v>
      </c>
      <c r="BR182" s="21">
        <f>EXP(-LN(2)/2)*BR181+(1-EXP(-LN(2)/2))/(LN(2)/2)*BL182*BO182*VLOOKUP('Données projet'!$B$11,Paramètres!$A$1:$I$89,3,0)*0.475*44/12</f>
        <v>4.7926165332495412</v>
      </c>
      <c r="BS182" s="22">
        <f t="shared" si="169"/>
        <v>143.42826349825211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3.76000000000001</v>
      </c>
      <c r="BY182" s="12">
        <f>IF('Données projet'!$A$114&gt;35,BY181+BX182-CG181,IF(A182&lt;'Données projet'!$A$114,$BV$205^A182,IF(A182='Données projet'!$A$114,'Données projet'!$B$114,BY181+BX182-CG181)))</f>
        <v>267.80000000000081</v>
      </c>
      <c r="BZ182" s="13">
        <f>BY182*VLOOKUP('Données projet'!$B$12,Paramètres!$A$1:$I$89,3,0)*VLOOKUP('Données projet'!$B$12,Paramètres!$A$1:$I$89,5,0)</f>
        <v>288.25992000000088</v>
      </c>
      <c r="CA182" s="13">
        <f t="shared" si="170"/>
        <v>68.709602896693767</v>
      </c>
      <c r="CB182" s="20">
        <f t="shared" si="171"/>
        <v>621.72191904507645</v>
      </c>
      <c r="CC182" s="59">
        <f t="shared" si="119"/>
        <v>915.0552523784097</v>
      </c>
      <c r="CD182" s="59">
        <f ca="1">AVERAGE(OFFSET($CC$3,0,0,'Données projet'!$E$12+1,1))-AVERAGE(OFFSET($H$3,0,0,'Données projet'!$E$12+1,1))</f>
        <v>747.18304127457918</v>
      </c>
      <c r="CE182" s="59">
        <f t="shared" si="148"/>
        <v>327.03701004966723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130.33288899189094</v>
      </c>
      <c r="CL182" s="21">
        <f>EXP(-LN(2)/25)*CL181+(1-EXP(-LN(2)/25))/(LN(2)/25)*Calculateur!CG182*Calculateur!CI182*VLOOKUP('Données projet'!$B$12,Paramètres!$A$1:$I$89,3,0)*0.475*44/12</f>
        <v>26.484482165243111</v>
      </c>
      <c r="CM182" s="21">
        <f>EXP(-LN(2)/2)*CM181+(1-EXP(-LN(2)/2))/(LN(2)/2)*CG182*CJ182*VLOOKUP('Données projet'!$B$12,Paramètres!$A$1:$I$89,3,0)*0.475*44/12</f>
        <v>5.4211564064625941</v>
      </c>
      <c r="CN182" s="22">
        <f t="shared" si="172"/>
        <v>162.23852756359665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3.76000000000001</v>
      </c>
      <c r="CT182" s="12">
        <f>IF('Données projet'!$A$140&gt;35,CT181+CS182-DB181,IF(A182&lt;'Données projet'!$A$140,$CQ$205^A182,IF(A182='Données projet'!$A$140,'Données projet'!$B$140,CT181+CS182-DB181)))</f>
        <v>267.80000000000081</v>
      </c>
      <c r="CU182" s="17">
        <f>CT182*VLOOKUP('Données projet'!$B$13,Paramètres!$A$1:$I$89,3,0)*VLOOKUP('Données projet'!$B$13,Paramètres!$A$1:$I$89,5,0)</f>
        <v>259.01616000000081</v>
      </c>
      <c r="CV182" s="13">
        <f t="shared" si="173"/>
        <v>62.512616775603782</v>
      </c>
      <c r="CW182" s="20">
        <f t="shared" si="174"/>
        <v>559.99595288417788</v>
      </c>
      <c r="CX182" s="59">
        <f t="shared" si="122"/>
        <v>853.32928621751125</v>
      </c>
      <c r="CY182" s="59">
        <f ca="1">AVERAGE(OFFSET($CX$3,0,0,'Données projet'!$E$13+1,1))-AVERAGE(OFFSET($H$3,0,0,'Données projet'!$E$13+1,1))</f>
        <v>676.29219382388692</v>
      </c>
      <c r="CZ182" s="59">
        <f t="shared" si="150"/>
        <v>298.25577221580448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117.11071184778611</v>
      </c>
      <c r="DG182" s="21">
        <f>EXP(-LN(2)/25)*DG181+(1-EXP(-LN(2)/25))/(LN(2)/25)*Calculateur!DB182*Calculateur!DD182*VLOOKUP('Données projet'!$B$13,Paramètres!$A$1:$I$89,3,0)*0.475*44/12</f>
        <v>23.797650641232938</v>
      </c>
      <c r="DH182" s="21">
        <f>EXP(-LN(2)/2)*DH181+(1-EXP(-LN(2)/2))/(LN(2)/2)*DB182*DE182*VLOOKUP('Données projet'!$B$13,Paramètres!$A$1:$I$89,3,0)*0.475*44/12</f>
        <v>4.8711840174011716</v>
      </c>
      <c r="DI182" s="22">
        <f t="shared" si="175"/>
        <v>145.77954650642022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-8.8675733422860506E-14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197.51452239559433</v>
      </c>
      <c r="EP182" s="59">
        <f t="shared" si="154"/>
        <v>196.65166921588821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3.1205794498946569</v>
      </c>
      <c r="EW182" s="21">
        <f>EXP(-LN(2)/25)*EW181+(1-EXP(-LN(2)/25))/(LN(2)/25)*Calculateur!ER182*Calculateur!ET182*VLOOKUP('Données projet'!$B$15,Paramètres!$A$1:$I$89,3,0)*0.475*44/12</f>
        <v>1.2854194026936265</v>
      </c>
      <c r="EX182" s="21">
        <f>EXP(-LN(2)/2)*EX181+(1-EXP(-LN(2)/2))/(LN(2)/2)*ER182*EU182*VLOOKUP('Données projet'!$B$15,Paramètres!$A$1:$I$89,3,0)*0.475*44/12</f>
        <v>1.0809733032708304E-15</v>
      </c>
      <c r="EY182" s="22">
        <f t="shared" si="181"/>
        <v>4.4059988525882838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825.19187883242989</v>
      </c>
      <c r="S183" s="59">
        <f ca="1">AVERAGE(OFFSET($R$3,0,0,'Données projet'!$E$9+1,1))-AVERAGE(OFFSET($H$3,0,0,'Données projet'!$E$9+1,1))</f>
        <v>635.71275911100679</v>
      </c>
      <c r="T183" s="59">
        <f t="shared" si="142"/>
        <v>281.7776857269169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3.76000000000001</v>
      </c>
      <c r="AH183" s="12">
        <f t="array" ref="AH183">INDEX(AG:AG,MIN(IF(ISNUMBER(AG183:AG379),ROW(AG183:AG379),"")))</f>
        <v>3.76000000000001</v>
      </c>
      <c r="AI183" s="13">
        <f>IF('Données projet'!$A$62&gt;35,AI182+AH183-AQ182,IF(A183&lt;'Données projet'!$A$62,$AF$205^A183,IF(A183='Données projet'!$A$62,'Données projet'!$B$62,AI182+AH183-AQ182)))</f>
        <v>271.5600000000008</v>
      </c>
      <c r="AJ183" s="13">
        <f>AI183*VLOOKUP('Données projet'!$B$10,Paramètres!$A$1:$I$89,3,0)*VLOOKUP('Données projet'!$B$10,Paramètres!$A$1:$I$89,5,0)</f>
        <v>275.36184000000083</v>
      </c>
      <c r="AK183" s="13">
        <f t="shared" si="164"/>
        <v>65.985881501741488</v>
      </c>
      <c r="AL183" s="20">
        <f t="shared" si="165"/>
        <v>594.51394828220111</v>
      </c>
      <c r="AM183" s="59">
        <f t="shared" si="113"/>
        <v>887.84728161553448</v>
      </c>
      <c r="AN183" s="59">
        <f ca="1">AVERAGE(OFFSET($AM$3,0,0,'Données projet'!$E$10+1,1))-AVERAGE(OFFSET($H$3,0,0,'Données projet'!$E$10+1,1))</f>
        <v>706.69239849991595</v>
      </c>
      <c r="AO183" s="59">
        <f t="shared" si="144"/>
        <v>310.59887275116529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86.97</v>
      </c>
      <c r="AR183" s="16">
        <f>IF(ISNA(VLOOKUP(A183,'Données projet'!$A$61:$I$81,5,0)),0%,VLOOKUP(A183,'Données projet'!$A$61:$I$81,5,0)*VLOOKUP('Données projet'!$B$10,Paramètres!$A$1:$I$89,7,0))</f>
        <v>0.19350000000000001</v>
      </c>
      <c r="AS183" s="16">
        <f>IF(ISNA(VLOOKUP(A183,'Données projet'!$A$61:$I$81,6,0)),0%,VLOOKUP(A183,'Données projet'!$A$61:$I$81,6,0)*VLOOKUP('Données projet'!$B$10,Paramètres!$A$1:$I$89,7,0))</f>
        <v>2.1500000000000002E-2</v>
      </c>
      <c r="AT183" s="16">
        <f>IF(ISNA(VLOOKUP(A183,'Données projet'!$A$61:$I$81,7,0)),0%,VLOOKUP(A183,'Données projet'!$A$61:$I$81,7,0))</f>
        <v>0.05</v>
      </c>
      <c r="AU183" s="21">
        <f>EXP(-LN(2)/35)*AU182+(1-EXP(-LN(2)/35))/(LN(2)/35)*AQ183*AR183*VLOOKUP('Données projet'!$B$10,Paramètres!$A$1:$I$89,3,0)*0.475*44/12</f>
        <v>139.23384465081122</v>
      </c>
      <c r="AV183" s="21">
        <f>EXP(-LN(2)/25)*AV182+(1-EXP(-LN(2)/25))/(LN(2)/25)*Calculateur!AQ183*Calculateur!AS183*VLOOKUP('Données projet'!$B$10,Paramètres!$A$1:$I$89,3,0)*0.475*44/12</f>
        <v>26.35466955439481</v>
      </c>
      <c r="AW183" s="21">
        <f>EXP(-LN(2)/2)*AW182+(1-EXP(-LN(2)/2))/(LN(2)/2)*AQ183*AT183*VLOOKUP('Données projet'!$B$10,Paramètres!$A$1:$I$89,3,0)*0.475*44/12</f>
        <v>7.771481816780847</v>
      </c>
      <c r="AX183" s="21">
        <f t="shared" si="166"/>
        <v>173.35999602198686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258.41649600000079</v>
      </c>
      <c r="BF183" s="13">
        <f t="shared" si="167"/>
        <v>62.384718977636233</v>
      </c>
      <c r="BG183" s="20">
        <f t="shared" si="168"/>
        <v>558.72878275271785</v>
      </c>
      <c r="BH183" s="59">
        <f t="shared" si="116"/>
        <v>852.06211608605122</v>
      </c>
      <c r="BI183" s="59">
        <f ca="1">AVERAGE(OFFSET($BH$3,0,0,'Données projet'!$E$11+1,1))-AVERAGE(OFFSET($H$3,0,0,'Données projet'!$E$11+1,1))</f>
        <v>666.1523645983184</v>
      </c>
      <c r="BJ183" s="59">
        <f t="shared" si="146"/>
        <v>294.13851344047526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130.66560805691512</v>
      </c>
      <c r="BQ183" s="21">
        <f>EXP(-LN(2)/25)*BQ182+(1-EXP(-LN(2)/25))/(LN(2)/25)*Calculateur!BL183*Calculateur!BN183*VLOOKUP('Données projet'!$B$11,Paramètres!$A$1:$I$89,3,0)*0.475*44/12</f>
        <v>24.732843735662808</v>
      </c>
      <c r="BR183" s="21">
        <f>EXP(-LN(2)/2)*BR182+(1-EXP(-LN(2)/2))/(LN(2)/2)*BL183*BO183*VLOOKUP('Données projet'!$B$11,Paramètres!$A$1:$I$89,3,0)*0.475*44/12</f>
        <v>7.2932367819020261</v>
      </c>
      <c r="BS183" s="22">
        <f t="shared" si="169"/>
        <v>162.69168857447997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3.76000000000001</v>
      </c>
      <c r="BX183" s="12">
        <f t="array" ref="BX183">INDEX(BW:BW,MIN(IF(ISNUMBER(BW183:BW379),ROW(BW183:BW379),"")))</f>
        <v>3.76000000000001</v>
      </c>
      <c r="BY183" s="12">
        <f>IF('Données projet'!$A$114&gt;35,BY182+BX183-CG182,IF(A183&lt;'Données projet'!$A$114,$BV$205^A183,IF(A183='Données projet'!$A$114,'Données projet'!$B$114,BY182+BX183-CG182)))</f>
        <v>271.5600000000008</v>
      </c>
      <c r="BZ183" s="13">
        <f>BY183*VLOOKUP('Données projet'!$B$12,Paramètres!$A$1:$I$89,3,0)*VLOOKUP('Données projet'!$B$12,Paramètres!$A$1:$I$89,5,0)</f>
        <v>292.30718400000086</v>
      </c>
      <c r="CA183" s="13">
        <f t="shared" si="170"/>
        <v>69.561323655851353</v>
      </c>
      <c r="CB183" s="20">
        <f t="shared" si="171"/>
        <v>630.2543175006092</v>
      </c>
      <c r="CC183" s="59">
        <f t="shared" si="119"/>
        <v>923.58765083394246</v>
      </c>
      <c r="CD183" s="59">
        <f ca="1">AVERAGE(OFFSET($CC$3,0,0,'Données projet'!$E$12+1,1))-AVERAGE(OFFSET($H$3,0,0,'Données projet'!$E$12+1,1))</f>
        <v>747.18304127457918</v>
      </c>
      <c r="CE183" s="59">
        <f t="shared" si="148"/>
        <v>327.03701004966723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86.97</v>
      </c>
      <c r="CH183" s="16">
        <f>IF(ISNA(VLOOKUP(A183,'Données projet'!$A$113:$I$133,5,0)),0%,VLOOKUP(A183,'Données projet'!$A$113:$I$133,5,0)*VLOOKUP('Données projet'!$B$12,Paramètres!$A$1:$I$89,7,0))</f>
        <v>0.19350000000000001</v>
      </c>
      <c r="CI183" s="16">
        <f>IF(ISNA(VLOOKUP(A183,'Données projet'!$A$113:$I$133,6,0)),0%,VLOOKUP(A183,'Données projet'!$A$113:$I$133,6,0)*VLOOKUP('Données projet'!$B$12,Paramètres!$A$1:$I$89,7,0))</f>
        <v>2.1500000000000002E-2</v>
      </c>
      <c r="CJ183" s="16">
        <f>IF(ISNA(VLOOKUP(A183,'Données projet'!$A$113:$I$133,7,0)),0%,VLOOKUP(A183,'Données projet'!$A$113:$I$133,7,0))</f>
        <v>0.05</v>
      </c>
      <c r="CK183" s="21">
        <f>EXP(-LN(2)/35)*CK182+(1-EXP(-LN(2)/35))/(LN(2)/35)*CG183*CH183*VLOOKUP('Données projet'!$B$12,Paramètres!$A$1:$I$89,3,0)*0.475*44/12</f>
        <v>147.80208124470724</v>
      </c>
      <c r="CL183" s="21">
        <f>EXP(-LN(2)/25)*CL182+(1-EXP(-LN(2)/25))/(LN(2)/25)*Calculateur!CG183*Calculateur!CI183*VLOOKUP('Données projet'!$B$12,Paramètres!$A$1:$I$89,3,0)*0.475*44/12</f>
        <v>27.976495373126792</v>
      </c>
      <c r="CM183" s="21">
        <f>EXP(-LN(2)/2)*CM182+(1-EXP(-LN(2)/2))/(LN(2)/2)*CG183*CJ183*VLOOKUP('Données projet'!$B$12,Paramètres!$A$1:$I$89,3,0)*0.475*44/12</f>
        <v>8.249726851659668</v>
      </c>
      <c r="CN183" s="22">
        <f t="shared" si="172"/>
        <v>184.02830346949369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3.76000000000001</v>
      </c>
      <c r="CS183" s="12">
        <f t="array" ref="CS183">INDEX(CR:CR,MIN(IF(ISNUMBER(CR183:CR379),ROW(CR183:CR379),"")))</f>
        <v>3.76000000000001</v>
      </c>
      <c r="CT183" s="12">
        <f>IF('Données projet'!$A$140&gt;35,CT182+CS183-DB182,IF(A183&lt;'Données projet'!$A$140,$CQ$205^A183,IF(A183='Données projet'!$A$140,'Données projet'!$B$140,CT182+CS183-DB182)))</f>
        <v>271.5600000000008</v>
      </c>
      <c r="CU183" s="17">
        <f>CT183*VLOOKUP('Données projet'!$B$13,Paramètres!$A$1:$I$89,3,0)*VLOOKUP('Données projet'!$B$13,Paramètres!$A$1:$I$89,5,0)</f>
        <v>262.65283200000079</v>
      </c>
      <c r="CV183" s="13">
        <f t="shared" si="173"/>
        <v>63.287520008520112</v>
      </c>
      <c r="CW183" s="20">
        <f t="shared" si="174"/>
        <v>567.67944641484053</v>
      </c>
      <c r="CX183" s="59">
        <f t="shared" si="122"/>
        <v>861.0127797481739</v>
      </c>
      <c r="CY183" s="59">
        <f ca="1">AVERAGE(OFFSET($CX$3,0,0,'Données projet'!$E$13+1,1))-AVERAGE(OFFSET($H$3,0,0,'Données projet'!$E$13+1,1))</f>
        <v>676.29219382388692</v>
      </c>
      <c r="CZ183" s="59">
        <f t="shared" si="150"/>
        <v>298.25577221580448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86.97</v>
      </c>
      <c r="DC183" s="16">
        <f>IF(ISNA(VLOOKUP(A183,'Données projet'!$A$139:$I$159,5,0)),0%,VLOOKUP(A183,'Données projet'!$A$139:$I$159,5,0)*VLOOKUP('Données projet'!$B$13,Paramètres!$A$1:$I$89,7,0))</f>
        <v>0.19350000000000001</v>
      </c>
      <c r="DD183" s="16">
        <f>IF(ISNA(VLOOKUP(A183,'Données projet'!$A$139:$I$159,6,0)),0%,VLOOKUP(A183,'Données projet'!$A$139:$I$159,6,0)*VLOOKUP('Données projet'!$B$13,Paramètres!$A$1:$I$89,7,0))</f>
        <v>2.1500000000000002E-2</v>
      </c>
      <c r="DE183" s="16">
        <f>IF(ISNA(VLOOKUP(A183,'Données projet'!$A$139:$I$159,7,0)),0%,VLOOKUP(A183,'Données projet'!$A$139:$I$159,7,0))</f>
        <v>0.05</v>
      </c>
      <c r="DF183" s="21">
        <f>EXP(-LN(2)/35)*DF182+(1-EXP(-LN(2)/35))/(LN(2)/35)*DB183*DC183*VLOOKUP('Données projet'!$B$13,Paramètres!$A$1:$I$89,3,0)*0.475*44/12</f>
        <v>132.80766720538918</v>
      </c>
      <c r="DG183" s="21">
        <f>EXP(-LN(2)/25)*DG182+(1-EXP(-LN(2)/25))/(LN(2)/25)*Calculateur!DB183*Calculateur!DD183*VLOOKUP('Données projet'!$B$13,Paramètres!$A$1:$I$89,3,0)*0.475*44/12</f>
        <v>25.138300190345809</v>
      </c>
      <c r="DH183" s="21">
        <f>EXP(-LN(2)/2)*DH182+(1-EXP(-LN(2)/2))/(LN(2)/2)*DB183*DE183*VLOOKUP('Données projet'!$B$13,Paramètres!$A$1:$I$89,3,0)*0.475*44/12</f>
        <v>7.4127980406217304</v>
      </c>
      <c r="DI183" s="22">
        <f t="shared" si="175"/>
        <v>165.35876543635672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-8.8675733422860506E-14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197.51452239559433</v>
      </c>
      <c r="EP183" s="59">
        <f t="shared" si="154"/>
        <v>196.65166921588821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3.0593867902477454</v>
      </c>
      <c r="EW183" s="21">
        <f>EXP(-LN(2)/25)*EW182+(1-EXP(-LN(2)/25))/(LN(2)/25)*Calculateur!ER183*Calculateur!ET183*VLOOKUP('Données projet'!$B$15,Paramètres!$A$1:$I$89,3,0)*0.475*44/12</f>
        <v>1.2502695415297007</v>
      </c>
      <c r="EX183" s="21">
        <f>EXP(-LN(2)/2)*EX182+(1-EXP(-LN(2)/2))/(LN(2)/2)*ER183*EU183*VLOOKUP('Données projet'!$B$15,Paramètres!$A$1:$I$89,3,0)*0.475*44/12</f>
        <v>7.6436355302442656E-16</v>
      </c>
      <c r="EY183" s="22">
        <f t="shared" si="181"/>
        <v>4.3096563317774468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662.52947757666561</v>
      </c>
      <c r="S184" s="59">
        <f ca="1">AVERAGE(OFFSET($R$3,0,0,'Données projet'!$E$9+1,1))-AVERAGE(OFFSET($H$3,0,0,'Données projet'!$E$9+1,1))</f>
        <v>635.71275911100679</v>
      </c>
      <c r="T184" s="59">
        <f t="shared" si="142"/>
        <v>281.7776857269169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2.2933333333333317</v>
      </c>
      <c r="AI184" s="13">
        <f>IF('Données projet'!$A$62&gt;35,AI183+AH184-AQ183,IF(A184&lt;'Données projet'!$A$62,$AF$205^A184,IF(A184='Données projet'!$A$62,'Données projet'!$B$62,AI183+AH184-AQ183)))</f>
        <v>186.88333333333415</v>
      </c>
      <c r="AJ184" s="13">
        <f>AI184*VLOOKUP('Données projet'!$B$10,Paramètres!$A$1:$I$89,3,0)*VLOOKUP('Données projet'!$B$10,Paramètres!$A$1:$I$89,5,0)</f>
        <v>189.49970000000084</v>
      </c>
      <c r="AK184" s="13">
        <f t="shared" si="164"/>
        <v>47.42932665712091</v>
      </c>
      <c r="AL184" s="20">
        <f t="shared" si="165"/>
        <v>412.651388094487</v>
      </c>
      <c r="AM184" s="59">
        <f t="shared" si="113"/>
        <v>705.98472142782032</v>
      </c>
      <c r="AN184" s="59">
        <f ca="1">AVERAGE(OFFSET($AM$3,0,0,'Données projet'!$E$10+1,1))-AVERAGE(OFFSET($H$3,0,0,'Données projet'!$E$10+1,1))</f>
        <v>706.69239849991595</v>
      </c>
      <c r="AO184" s="59">
        <f t="shared" si="144"/>
        <v>310.59887275116529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136.50355388146846</v>
      </c>
      <c r="AV184" s="21">
        <f>EXP(-LN(2)/25)*AV183+(1-EXP(-LN(2)/25))/(LN(2)/25)*Calculateur!AQ184*Calculateur!AS184*VLOOKUP('Données projet'!$B$10,Paramètres!$A$1:$I$89,3,0)*0.475*44/12</f>
        <v>25.633999729498047</v>
      </c>
      <c r="AW184" s="21">
        <f>EXP(-LN(2)/2)*AW183+(1-EXP(-LN(2)/2))/(LN(2)/2)*AQ184*AT184*VLOOKUP('Données projet'!$B$10,Paramètres!$A$1:$I$89,3,0)*0.475*44/12</f>
        <v>5.4952674925136877</v>
      </c>
      <c r="AX184" s="21">
        <f t="shared" si="166"/>
        <v>167.63282110348018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177.83818000000079</v>
      </c>
      <c r="BF184" s="13">
        <f t="shared" si="167"/>
        <v>44.840883344491083</v>
      </c>
      <c r="BG184" s="20">
        <f t="shared" si="168"/>
        <v>387.83270199165668</v>
      </c>
      <c r="BH184" s="59">
        <f t="shared" si="116"/>
        <v>681.16603532498993</v>
      </c>
      <c r="BI184" s="59">
        <f ca="1">AVERAGE(OFFSET($BH$3,0,0,'Données projet'!$E$11+1,1))-AVERAGE(OFFSET($H$3,0,0,'Données projet'!$E$11+1,1))</f>
        <v>666.1523645983184</v>
      </c>
      <c r="BJ184" s="59">
        <f t="shared" si="146"/>
        <v>294.13851344047526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128.10333518107038</v>
      </c>
      <c r="BQ184" s="21">
        <f>EXP(-LN(2)/25)*BQ183+(1-EXP(-LN(2)/25))/(LN(2)/25)*Calculateur!BL184*Calculateur!BN184*VLOOKUP('Données projet'!$B$11,Paramètres!$A$1:$I$89,3,0)*0.475*44/12</f>
        <v>24.056522823067382</v>
      </c>
      <c r="BR184" s="21">
        <f>EXP(-LN(2)/2)*BR183+(1-EXP(-LN(2)/2))/(LN(2)/2)*BL184*BO184*VLOOKUP('Données projet'!$B$11,Paramètres!$A$1:$I$89,3,0)*0.475*44/12</f>
        <v>5.1570971852820762</v>
      </c>
      <c r="BS184" s="22">
        <f t="shared" si="169"/>
        <v>157.31695518941984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2.2933333333333317</v>
      </c>
      <c r="BY184" s="12">
        <f>IF('Données projet'!$A$114&gt;35,BY183+BX184-CG183,IF(A184&lt;'Données projet'!$A$114,$BV$205^A184,IF(A184='Données projet'!$A$114,'Données projet'!$B$114,BY183+BX184-CG183)))</f>
        <v>186.88333333333415</v>
      </c>
      <c r="BZ184" s="13">
        <f>BY184*VLOOKUP('Données projet'!$B$12,Paramètres!$A$1:$I$89,3,0)*VLOOKUP('Données projet'!$B$12,Paramètres!$A$1:$I$89,5,0)</f>
        <v>201.16122000000084</v>
      </c>
      <c r="CA184" s="13">
        <f t="shared" si="170"/>
        <v>49.999282684251376</v>
      </c>
      <c r="CB184" s="20">
        <f t="shared" si="171"/>
        <v>437.43787550840597</v>
      </c>
      <c r="CC184" s="59">
        <f t="shared" si="119"/>
        <v>730.77120884173928</v>
      </c>
      <c r="CD184" s="59">
        <f ca="1">AVERAGE(OFFSET($CC$3,0,0,'Données projet'!$E$12+1,1))-AVERAGE(OFFSET($H$3,0,0,'Données projet'!$E$12+1,1))</f>
        <v>747.18304127457918</v>
      </c>
      <c r="CE184" s="59">
        <f t="shared" si="148"/>
        <v>327.03701004966723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144.90377258186649</v>
      </c>
      <c r="CL184" s="21">
        <f>EXP(-LN(2)/25)*CL183+(1-EXP(-LN(2)/25))/(LN(2)/25)*Calculateur!CG184*Calculateur!CI184*VLOOKUP('Données projet'!$B$12,Paramètres!$A$1:$I$89,3,0)*0.475*44/12</f>
        <v>27.21147663592869</v>
      </c>
      <c r="CM184" s="21">
        <f>EXP(-LN(2)/2)*CM183+(1-EXP(-LN(2)/2))/(LN(2)/2)*CG184*CJ184*VLOOKUP('Données projet'!$B$12,Paramètres!$A$1:$I$89,3,0)*0.475*44/12</f>
        <v>5.8334377997452993</v>
      </c>
      <c r="CN184" s="22">
        <f t="shared" si="172"/>
        <v>177.94868701754046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2.2933333333333317</v>
      </c>
      <c r="CT184" s="12">
        <f>IF('Données projet'!$A$140&gt;35,CT183+CS184-DB183,IF(A184&lt;'Données projet'!$A$140,$CQ$205^A184,IF(A184='Données projet'!$A$140,'Données projet'!$B$140,CT183+CS184-DB183)))</f>
        <v>186.88333333333415</v>
      </c>
      <c r="CU184" s="17">
        <f>CT184*VLOOKUP('Données projet'!$B$13,Paramètres!$A$1:$I$89,3,0)*VLOOKUP('Données projet'!$B$13,Paramètres!$A$1:$I$89,5,0)</f>
        <v>180.75356000000079</v>
      </c>
      <c r="CV184" s="13">
        <f t="shared" si="173"/>
        <v>45.489798597658492</v>
      </c>
      <c r="CW184" s="20">
        <f t="shared" si="174"/>
        <v>394.04051622425658</v>
      </c>
      <c r="CX184" s="59">
        <f t="shared" si="122"/>
        <v>687.37384955758989</v>
      </c>
      <c r="CY184" s="59">
        <f ca="1">AVERAGE(OFFSET($CX$3,0,0,'Données projet'!$E$13+1,1))-AVERAGE(OFFSET($H$3,0,0,'Données projet'!$E$13+1,1))</f>
        <v>676.29219382388692</v>
      </c>
      <c r="CZ184" s="59">
        <f t="shared" si="150"/>
        <v>298.25577221580448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130.20338985616993</v>
      </c>
      <c r="DG184" s="21">
        <f>EXP(-LN(2)/25)*DG183+(1-EXP(-LN(2)/25))/(LN(2)/25)*Calculateur!DB184*Calculateur!DD184*VLOOKUP('Données projet'!$B$13,Paramètres!$A$1:$I$89,3,0)*0.475*44/12</f>
        <v>24.450892049675051</v>
      </c>
      <c r="DH184" s="21">
        <f>EXP(-LN(2)/2)*DH183+(1-EXP(-LN(2)/2))/(LN(2)/2)*DB184*DE184*VLOOKUP('Données projet'!$B$13,Paramètres!$A$1:$I$89,3,0)*0.475*44/12</f>
        <v>5.2416397620899788</v>
      </c>
      <c r="DI184" s="22">
        <f t="shared" si="175"/>
        <v>159.89592166793497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-8.8675733422860506E-14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197.51452239559433</v>
      </c>
      <c r="EP184" s="59">
        <f t="shared" si="154"/>
        <v>196.65166921588821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2.9993940813326727</v>
      </c>
      <c r="EW184" s="21">
        <f>EXP(-LN(2)/25)*EW183+(1-EXP(-LN(2)/25))/(LN(2)/25)*Calculateur!ER184*Calculateur!ET184*VLOOKUP('Données projet'!$B$15,Paramètres!$A$1:$I$89,3,0)*0.475*44/12</f>
        <v>1.2160808551677533</v>
      </c>
      <c r="EX184" s="21">
        <f>EXP(-LN(2)/2)*EX183+(1-EXP(-LN(2)/2))/(LN(2)/2)*ER184*EU184*VLOOKUP('Données projet'!$B$15,Paramètres!$A$1:$I$89,3,0)*0.475*44/12</f>
        <v>5.404866516354152E-16</v>
      </c>
      <c r="EY184" s="22">
        <f t="shared" si="181"/>
        <v>4.2154749365004269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666.95278829809979</v>
      </c>
      <c r="S185" s="59">
        <f ca="1">AVERAGE(OFFSET($R$3,0,0,'Données projet'!$E$9+1,1))-AVERAGE(OFFSET($H$3,0,0,'Données projet'!$E$9+1,1))</f>
        <v>635.71275911100679</v>
      </c>
      <c r="T185" s="59">
        <f t="shared" si="142"/>
        <v>281.7776857269169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2.2933333333333317</v>
      </c>
      <c r="AI185" s="13">
        <f>IF('Données projet'!$A$62&gt;35,AI184+AH185-AQ184,IF(A185&lt;'Données projet'!$A$62,$AF$205^A185,IF(A185='Données projet'!$A$62,'Données projet'!$B$62,AI184+AH185-AQ184)))</f>
        <v>189.17666666666747</v>
      </c>
      <c r="AJ185" s="13">
        <f>AI185*VLOOKUP('Données projet'!$B$10,Paramètres!$A$1:$I$89,3,0)*VLOOKUP('Données projet'!$B$10,Paramètres!$A$1:$I$89,5,0)</f>
        <v>191.82514000000083</v>
      </c>
      <c r="AK185" s="13">
        <f t="shared" si="164"/>
        <v>47.943240602417134</v>
      </c>
      <c r="AL185" s="20">
        <f t="shared" si="165"/>
        <v>417.59659621587792</v>
      </c>
      <c r="AM185" s="59">
        <f t="shared" si="113"/>
        <v>710.92992954921124</v>
      </c>
      <c r="AN185" s="59">
        <f ca="1">AVERAGE(OFFSET($AM$3,0,0,'Données projet'!$E$10+1,1))-AVERAGE(OFFSET($H$3,0,0,'Données projet'!$E$10+1,1))</f>
        <v>706.69239849991595</v>
      </c>
      <c r="AO185" s="59">
        <f t="shared" si="144"/>
        <v>310.59887275116529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133.82680244879958</v>
      </c>
      <c r="AV185" s="21">
        <f>EXP(-LN(2)/25)*AV184+(1-EXP(-LN(2)/25))/(LN(2)/25)*Calculateur!AQ185*Calculateur!AS185*VLOOKUP('Données projet'!$B$10,Paramètres!$A$1:$I$89,3,0)*0.475*44/12</f>
        <v>24.933036658861464</v>
      </c>
      <c r="AW185" s="21">
        <f>EXP(-LN(2)/2)*AW184+(1-EXP(-LN(2)/2))/(LN(2)/2)*AQ185*AT185*VLOOKUP('Données projet'!$B$10,Paramètres!$A$1:$I$89,3,0)*0.475*44/12</f>
        <v>3.885740908390424</v>
      </c>
      <c r="AX185" s="21">
        <f t="shared" si="166"/>
        <v>162.64558001605147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180.02051600000075</v>
      </c>
      <c r="BF185" s="13">
        <f t="shared" si="167"/>
        <v>45.326750568302394</v>
      </c>
      <c r="BG185" s="20">
        <f t="shared" si="168"/>
        <v>392.47982260646131</v>
      </c>
      <c r="BH185" s="59">
        <f t="shared" si="116"/>
        <v>685.81315593979457</v>
      </c>
      <c r="BI185" s="59">
        <f ca="1">AVERAGE(OFFSET($BH$3,0,0,'Données projet'!$E$11+1,1))-AVERAGE(OFFSET($H$3,0,0,'Données projet'!$E$11+1,1))</f>
        <v>666.1523645983184</v>
      </c>
      <c r="BJ185" s="59">
        <f t="shared" si="146"/>
        <v>294.13851344047526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125.59130691348882</v>
      </c>
      <c r="BQ185" s="21">
        <f>EXP(-LN(2)/25)*BQ184+(1-EXP(-LN(2)/25))/(LN(2)/25)*Calculateur!BL185*Calculateur!BN185*VLOOKUP('Données projet'!$B$11,Paramètres!$A$1:$I$89,3,0)*0.475*44/12</f>
        <v>23.398695941393051</v>
      </c>
      <c r="BR185" s="21">
        <f>EXP(-LN(2)/2)*BR184+(1-EXP(-LN(2)/2))/(LN(2)/2)*BL185*BO185*VLOOKUP('Données projet'!$B$11,Paramètres!$A$1:$I$89,3,0)*0.475*44/12</f>
        <v>3.6466183909510135</v>
      </c>
      <c r="BS185" s="22">
        <f t="shared" si="169"/>
        <v>152.63662124583288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2.2933333333333317</v>
      </c>
      <c r="BY185" s="12">
        <f>IF('Données projet'!$A$114&gt;35,BY184+BX185-CG184,IF(A185&lt;'Données projet'!$A$114,$BV$205^A185,IF(A185='Données projet'!$A$114,'Données projet'!$B$114,BY184+BX185-CG184)))</f>
        <v>189.17666666666747</v>
      </c>
      <c r="BZ185" s="13">
        <f>BY185*VLOOKUP('Données projet'!$B$12,Paramètres!$A$1:$I$89,3,0)*VLOOKUP('Données projet'!$B$12,Paramètres!$A$1:$I$89,5,0)</f>
        <v>203.62976400000085</v>
      </c>
      <c r="CA185" s="13">
        <f t="shared" si="170"/>
        <v>50.541043034593379</v>
      </c>
      <c r="CB185" s="20">
        <f t="shared" si="171"/>
        <v>442.68082225191824</v>
      </c>
      <c r="CC185" s="59">
        <f t="shared" si="119"/>
        <v>736.0141555852515</v>
      </c>
      <c r="CD185" s="59">
        <f ca="1">AVERAGE(OFFSET($CC$3,0,0,'Données projet'!$E$12+1,1))-AVERAGE(OFFSET($H$3,0,0,'Données projet'!$E$12+1,1))</f>
        <v>747.18304127457918</v>
      </c>
      <c r="CE185" s="59">
        <f t="shared" si="148"/>
        <v>327.03701004966723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142.0622979841103</v>
      </c>
      <c r="CL185" s="21">
        <f>EXP(-LN(2)/25)*CL184+(1-EXP(-LN(2)/25))/(LN(2)/25)*Calculateur!CG185*Calculateur!CI185*VLOOKUP('Données projet'!$B$12,Paramètres!$A$1:$I$89,3,0)*0.475*44/12</f>
        <v>26.467377376329857</v>
      </c>
      <c r="CM185" s="21">
        <f>EXP(-LN(2)/2)*CM184+(1-EXP(-LN(2)/2))/(LN(2)/2)*CG185*CJ185*VLOOKUP('Données projet'!$B$12,Paramètres!$A$1:$I$89,3,0)*0.475*44/12</f>
        <v>4.1248634258298349</v>
      </c>
      <c r="CN185" s="22">
        <f t="shared" si="172"/>
        <v>172.65453878627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2.2933333333333317</v>
      </c>
      <c r="CT185" s="12">
        <f>IF('Données projet'!$A$140&gt;35,CT184+CS185-DB184,IF(A185&lt;'Données projet'!$A$140,$CQ$205^A185,IF(A185='Données projet'!$A$140,'Données projet'!$B$140,CT184+CS185-DB184)))</f>
        <v>189.17666666666747</v>
      </c>
      <c r="CU185" s="17">
        <f>CT185*VLOOKUP('Données projet'!$B$13,Paramètres!$A$1:$I$89,3,0)*VLOOKUP('Données projet'!$B$13,Paramètres!$A$1:$I$89,5,0)</f>
        <v>182.97167200000078</v>
      </c>
      <c r="CV185" s="13">
        <f t="shared" si="173"/>
        <v>45.98269705344007</v>
      </c>
      <c r="CW185" s="20">
        <f t="shared" si="174"/>
        <v>398.76219276807609</v>
      </c>
      <c r="CX185" s="59">
        <f t="shared" si="122"/>
        <v>692.0955261014094</v>
      </c>
      <c r="CY185" s="59">
        <f ca="1">AVERAGE(OFFSET($CX$3,0,0,'Données projet'!$E$13+1,1))-AVERAGE(OFFSET($H$3,0,0,'Données projet'!$E$13+1,1))</f>
        <v>676.29219382388692</v>
      </c>
      <c r="CZ185" s="59">
        <f t="shared" si="150"/>
        <v>298.25577221580448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127.65018079731655</v>
      </c>
      <c r="DG185" s="21">
        <f>EXP(-LN(2)/25)*DG184+(1-EXP(-LN(2)/25))/(LN(2)/25)*Calculateur!DB185*Calculateur!DD185*VLOOKUP('Données projet'!$B$13,Paramètres!$A$1:$I$89,3,0)*0.475*44/12</f>
        <v>23.782281120760157</v>
      </c>
      <c r="DH185" s="21">
        <f>EXP(-LN(2)/2)*DH184+(1-EXP(-LN(2)/2))/(LN(2)/2)*DB185*DE185*VLOOKUP('Données projet'!$B$13,Paramètres!$A$1:$I$89,3,0)*0.475*44/12</f>
        <v>3.7063990203108661</v>
      </c>
      <c r="DI185" s="22">
        <f t="shared" si="175"/>
        <v>155.13886093838758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-8.8675733422860506E-14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197.51452239559433</v>
      </c>
      <c r="EP185" s="59">
        <f t="shared" si="154"/>
        <v>196.65166921588821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2.9405777928474857</v>
      </c>
      <c r="EW185" s="21">
        <f>EXP(-LN(2)/25)*EW184+(1-EXP(-LN(2)/25))/(LN(2)/25)*Calculateur!ER185*Calculateur!ET185*VLOOKUP('Données projet'!$B$15,Paramètres!$A$1:$I$89,3,0)*0.475*44/12</f>
        <v>1.1828270602322783</v>
      </c>
      <c r="EX185" s="21">
        <f>EXP(-LN(2)/2)*EX184+(1-EXP(-LN(2)/2))/(LN(2)/2)*ER185*EU185*VLOOKUP('Données projet'!$B$15,Paramètres!$A$1:$I$89,3,0)*0.475*44/12</f>
        <v>3.8218177651221328E-16</v>
      </c>
      <c r="EY185" s="22">
        <f t="shared" si="181"/>
        <v>4.123404853079764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671.37495775152649</v>
      </c>
      <c r="S186" s="59">
        <f ca="1">AVERAGE(OFFSET($R$3,0,0,'Données projet'!$E$9+1,1))-AVERAGE(OFFSET($H$3,0,0,'Données projet'!$E$9+1,1))</f>
        <v>635.71275911100679</v>
      </c>
      <c r="T186" s="59">
        <f t="shared" si="142"/>
        <v>281.7776857269169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2.2933333333333317</v>
      </c>
      <c r="AH186" s="12">
        <f t="array" ref="AH186">INDEX(AG:AG,MIN(IF(ISNUMBER(AG186:AG382),ROW(AG186:AG382),"")))</f>
        <v>2.2933333333333317</v>
      </c>
      <c r="AI186" s="13">
        <f>IF('Données projet'!$A$62&gt;35,AI185+AH186-AQ185,IF(A186&lt;'Données projet'!$A$62,$AF$205^A186,IF(A186='Données projet'!$A$62,'Données projet'!$B$62,AI185+AH186-AQ185)))</f>
        <v>191.47000000000079</v>
      </c>
      <c r="AJ186" s="13">
        <f>AI186*VLOOKUP('Données projet'!$B$10,Paramètres!$A$1:$I$89,3,0)*VLOOKUP('Données projet'!$B$10,Paramètres!$A$1:$I$89,5,0)</f>
        <v>194.15058000000082</v>
      </c>
      <c r="AK186" s="13">
        <f t="shared" si="164"/>
        <v>48.456429865053252</v>
      </c>
      <c r="AL186" s="20">
        <f t="shared" si="165"/>
        <v>422.54054218163583</v>
      </c>
      <c r="AM186" s="59">
        <f t="shared" si="113"/>
        <v>715.87387551496909</v>
      </c>
      <c r="AN186" s="59">
        <f ca="1">AVERAGE(OFFSET($AM$3,0,0,'Données projet'!$E$10+1,1))-AVERAGE(OFFSET($H$3,0,0,'Données projet'!$E$10+1,1))</f>
        <v>706.69239849991595</v>
      </c>
      <c r="AO186" s="59">
        <f t="shared" si="144"/>
        <v>310.59887275116529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191.47</v>
      </c>
      <c r="AR186" s="16">
        <f>IF(ISNA(VLOOKUP(A186,'Données projet'!$A$61:$I$81,5,0)),0%,VLOOKUP(A186,'Données projet'!$A$61:$I$81,5,0)*VLOOKUP('Données projet'!$B$10,Paramètres!$A$1:$I$89,7,0))</f>
        <v>0.19350000000000001</v>
      </c>
      <c r="AS186" s="16">
        <f>IF(ISNA(VLOOKUP(A186,'Données projet'!$A$61:$I$81,6,0)),0%,VLOOKUP(A186,'Données projet'!$A$61:$I$81,6,0)*VLOOKUP('Données projet'!$B$10,Paramètres!$A$1:$I$89,7,0))</f>
        <v>2.1500000000000002E-2</v>
      </c>
      <c r="AT186" s="16">
        <f>IF(ISNA(VLOOKUP(A186,'Données projet'!$A$61:$I$81,7,0)),0%,VLOOKUP(A186,'Données projet'!$A$61:$I$81,7,0))</f>
        <v>0.05</v>
      </c>
      <c r="AU186" s="21">
        <f>EXP(-LN(2)/35)*AU185+(1-EXP(-LN(2)/35))/(LN(2)/35)*AQ186*AR186*VLOOKUP('Données projet'!$B$10,Paramètres!$A$1:$I$89,3,0)*0.475*44/12</f>
        <v>172.73300340106223</v>
      </c>
      <c r="AV186" s="21">
        <f>EXP(-LN(2)/25)*AV185+(1-EXP(-LN(2)/25))/(LN(2)/25)*Calculateur!AQ186*Calculateur!AS186*VLOOKUP('Données projet'!$B$10,Paramètres!$A$1:$I$89,3,0)*0.475*44/12</f>
        <v>28.847568311933841</v>
      </c>
      <c r="AW186" s="21">
        <f>EXP(-LN(2)/2)*AW185+(1-EXP(-LN(2)/2))/(LN(2)/2)*AQ186*AT186*VLOOKUP('Données projet'!$B$10,Paramètres!$A$1:$I$89,3,0)*0.475*44/12</f>
        <v>11.906948632069174</v>
      </c>
      <c r="AX186" s="21">
        <f t="shared" si="166"/>
        <v>213.48752034506524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182.20285200000077</v>
      </c>
      <c r="BF186" s="13">
        <f t="shared" si="167"/>
        <v>45.811932658823523</v>
      </c>
      <c r="BG186" s="20">
        <f t="shared" si="168"/>
        <v>397.12574994745228</v>
      </c>
      <c r="BH186" s="59">
        <f t="shared" si="116"/>
        <v>690.45908328078553</v>
      </c>
      <c r="BI186" s="59">
        <f ca="1">AVERAGE(OFFSET($BH$3,0,0,'Données projet'!$E$11+1,1))-AVERAGE(OFFSET($H$3,0,0,'Données projet'!$E$11+1,1))</f>
        <v>666.1523645983184</v>
      </c>
      <c r="BJ186" s="59">
        <f t="shared" si="146"/>
        <v>294.13851344047526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162.10328011484302</v>
      </c>
      <c r="BQ186" s="21">
        <f>EXP(-LN(2)/25)*BQ185+(1-EXP(-LN(2)/25))/(LN(2)/25)*Calculateur!BL186*Calculateur!BN186*VLOOKUP('Données projet'!$B$11,Paramètres!$A$1:$I$89,3,0)*0.475*44/12</f>
        <v>27.072333338891738</v>
      </c>
      <c r="BR186" s="21">
        <f>EXP(-LN(2)/2)*BR185+(1-EXP(-LN(2)/2))/(LN(2)/2)*BL186*BO186*VLOOKUP('Données projet'!$B$11,Paramètres!$A$1:$I$89,3,0)*0.475*44/12</f>
        <v>11.174213331634148</v>
      </c>
      <c r="BS186" s="22">
        <f t="shared" si="169"/>
        <v>200.34982678536889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2.2933333333333317</v>
      </c>
      <c r="BX186" s="12">
        <f t="array" ref="BX186">INDEX(BW:BW,MIN(IF(ISNUMBER(BW186:BW382),ROW(BW186:BW382),"")))</f>
        <v>2.2933333333333317</v>
      </c>
      <c r="BY186" s="12">
        <f>IF('Données projet'!$A$114&gt;35,BY185+BX186-CG185,IF(A186&lt;'Données projet'!$A$114,$BV$205^A186,IF(A186='Données projet'!$A$114,'Données projet'!$B$114,BY185+BX186-CG185)))</f>
        <v>191.47000000000079</v>
      </c>
      <c r="BZ186" s="13">
        <f>BY186*VLOOKUP('Données projet'!$B$12,Paramètres!$A$1:$I$89,3,0)*VLOOKUP('Données projet'!$B$12,Paramètres!$A$1:$I$89,5,0)</f>
        <v>206.09830800000083</v>
      </c>
      <c r="CA186" s="13">
        <f t="shared" si="170"/>
        <v>51.08203943537638</v>
      </c>
      <c r="CB186" s="20">
        <f t="shared" si="171"/>
        <v>447.92243844994863</v>
      </c>
      <c r="CC186" s="59">
        <f t="shared" si="119"/>
        <v>741.25577178328194</v>
      </c>
      <c r="CD186" s="59">
        <f ca="1">AVERAGE(OFFSET($CC$3,0,0,'Données projet'!$E$12+1,1))-AVERAGE(OFFSET($H$3,0,0,'Données projet'!$E$12+1,1))</f>
        <v>747.18304127457918</v>
      </c>
      <c r="CE186" s="59">
        <f t="shared" si="148"/>
        <v>327.03701004966723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191.47</v>
      </c>
      <c r="CH186" s="16">
        <f>IF(ISNA(VLOOKUP(A186,'Données projet'!$A$113:$I$133,5,0)),0%,VLOOKUP(A186,'Données projet'!$A$113:$I$133,5,0)*VLOOKUP('Données projet'!$B$12,Paramètres!$A$1:$I$89,7,0))</f>
        <v>0.19350000000000001</v>
      </c>
      <c r="CI186" s="16">
        <f>IF(ISNA(VLOOKUP(A186,'Données projet'!$A$113:$I$133,6,0)),0%,VLOOKUP(A186,'Données projet'!$A$113:$I$133,6,0)*VLOOKUP('Données projet'!$B$12,Paramètres!$A$1:$I$89,7,0))</f>
        <v>2.1500000000000002E-2</v>
      </c>
      <c r="CJ186" s="16">
        <f>IF(ISNA(VLOOKUP(A186,'Données projet'!$A$113:$I$133,7,0)),0%,VLOOKUP(A186,'Données projet'!$A$113:$I$133,7,0))</f>
        <v>0.05</v>
      </c>
      <c r="CK186" s="21">
        <f>EXP(-LN(2)/35)*CK185+(1-EXP(-LN(2)/35))/(LN(2)/35)*CG186*CH186*VLOOKUP('Données projet'!$B$12,Paramètres!$A$1:$I$89,3,0)*0.475*44/12</f>
        <v>183.36272668728142</v>
      </c>
      <c r="CL186" s="21">
        <f>EXP(-LN(2)/25)*CL185+(1-EXP(-LN(2)/25))/(LN(2)/25)*Calculateur!CG186*Calculateur!CI186*VLOOKUP('Données projet'!$B$12,Paramètres!$A$1:$I$89,3,0)*0.475*44/12</f>
        <v>30.622803284975916</v>
      </c>
      <c r="CM186" s="21">
        <f>EXP(-LN(2)/2)*CM185+(1-EXP(-LN(2)/2))/(LN(2)/2)*CG186*CJ186*VLOOKUP('Données projet'!$B$12,Paramètres!$A$1:$I$89,3,0)*0.475*44/12</f>
        <v>12.6396839325042</v>
      </c>
      <c r="CN186" s="22">
        <f t="shared" si="172"/>
        <v>226.62521390476152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2.2933333333333317</v>
      </c>
      <c r="CS186" s="12">
        <f t="array" ref="CS186">INDEX(CR:CR,MIN(IF(ISNUMBER(CR186:CR382),ROW(CR186:CR382),"")))</f>
        <v>2.2933333333333317</v>
      </c>
      <c r="CT186" s="12">
        <f>IF('Données projet'!$A$140&gt;35,CT185+CS186-DB185,IF(A186&lt;'Données projet'!$A$140,$CQ$205^A186,IF(A186='Données projet'!$A$140,'Données projet'!$B$140,CT185+CS186-DB185)))</f>
        <v>191.47000000000079</v>
      </c>
      <c r="CU186" s="17">
        <f>CT186*VLOOKUP('Données projet'!$B$13,Paramètres!$A$1:$I$89,3,0)*VLOOKUP('Données projet'!$B$13,Paramètres!$A$1:$I$89,5,0)</f>
        <v>185.18978400000077</v>
      </c>
      <c r="CV186" s="13">
        <f t="shared" si="173"/>
        <v>46.474900461018727</v>
      </c>
      <c r="CW186" s="20">
        <f t="shared" si="174"/>
        <v>403.48265876960892</v>
      </c>
      <c r="CX186" s="59">
        <f t="shared" si="122"/>
        <v>696.81599210294223</v>
      </c>
      <c r="CY186" s="59">
        <f ca="1">AVERAGE(OFFSET($CX$3,0,0,'Données projet'!$E$13+1,1))-AVERAGE(OFFSET($H$3,0,0,'Données projet'!$E$13+1,1))</f>
        <v>676.29219382388692</v>
      </c>
      <c r="CZ186" s="59">
        <f t="shared" si="150"/>
        <v>298.25577221580448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191.47</v>
      </c>
      <c r="DC186" s="16">
        <f>IF(ISNA(VLOOKUP(A186,'Données projet'!$A$139:$I$159,5,0)),0%,VLOOKUP(A186,'Données projet'!$A$139:$I$159,5,0)*VLOOKUP('Données projet'!$B$13,Paramètres!$A$1:$I$89,7,0))</f>
        <v>0.19350000000000001</v>
      </c>
      <c r="DD186" s="16">
        <f>IF(ISNA(VLOOKUP(A186,'Données projet'!$A$139:$I$159,6,0)),0%,VLOOKUP(A186,'Données projet'!$A$139:$I$159,6,0)*VLOOKUP('Données projet'!$B$13,Paramètres!$A$1:$I$89,7,0))</f>
        <v>2.1500000000000002E-2</v>
      </c>
      <c r="DE186" s="16">
        <f>IF(ISNA(VLOOKUP(A186,'Données projet'!$A$139:$I$159,7,0)),0%,VLOOKUP(A186,'Données projet'!$A$139:$I$159,7,0))</f>
        <v>0.05</v>
      </c>
      <c r="DF186" s="21">
        <f>EXP(-LN(2)/35)*DF185+(1-EXP(-LN(2)/35))/(LN(2)/35)*DB186*DC186*VLOOKUP('Données projet'!$B$13,Paramètres!$A$1:$I$89,3,0)*0.475*44/12</f>
        <v>164.76071093639786</v>
      </c>
      <c r="DG186" s="21">
        <f>EXP(-LN(2)/25)*DG185+(1-EXP(-LN(2)/25))/(LN(2)/25)*Calculateur!DB186*Calculateur!DD186*VLOOKUP('Données projet'!$B$13,Paramètres!$A$1:$I$89,3,0)*0.475*44/12</f>
        <v>27.516142082152271</v>
      </c>
      <c r="DH186" s="21">
        <f>EXP(-LN(2)/2)*DH185+(1-EXP(-LN(2)/2))/(LN(2)/2)*DB186*DE186*VLOOKUP('Données projet'!$B$13,Paramètres!$A$1:$I$89,3,0)*0.475*44/12</f>
        <v>11.357397156742906</v>
      </c>
      <c r="DI186" s="22">
        <f t="shared" si="175"/>
        <v>203.63425017529303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-8.8675733422860506E-14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197.51452239559433</v>
      </c>
      <c r="EP186" s="59">
        <f t="shared" si="154"/>
        <v>196.65166921588821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2.8829148559050992</v>
      </c>
      <c r="EW186" s="21">
        <f>EXP(-LN(2)/25)*EW185+(1-EXP(-LN(2)/25))/(LN(2)/25)*Calculateur!ER186*Calculateur!ET186*VLOOKUP('Données projet'!$B$15,Paramètres!$A$1:$I$89,3,0)*0.475*44/12</f>
        <v>1.150482592068055</v>
      </c>
      <c r="EX186" s="21">
        <f>EXP(-LN(2)/2)*EX185+(1-EXP(-LN(2)/2))/(LN(2)/2)*ER186*EU186*VLOOKUP('Données projet'!$B$15,Paramètres!$A$1:$I$89,3,0)*0.475*44/12</f>
        <v>2.702433258177076E-16</v>
      </c>
      <c r="EY186" s="22">
        <f t="shared" si="181"/>
        <v>4.0333974479731545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293.33333333334951</v>
      </c>
      <c r="S187" s="59">
        <f ca="1">AVERAGE(OFFSET($R$3,0,0,'Données projet'!$E$9+1,1))-AVERAGE(OFFSET($H$3,0,0,'Données projet'!$E$9+1,1))</f>
        <v>635.71275911100679</v>
      </c>
      <c r="T187" s="59">
        <f t="shared" si="142"/>
        <v>281.7776857269169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8.0694917414803056E-13</v>
      </c>
      <c r="AK187" s="13">
        <f t="shared" si="164"/>
        <v>9.5069530861628001E-12</v>
      </c>
      <c r="AL187" s="20">
        <f t="shared" si="165"/>
        <v>1.7963379770041364E-11</v>
      </c>
      <c r="AM187" s="59">
        <f t="shared" si="113"/>
        <v>293.33333333335128</v>
      </c>
      <c r="AN187" s="59">
        <f ca="1">AVERAGE(OFFSET($AM$3,0,0,'Données projet'!$E$10+1,1))-AVERAGE(OFFSET($H$3,0,0,'Données projet'!$E$10+1,1))</f>
        <v>706.69239849991595</v>
      </c>
      <c r="AO187" s="59">
        <f t="shared" si="144"/>
        <v>310.59887275116529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169.34581456109638</v>
      </c>
      <c r="AV187" s="21">
        <f>EXP(-LN(2)/25)*AV186+(1-EXP(-LN(2)/25))/(LN(2)/25)*Calculateur!AQ187*Calculateur!AS187*VLOOKUP('Données projet'!$B$10,Paramètres!$A$1:$I$89,3,0)*0.475*44/12</f>
        <v>28.058730039416325</v>
      </c>
      <c r="AW187" s="21">
        <f>EXP(-LN(2)/2)*AW186+(1-EXP(-LN(2)/2))/(LN(2)/2)*AQ187*AT187*VLOOKUP('Données projet'!$B$10,Paramètres!$A$1:$I$89,3,0)*0.475*44/12</f>
        <v>8.4194841209759996</v>
      </c>
      <c r="AX187" s="21">
        <f t="shared" si="166"/>
        <v>205.8240287214887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7.572907634312286E-13</v>
      </c>
      <c r="BF187" s="13">
        <f t="shared" si="167"/>
        <v>8.9881135648416407E-12</v>
      </c>
      <c r="BG187" s="20">
        <f t="shared" si="168"/>
        <v>1.6973245871741914E-11</v>
      </c>
      <c r="BH187" s="59">
        <f t="shared" si="116"/>
        <v>293.33333333335031</v>
      </c>
      <c r="BI187" s="59">
        <f ca="1">AVERAGE(OFFSET($BH$3,0,0,'Données projet'!$E$11+1,1))-AVERAGE(OFFSET($H$3,0,0,'Données projet'!$E$11+1,1))</f>
        <v>666.1523645983184</v>
      </c>
      <c r="BJ187" s="59">
        <f t="shared" si="146"/>
        <v>294.13851344047526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158.92453366502889</v>
      </c>
      <c r="BQ187" s="21">
        <f>EXP(-LN(2)/25)*BQ186+(1-EXP(-LN(2)/25))/(LN(2)/25)*Calculateur!BL187*Calculateur!BN187*VLOOKUP('Données projet'!$B$11,Paramètres!$A$1:$I$89,3,0)*0.475*44/12</f>
        <v>26.332038960067607</v>
      </c>
      <c r="BR187" s="21">
        <f>EXP(-LN(2)/2)*BR186+(1-EXP(-LN(2)/2))/(LN(2)/2)*BL187*BO187*VLOOKUP('Données projet'!$B$11,Paramètres!$A$1:$I$89,3,0)*0.475*44/12</f>
        <v>7.9013620212236297</v>
      </c>
      <c r="BS187" s="22">
        <f t="shared" si="169"/>
        <v>193.15793464632014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7.9580786405131221E-13</v>
      </c>
      <c r="BZ187" s="13">
        <f>BY187*VLOOKUP('Données projet'!$B$12,Paramètres!$A$1:$I$89,3,0)*VLOOKUP('Données projet'!$B$12,Paramètres!$A$1:$I$89,5,0)</f>
        <v>8.5660758486483253E-13</v>
      </c>
      <c r="CA187" s="13">
        <f t="shared" si="170"/>
        <v>1.0022086930673386E-11</v>
      </c>
      <c r="CB187" s="20">
        <f t="shared" si="171"/>
        <v>1.8947059614562397E-11</v>
      </c>
      <c r="CC187" s="59">
        <f t="shared" si="119"/>
        <v>293.33333333335224</v>
      </c>
      <c r="CD187" s="59">
        <f ca="1">AVERAGE(OFFSET($CC$3,0,0,'Données projet'!$E$12+1,1))-AVERAGE(OFFSET($H$3,0,0,'Données projet'!$E$12+1,1))</f>
        <v>747.18304127457918</v>
      </c>
      <c r="CE187" s="59">
        <f t="shared" si="148"/>
        <v>327.03701004966723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179.7670954571638</v>
      </c>
      <c r="CL187" s="21">
        <f>EXP(-LN(2)/25)*CL186+(1-EXP(-LN(2)/25))/(LN(2)/25)*Calculateur!CG187*Calculateur!CI187*VLOOKUP('Données projet'!$B$12,Paramètres!$A$1:$I$89,3,0)*0.475*44/12</f>
        <v>29.785421118765015</v>
      </c>
      <c r="CM187" s="21">
        <f>EXP(-LN(2)/2)*CM186+(1-EXP(-LN(2)/2))/(LN(2)/2)*CG187*CJ187*VLOOKUP('Données projet'!$B$12,Paramètres!$A$1:$I$89,3,0)*0.475*44/12</f>
        <v>8.9376062207283677</v>
      </c>
      <c r="CN187" s="22">
        <f t="shared" si="172"/>
        <v>218.49012279665718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7.9580786405131221E-13</v>
      </c>
      <c r="CU187" s="17">
        <f>CT187*VLOOKUP('Données projet'!$B$13,Paramètres!$A$1:$I$89,3,0)*VLOOKUP('Données projet'!$B$13,Paramètres!$A$1:$I$89,5,0)</f>
        <v>7.6970536611042922E-13</v>
      </c>
      <c r="CV187" s="13">
        <f t="shared" si="173"/>
        <v>9.1181851324470472E-12</v>
      </c>
      <c r="CW187" s="20">
        <f t="shared" si="174"/>
        <v>1.7221409284987601E-11</v>
      </c>
      <c r="CX187" s="59">
        <f t="shared" si="122"/>
        <v>293.33333333335054</v>
      </c>
      <c r="CY187" s="59">
        <f ca="1">AVERAGE(OFFSET($CX$3,0,0,'Données projet'!$E$13+1,1))-AVERAGE(OFFSET($H$3,0,0,'Données projet'!$E$13+1,1))</f>
        <v>676.29219382388692</v>
      </c>
      <c r="CZ187" s="59">
        <f t="shared" si="150"/>
        <v>298.25577221580448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161.5298538890458</v>
      </c>
      <c r="DG187" s="21">
        <f>EXP(-LN(2)/25)*DG186+(1-EXP(-LN(2)/25))/(LN(2)/25)*Calculateur!DB187*Calculateur!DD187*VLOOKUP('Données projet'!$B$13,Paramètres!$A$1:$I$89,3,0)*0.475*44/12</f>
        <v>26.763711729904795</v>
      </c>
      <c r="DH187" s="21">
        <f>EXP(-LN(2)/2)*DH186+(1-EXP(-LN(2)/2))/(LN(2)/2)*DB187*DE187*VLOOKUP('Données projet'!$B$13,Paramètres!$A$1:$I$89,3,0)*0.475*44/12</f>
        <v>8.0308925461617235</v>
      </c>
      <c r="DI187" s="22">
        <f t="shared" si="175"/>
        <v>196.32445816511233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-8.8675733422860506E-14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197.51452239559433</v>
      </c>
      <c r="EP187" s="59">
        <f t="shared" si="154"/>
        <v>196.65166921588821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2.8263826539852341</v>
      </c>
      <c r="EW187" s="21">
        <f>EXP(-LN(2)/25)*EW186+(1-EXP(-LN(2)/25))/(LN(2)/25)*Calculateur!ER187*Calculateur!ET187*VLOOKUP('Données projet'!$B$15,Paramètres!$A$1:$I$89,3,0)*0.475*44/12</f>
        <v>1.1190225850867039</v>
      </c>
      <c r="EX187" s="21">
        <f>EXP(-LN(2)/2)*EX186+(1-EXP(-LN(2)/2))/(LN(2)/2)*ER187*EU187*VLOOKUP('Données projet'!$B$15,Paramètres!$A$1:$I$89,3,0)*0.475*44/12</f>
        <v>1.9109088825610664E-16</v>
      </c>
      <c r="EY187" s="22">
        <f t="shared" si="181"/>
        <v>3.9454052390719383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293.33333333334951</v>
      </c>
      <c r="S188" s="59">
        <f ca="1">AVERAGE(OFFSET($R$3,0,0,'Données projet'!$E$9+1,1))-AVERAGE(OFFSET($H$3,0,0,'Données projet'!$E$9+1,1))</f>
        <v>635.71275911100679</v>
      </c>
      <c r="T188" s="59">
        <f t="shared" si="142"/>
        <v>281.7776857269169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8.0694917414803056E-13</v>
      </c>
      <c r="AK188" s="13">
        <f t="shared" si="164"/>
        <v>9.5069530861628001E-12</v>
      </c>
      <c r="AL188" s="20">
        <f t="shared" si="165"/>
        <v>1.7963379770041364E-11</v>
      </c>
      <c r="AM188" s="59">
        <f t="shared" si="113"/>
        <v>293.33333333335128</v>
      </c>
      <c r="AN188" s="59">
        <f ca="1">AVERAGE(OFFSET($AM$3,0,0,'Données projet'!$E$10+1,1))-AVERAGE(OFFSET($H$3,0,0,'Données projet'!$E$10+1,1))</f>
        <v>706.69239849991595</v>
      </c>
      <c r="AO188" s="59">
        <f t="shared" si="144"/>
        <v>310.59887275116529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166.02504642830104</v>
      </c>
      <c r="AV188" s="21">
        <f>EXP(-LN(2)/25)*AV187+(1-EXP(-LN(2)/25))/(LN(2)/25)*Calculateur!AQ188*Calculateur!AS188*VLOOKUP('Données projet'!$B$10,Paramètres!$A$1:$I$89,3,0)*0.475*44/12</f>
        <v>27.291462590944001</v>
      </c>
      <c r="AW188" s="21">
        <f>EXP(-LN(2)/2)*AW187+(1-EXP(-LN(2)/2))/(LN(2)/2)*AQ188*AT188*VLOOKUP('Données projet'!$B$10,Paramètres!$A$1:$I$89,3,0)*0.475*44/12</f>
        <v>5.9534743160345878</v>
      </c>
      <c r="AX188" s="21">
        <f t="shared" si="166"/>
        <v>199.26998333527965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7.572907634312286E-13</v>
      </c>
      <c r="BF188" s="13">
        <f t="shared" si="167"/>
        <v>8.9881135648416407E-12</v>
      </c>
      <c r="BG188" s="20">
        <f t="shared" si="168"/>
        <v>1.6973245871741914E-11</v>
      </c>
      <c r="BH188" s="59">
        <f t="shared" si="116"/>
        <v>293.33333333335031</v>
      </c>
      <c r="BI188" s="59">
        <f ca="1">AVERAGE(OFFSET($BH$3,0,0,'Données projet'!$E$11+1,1))-AVERAGE(OFFSET($H$3,0,0,'Données projet'!$E$11+1,1))</f>
        <v>666.1523645983184</v>
      </c>
      <c r="BJ188" s="59">
        <f t="shared" si="146"/>
        <v>294.13851344047526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155.80812049425174</v>
      </c>
      <c r="BQ188" s="21">
        <f>EXP(-LN(2)/25)*BQ187+(1-EXP(-LN(2)/25))/(LN(2)/25)*Calculateur!BL188*Calculateur!BN188*VLOOKUP('Données projet'!$B$11,Paramètres!$A$1:$I$89,3,0)*0.475*44/12</f>
        <v>25.611987969962811</v>
      </c>
      <c r="BR188" s="21">
        <f>EXP(-LN(2)/2)*BR187+(1-EXP(-LN(2)/2))/(LN(2)/2)*BL188*BO188*VLOOKUP('Données projet'!$B$11,Paramètres!$A$1:$I$89,3,0)*0.475*44/12</f>
        <v>5.5871066658170747</v>
      </c>
      <c r="BS188" s="22">
        <f t="shared" si="169"/>
        <v>187.00721513003162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7.9580786405131221E-13</v>
      </c>
      <c r="BZ188" s="13">
        <f>BY188*VLOOKUP('Données projet'!$B$12,Paramètres!$A$1:$I$89,3,0)*VLOOKUP('Données projet'!$B$12,Paramètres!$A$1:$I$89,5,0)</f>
        <v>8.5660758486483253E-13</v>
      </c>
      <c r="CA188" s="13">
        <f t="shared" si="170"/>
        <v>1.0022086930673386E-11</v>
      </c>
      <c r="CB188" s="20">
        <f t="shared" si="171"/>
        <v>1.8947059614562397E-11</v>
      </c>
      <c r="CC188" s="59">
        <f t="shared" si="119"/>
        <v>293.33333333335224</v>
      </c>
      <c r="CD188" s="59">
        <f ca="1">AVERAGE(OFFSET($CC$3,0,0,'Données projet'!$E$12+1,1))-AVERAGE(OFFSET($H$3,0,0,'Données projet'!$E$12+1,1))</f>
        <v>747.18304127457918</v>
      </c>
      <c r="CE188" s="59">
        <f t="shared" si="148"/>
        <v>327.03701004966723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176.24197236235031</v>
      </c>
      <c r="CL188" s="21">
        <f>EXP(-LN(2)/25)*CL187+(1-EXP(-LN(2)/25))/(LN(2)/25)*Calculateur!CG188*Calculateur!CI188*VLOOKUP('Données projet'!$B$12,Paramètres!$A$1:$I$89,3,0)*0.475*44/12</f>
        <v>28.970937211925165</v>
      </c>
      <c r="CM188" s="21">
        <f>EXP(-LN(2)/2)*CM187+(1-EXP(-LN(2)/2))/(LN(2)/2)*CG188*CJ188*VLOOKUP('Données projet'!$B$12,Paramètres!$A$1:$I$89,3,0)*0.475*44/12</f>
        <v>6.3198419662520999</v>
      </c>
      <c r="CN188" s="22">
        <f t="shared" si="172"/>
        <v>211.53275154052758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7.9580786405131221E-13</v>
      </c>
      <c r="CU188" s="17">
        <f>CT188*VLOOKUP('Données projet'!$B$13,Paramètres!$A$1:$I$89,3,0)*VLOOKUP('Données projet'!$B$13,Paramètres!$A$1:$I$89,5,0)</f>
        <v>7.6970536611042922E-13</v>
      </c>
      <c r="CV188" s="13">
        <f t="shared" si="173"/>
        <v>9.1181851324470472E-12</v>
      </c>
      <c r="CW188" s="20">
        <f t="shared" si="174"/>
        <v>1.7221409284987601E-11</v>
      </c>
      <c r="CX188" s="59">
        <f t="shared" si="122"/>
        <v>293.33333333335054</v>
      </c>
      <c r="CY188" s="59">
        <f ca="1">AVERAGE(OFFSET($CX$3,0,0,'Données projet'!$E$13+1,1))-AVERAGE(OFFSET($H$3,0,0,'Données projet'!$E$13+1,1))</f>
        <v>676.29219382388692</v>
      </c>
      <c r="CZ188" s="59">
        <f t="shared" si="150"/>
        <v>298.25577221580448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158.36235197776409</v>
      </c>
      <c r="DG188" s="21">
        <f>EXP(-LN(2)/25)*DG187+(1-EXP(-LN(2)/25))/(LN(2)/25)*Calculateur!DB188*Calculateur!DD188*VLOOKUP('Données projet'!$B$13,Paramètres!$A$1:$I$89,3,0)*0.475*44/12</f>
        <v>26.031856625208118</v>
      </c>
      <c r="DH188" s="21">
        <f>EXP(-LN(2)/2)*DH187+(1-EXP(-LN(2)/2))/(LN(2)/2)*DB188*DE188*VLOOKUP('Données projet'!$B$13,Paramètres!$A$1:$I$89,3,0)*0.475*44/12</f>
        <v>5.6786985783714536</v>
      </c>
      <c r="DI188" s="22">
        <f t="shared" si="175"/>
        <v>190.07290718134368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-8.8675733422860506E-14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197.51452239559433</v>
      </c>
      <c r="EP188" s="59">
        <f t="shared" si="154"/>
        <v>196.65166921588821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2.7709590140637794</v>
      </c>
      <c r="EW188" s="21">
        <f>EXP(-LN(2)/25)*EW187+(1-EXP(-LN(2)/25))/(LN(2)/25)*Calculateur!ER188*Calculateur!ET188*VLOOKUP('Données projet'!$B$15,Paramètres!$A$1:$I$89,3,0)*0.475*44/12</f>
        <v>1.0884228536506679</v>
      </c>
      <c r="EX188" s="21">
        <f>EXP(-LN(2)/2)*EX187+(1-EXP(-LN(2)/2))/(LN(2)/2)*ER188*EU188*VLOOKUP('Données projet'!$B$15,Paramètres!$A$1:$I$89,3,0)*0.475*44/12</f>
        <v>1.351216629088538E-16</v>
      </c>
      <c r="EY188" s="22">
        <f t="shared" si="181"/>
        <v>3.8593818677144474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293.33333333334951</v>
      </c>
      <c r="S189" s="59">
        <f ca="1">AVERAGE(OFFSET($R$3,0,0,'Données projet'!$E$9+1,1))-AVERAGE(OFFSET($H$3,0,0,'Données projet'!$E$9+1,1))</f>
        <v>635.71275911100679</v>
      </c>
      <c r="T189" s="59">
        <f t="shared" si="142"/>
        <v>281.7776857269169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8.0694917414803056E-13</v>
      </c>
      <c r="AK189" s="13">
        <f t="shared" si="164"/>
        <v>9.5069530861628001E-12</v>
      </c>
      <c r="AL189" s="20">
        <f t="shared" si="165"/>
        <v>1.7963379770041364E-11</v>
      </c>
      <c r="AM189" s="59">
        <f t="shared" si="113"/>
        <v>293.33333333335128</v>
      </c>
      <c r="AN189" s="59">
        <f ca="1">AVERAGE(OFFSET($AM$3,0,0,'Données projet'!$E$10+1,1))-AVERAGE(OFFSET($H$3,0,0,'Données projet'!$E$10+1,1))</f>
        <v>706.69239849991595</v>
      </c>
      <c r="AO189" s="59">
        <f t="shared" si="144"/>
        <v>310.59887275116529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162.76939653312127</v>
      </c>
      <c r="AV189" s="21">
        <f>EXP(-LN(2)/25)*AV188+(1-EXP(-LN(2)/25))/(LN(2)/25)*Calculateur!AQ189*Calculateur!AS189*VLOOKUP('Données projet'!$B$10,Paramètres!$A$1:$I$89,3,0)*0.475*44/12</f>
        <v>26.545176111198995</v>
      </c>
      <c r="AW189" s="21">
        <f>EXP(-LN(2)/2)*AW188+(1-EXP(-LN(2)/2))/(LN(2)/2)*AQ189*AT189*VLOOKUP('Données projet'!$B$10,Paramètres!$A$1:$I$89,3,0)*0.475*44/12</f>
        <v>4.2097420604879998</v>
      </c>
      <c r="AX189" s="21">
        <f t="shared" si="166"/>
        <v>193.52431470480826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7.572907634312286E-13</v>
      </c>
      <c r="BF189" s="13">
        <f t="shared" si="167"/>
        <v>8.9881135648416407E-12</v>
      </c>
      <c r="BG189" s="20">
        <f t="shared" si="168"/>
        <v>1.6973245871741914E-11</v>
      </c>
      <c r="BH189" s="59">
        <f t="shared" si="116"/>
        <v>293.33333333335031</v>
      </c>
      <c r="BI189" s="59">
        <f ca="1">AVERAGE(OFFSET($BH$3,0,0,'Données projet'!$E$11+1,1))-AVERAGE(OFFSET($H$3,0,0,'Données projet'!$E$11+1,1))</f>
        <v>666.1523645983184</v>
      </c>
      <c r="BJ189" s="59">
        <f t="shared" si="146"/>
        <v>294.13851344047526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152.75281828492919</v>
      </c>
      <c r="BQ189" s="21">
        <f>EXP(-LN(2)/25)*BQ188+(1-EXP(-LN(2)/25))/(LN(2)/25)*Calculateur!BL189*Calculateur!BN189*VLOOKUP('Données projet'!$B$11,Paramètres!$A$1:$I$89,3,0)*0.475*44/12</f>
        <v>24.911626812048269</v>
      </c>
      <c r="BR189" s="21">
        <f>EXP(-LN(2)/2)*BR188+(1-EXP(-LN(2)/2))/(LN(2)/2)*BL189*BO189*VLOOKUP('Données projet'!$B$11,Paramètres!$A$1:$I$89,3,0)*0.475*44/12</f>
        <v>3.9506810106118158</v>
      </c>
      <c r="BS189" s="22">
        <f t="shared" si="169"/>
        <v>181.61512610758928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7.9580786405131221E-13</v>
      </c>
      <c r="BZ189" s="13">
        <f>BY189*VLOOKUP('Données projet'!$B$12,Paramètres!$A$1:$I$89,3,0)*VLOOKUP('Données projet'!$B$12,Paramètres!$A$1:$I$89,5,0)</f>
        <v>8.5660758486483253E-13</v>
      </c>
      <c r="CA189" s="13">
        <f t="shared" si="170"/>
        <v>1.0022086930673386E-11</v>
      </c>
      <c r="CB189" s="20">
        <f t="shared" si="171"/>
        <v>1.8947059614562397E-11</v>
      </c>
      <c r="CC189" s="59">
        <f t="shared" si="119"/>
        <v>293.33333333335224</v>
      </c>
      <c r="CD189" s="59">
        <f ca="1">AVERAGE(OFFSET($CC$3,0,0,'Données projet'!$E$12+1,1))-AVERAGE(OFFSET($H$3,0,0,'Données projet'!$E$12+1,1))</f>
        <v>747.18304127457918</v>
      </c>
      <c r="CE189" s="59">
        <f t="shared" si="148"/>
        <v>327.03701004966723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172.78597478131331</v>
      </c>
      <c r="CL189" s="21">
        <f>EXP(-LN(2)/25)*CL188+(1-EXP(-LN(2)/25))/(LN(2)/25)*Calculateur!CG189*Calculateur!CI189*VLOOKUP('Données projet'!$B$12,Paramètres!$A$1:$I$89,3,0)*0.475*44/12</f>
        <v>28.178725410349696</v>
      </c>
      <c r="CM189" s="21">
        <f>EXP(-LN(2)/2)*CM188+(1-EXP(-LN(2)/2))/(LN(2)/2)*CG189*CJ189*VLOOKUP('Données projet'!$B$12,Paramètres!$A$1:$I$89,3,0)*0.475*44/12</f>
        <v>4.4688031103641839</v>
      </c>
      <c r="CN189" s="22">
        <f t="shared" si="172"/>
        <v>205.43350330202719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7.9580786405131221E-13</v>
      </c>
      <c r="CU189" s="17">
        <f>CT189*VLOOKUP('Données projet'!$B$13,Paramètres!$A$1:$I$89,3,0)*VLOOKUP('Données projet'!$B$13,Paramètres!$A$1:$I$89,5,0)</f>
        <v>7.6970536611042922E-13</v>
      </c>
      <c r="CV189" s="13">
        <f t="shared" si="173"/>
        <v>9.1181851324470472E-12</v>
      </c>
      <c r="CW189" s="20">
        <f t="shared" si="174"/>
        <v>1.7221409284987601E-11</v>
      </c>
      <c r="CX189" s="59">
        <f t="shared" si="122"/>
        <v>293.33333333335054</v>
      </c>
      <c r="CY189" s="59">
        <f ca="1">AVERAGE(OFFSET($CX$3,0,0,'Données projet'!$E$13+1,1))-AVERAGE(OFFSET($H$3,0,0,'Données projet'!$E$13+1,1))</f>
        <v>676.29219382388692</v>
      </c>
      <c r="CZ189" s="59">
        <f t="shared" si="150"/>
        <v>298.25577221580448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155.25696284697722</v>
      </c>
      <c r="DG189" s="21">
        <f>EXP(-LN(2)/25)*DG188+(1-EXP(-LN(2)/25))/(LN(2)/25)*Calculateur!DB189*Calculateur!DD189*VLOOKUP('Données projet'!$B$13,Paramètres!$A$1:$I$89,3,0)*0.475*44/12</f>
        <v>25.320014136835958</v>
      </c>
      <c r="DH189" s="21">
        <f>EXP(-LN(2)/2)*DH188+(1-EXP(-LN(2)/2))/(LN(2)/2)*DB189*DE189*VLOOKUP('Données projet'!$B$13,Paramètres!$A$1:$I$89,3,0)*0.475*44/12</f>
        <v>4.0154462730808627</v>
      </c>
      <c r="DI189" s="22">
        <f t="shared" si="175"/>
        <v>184.59242325689405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-8.8675733422860506E-14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197.51452239559433</v>
      </c>
      <c r="EP189" s="59">
        <f t="shared" si="154"/>
        <v>196.65166921588821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2.7166221979161018</v>
      </c>
      <c r="EW189" s="21">
        <f>EXP(-LN(2)/25)*EW188+(1-EXP(-LN(2)/25))/(LN(2)/25)*Calculateur!ER189*Calculateur!ET189*VLOOKUP('Données projet'!$B$15,Paramètres!$A$1:$I$89,3,0)*0.475*44/12</f>
        <v>1.0586598734799202</v>
      </c>
      <c r="EX189" s="21">
        <f>EXP(-LN(2)/2)*EX188+(1-EXP(-LN(2)/2))/(LN(2)/2)*ER189*EU189*VLOOKUP('Données projet'!$B$15,Paramètres!$A$1:$I$89,3,0)*0.475*44/12</f>
        <v>9.554544412805332E-17</v>
      </c>
      <c r="EY189" s="22">
        <f t="shared" si="181"/>
        <v>3.7752820713960222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293.33333333334951</v>
      </c>
      <c r="S190" s="59">
        <f ca="1">AVERAGE(OFFSET($R$3,0,0,'Données projet'!$E$9+1,1))-AVERAGE(OFFSET($H$3,0,0,'Données projet'!$E$9+1,1))</f>
        <v>635.71275911100679</v>
      </c>
      <c r="T190" s="59">
        <f t="shared" si="142"/>
        <v>281.7776857269169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8.0694917414803056E-13</v>
      </c>
      <c r="AK190" s="13">
        <f t="shared" si="164"/>
        <v>9.5069530861628001E-12</v>
      </c>
      <c r="AL190" s="20">
        <f t="shared" si="165"/>
        <v>1.7963379770041364E-11</v>
      </c>
      <c r="AM190" s="59">
        <f t="shared" si="113"/>
        <v>293.33333333335128</v>
      </c>
      <c r="AN190" s="59">
        <f ca="1">AVERAGE(OFFSET($AM$3,0,0,'Données projet'!$E$10+1,1))-AVERAGE(OFFSET($H$3,0,0,'Données projet'!$E$10+1,1))</f>
        <v>706.69239849991595</v>
      </c>
      <c r="AO190" s="59">
        <f t="shared" si="144"/>
        <v>310.59887275116529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159.57758794663562</v>
      </c>
      <c r="AV190" s="21">
        <f>EXP(-LN(2)/25)*AV189+(1-EXP(-LN(2)/25))/(LN(2)/25)*Calculateur!AQ190*Calculateur!AS190*VLOOKUP('Données projet'!$B$10,Paramètres!$A$1:$I$89,3,0)*0.475*44/12</f>
        <v>25.819296874488117</v>
      </c>
      <c r="AW190" s="21">
        <f>EXP(-LN(2)/2)*AW189+(1-EXP(-LN(2)/2))/(LN(2)/2)*AQ190*AT190*VLOOKUP('Données projet'!$B$10,Paramètres!$A$1:$I$89,3,0)*0.475*44/12</f>
        <v>2.9767371580172939</v>
      </c>
      <c r="AX190" s="21">
        <f t="shared" si="166"/>
        <v>188.37362197914103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7.572907634312286E-13</v>
      </c>
      <c r="BF190" s="13">
        <f t="shared" si="167"/>
        <v>8.9881135648416407E-12</v>
      </c>
      <c r="BG190" s="20">
        <f t="shared" si="168"/>
        <v>1.6973245871741914E-11</v>
      </c>
      <c r="BH190" s="59">
        <f t="shared" si="116"/>
        <v>293.33333333335031</v>
      </c>
      <c r="BI190" s="59">
        <f ca="1">AVERAGE(OFFSET($BH$3,0,0,'Données projet'!$E$11+1,1))-AVERAGE(OFFSET($H$3,0,0,'Données projet'!$E$11+1,1))</f>
        <v>666.1523645983184</v>
      </c>
      <c r="BJ190" s="59">
        <f t="shared" si="146"/>
        <v>294.13851344047526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149.75742868838111</v>
      </c>
      <c r="BQ190" s="21">
        <f>EXP(-LN(2)/25)*BQ189+(1-EXP(-LN(2)/25))/(LN(2)/25)*Calculateur!BL190*Calculateur!BN190*VLOOKUP('Données projet'!$B$11,Paramètres!$A$1:$I$89,3,0)*0.475*44/12</f>
        <v>24.23041706682729</v>
      </c>
      <c r="BR190" s="21">
        <f>EXP(-LN(2)/2)*BR189+(1-EXP(-LN(2)/2))/(LN(2)/2)*BL190*BO190*VLOOKUP('Données projet'!$B$11,Paramètres!$A$1:$I$89,3,0)*0.475*44/12</f>
        <v>2.7935533329085378</v>
      </c>
      <c r="BS190" s="22">
        <f t="shared" si="169"/>
        <v>176.78139908811696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7.9580786405131221E-13</v>
      </c>
      <c r="BZ190" s="13">
        <f>BY190*VLOOKUP('Données projet'!$B$12,Paramètres!$A$1:$I$89,3,0)*VLOOKUP('Données projet'!$B$12,Paramètres!$A$1:$I$89,5,0)</f>
        <v>8.5660758486483253E-13</v>
      </c>
      <c r="CA190" s="13">
        <f t="shared" si="170"/>
        <v>1.0022086930673386E-11</v>
      </c>
      <c r="CB190" s="20">
        <f t="shared" si="171"/>
        <v>1.8947059614562397E-11</v>
      </c>
      <c r="CC190" s="59">
        <f t="shared" si="119"/>
        <v>293.33333333335224</v>
      </c>
      <c r="CD190" s="59">
        <f ca="1">AVERAGE(OFFSET($CC$3,0,0,'Données projet'!$E$12+1,1))-AVERAGE(OFFSET($H$3,0,0,'Données projet'!$E$12+1,1))</f>
        <v>747.18304127457918</v>
      </c>
      <c r="CE190" s="59">
        <f t="shared" si="148"/>
        <v>327.03701004966723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169.39774720489007</v>
      </c>
      <c r="CL190" s="21">
        <f>EXP(-LN(2)/25)*CL189+(1-EXP(-LN(2)/25))/(LN(2)/25)*Calculateur!CG190*Calculateur!CI190*VLOOKUP('Données projet'!$B$12,Paramètres!$A$1:$I$89,3,0)*0.475*44/12</f>
        <v>27.408176682148916</v>
      </c>
      <c r="CM190" s="21">
        <f>EXP(-LN(2)/2)*CM189+(1-EXP(-LN(2)/2))/(LN(2)/2)*CG190*CJ190*VLOOKUP('Données projet'!$B$12,Paramètres!$A$1:$I$89,3,0)*0.475*44/12</f>
        <v>3.15992098312605</v>
      </c>
      <c r="CN190" s="22">
        <f t="shared" si="172"/>
        <v>199.96584487016503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7.9580786405131221E-13</v>
      </c>
      <c r="CU190" s="17">
        <f>CT190*VLOOKUP('Données projet'!$B$13,Paramètres!$A$1:$I$89,3,0)*VLOOKUP('Données projet'!$B$13,Paramètres!$A$1:$I$89,5,0)</f>
        <v>7.6970536611042922E-13</v>
      </c>
      <c r="CV190" s="13">
        <f t="shared" si="173"/>
        <v>9.1181851324470472E-12</v>
      </c>
      <c r="CW190" s="20">
        <f t="shared" si="174"/>
        <v>1.7221409284987601E-11</v>
      </c>
      <c r="CX190" s="59">
        <f t="shared" si="122"/>
        <v>293.33333333335054</v>
      </c>
      <c r="CY190" s="59">
        <f ca="1">AVERAGE(OFFSET($CX$3,0,0,'Données projet'!$E$13+1,1))-AVERAGE(OFFSET($H$3,0,0,'Données projet'!$E$13+1,1))</f>
        <v>676.29219382388692</v>
      </c>
      <c r="CZ190" s="59">
        <f t="shared" si="150"/>
        <v>298.25577221580448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152.21246850294474</v>
      </c>
      <c r="DG190" s="21">
        <f>EXP(-LN(2)/25)*DG189+(1-EXP(-LN(2)/25))/(LN(2)/25)*Calculateur!DB190*Calculateur!DD190*VLOOKUP('Données projet'!$B$13,Paramètres!$A$1:$I$89,3,0)*0.475*44/12</f>
        <v>24.627637018742504</v>
      </c>
      <c r="DH190" s="21">
        <f>EXP(-LN(2)/2)*DH189+(1-EXP(-LN(2)/2))/(LN(2)/2)*DB190*DE190*VLOOKUP('Données projet'!$B$13,Paramètres!$A$1:$I$89,3,0)*0.475*44/12</f>
        <v>2.8393492891857277</v>
      </c>
      <c r="DI190" s="22">
        <f t="shared" si="175"/>
        <v>179.67945481087295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-8.8675733422860506E-14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197.51452239559433</v>
      </c>
      <c r="EP190" s="59">
        <f t="shared" si="154"/>
        <v>196.65166921588821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2.6633508935908949</v>
      </c>
      <c r="EW190" s="21">
        <f>EXP(-LN(2)/25)*EW189+(1-EXP(-LN(2)/25))/(LN(2)/25)*Calculateur!ER190*Calculateur!ET190*VLOOKUP('Données projet'!$B$15,Paramètres!$A$1:$I$89,3,0)*0.475*44/12</f>
        <v>1.0297107635671086</v>
      </c>
      <c r="EX190" s="21">
        <f>EXP(-LN(2)/2)*EX189+(1-EXP(-LN(2)/2))/(LN(2)/2)*ER190*EU190*VLOOKUP('Données projet'!$B$15,Paramètres!$A$1:$I$89,3,0)*0.475*44/12</f>
        <v>6.75608314544269E-17</v>
      </c>
      <c r="EY190" s="22">
        <f t="shared" si="181"/>
        <v>3.6930616571580037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293.33333333334951</v>
      </c>
      <c r="S191" s="59">
        <f ca="1">AVERAGE(OFFSET($R$3,0,0,'Données projet'!$E$9+1,1))-AVERAGE(OFFSET($H$3,0,0,'Données projet'!$E$9+1,1))</f>
        <v>635.71275911100679</v>
      </c>
      <c r="T191" s="59">
        <f t="shared" si="142"/>
        <v>281.7776857269169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8.0694917414803056E-13</v>
      </c>
      <c r="AK191" s="13">
        <f t="shared" si="164"/>
        <v>9.5069530861628001E-12</v>
      </c>
      <c r="AL191" s="20">
        <f t="shared" si="165"/>
        <v>1.7963379770041364E-11</v>
      </c>
      <c r="AM191" s="59">
        <f t="shared" si="113"/>
        <v>293.33333333335128</v>
      </c>
      <c r="AN191" s="59">
        <f ca="1">AVERAGE(OFFSET($AM$3,0,0,'Données projet'!$E$10+1,1))-AVERAGE(OFFSET($H$3,0,0,'Données projet'!$E$10+1,1))</f>
        <v>706.69239849991595</v>
      </c>
      <c r="AO191" s="59">
        <f t="shared" si="144"/>
        <v>310.59887275116529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156.44836877971994</v>
      </c>
      <c r="AV191" s="21">
        <f>EXP(-LN(2)/25)*AV190+(1-EXP(-LN(2)/25))/(LN(2)/25)*Calculateur!AQ191*Calculateur!AS191*VLOOKUP('Données projet'!$B$10,Paramètres!$A$1:$I$89,3,0)*0.475*44/12</f>
        <v>25.113266843677426</v>
      </c>
      <c r="AW191" s="21">
        <f>EXP(-LN(2)/2)*AW190+(1-EXP(-LN(2)/2))/(LN(2)/2)*AQ191*AT191*VLOOKUP('Données projet'!$B$10,Paramètres!$A$1:$I$89,3,0)*0.475*44/12</f>
        <v>2.1048710302439999</v>
      </c>
      <c r="AX191" s="21">
        <f t="shared" si="166"/>
        <v>183.66650665364136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7.572907634312286E-13</v>
      </c>
      <c r="BF191" s="13">
        <f t="shared" si="167"/>
        <v>8.9881135648416407E-12</v>
      </c>
      <c r="BG191" s="20">
        <f t="shared" si="168"/>
        <v>1.6973245871741914E-11</v>
      </c>
      <c r="BH191" s="59">
        <f t="shared" si="116"/>
        <v>293.33333333335031</v>
      </c>
      <c r="BI191" s="59">
        <f ca="1">AVERAGE(OFFSET($BH$3,0,0,'Données projet'!$E$11+1,1))-AVERAGE(OFFSET($H$3,0,0,'Données projet'!$E$11+1,1))</f>
        <v>666.1523645983184</v>
      </c>
      <c r="BJ191" s="59">
        <f t="shared" si="146"/>
        <v>294.13851344047526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146.82077685481408</v>
      </c>
      <c r="BQ191" s="21">
        <f>EXP(-LN(2)/25)*BQ190+(1-EXP(-LN(2)/25))/(LN(2)/25)*Calculateur!BL191*Calculateur!BN191*VLOOKUP('Données projet'!$B$11,Paramètres!$A$1:$I$89,3,0)*0.475*44/12</f>
        <v>23.567835037912644</v>
      </c>
      <c r="BR191" s="21">
        <f>EXP(-LN(2)/2)*BR190+(1-EXP(-LN(2)/2))/(LN(2)/2)*BL191*BO191*VLOOKUP('Données projet'!$B$11,Paramètres!$A$1:$I$89,3,0)*0.475*44/12</f>
        <v>1.9753405053059081</v>
      </c>
      <c r="BS191" s="22">
        <f t="shared" si="169"/>
        <v>172.36395239803261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7.9580786405131221E-13</v>
      </c>
      <c r="BZ191" s="13">
        <f>BY191*VLOOKUP('Données projet'!$B$12,Paramètres!$A$1:$I$89,3,0)*VLOOKUP('Données projet'!$B$12,Paramètres!$A$1:$I$89,5,0)</f>
        <v>8.5660758486483253E-13</v>
      </c>
      <c r="CA191" s="13">
        <f t="shared" si="170"/>
        <v>1.0022086930673386E-11</v>
      </c>
      <c r="CB191" s="20">
        <f t="shared" si="171"/>
        <v>1.8947059614562397E-11</v>
      </c>
      <c r="CC191" s="59">
        <f t="shared" si="119"/>
        <v>293.33333333335224</v>
      </c>
      <c r="CD191" s="59">
        <f ca="1">AVERAGE(OFFSET($CC$3,0,0,'Données projet'!$E$12+1,1))-AVERAGE(OFFSET($H$3,0,0,'Données projet'!$E$12+1,1))</f>
        <v>747.18304127457918</v>
      </c>
      <c r="CE191" s="59">
        <f t="shared" si="148"/>
        <v>327.03701004966723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166.07596070462571</v>
      </c>
      <c r="CL191" s="21">
        <f>EXP(-LN(2)/25)*CL190+(1-EXP(-LN(2)/25))/(LN(2)/25)*Calculateur!CG191*Calculateur!CI191*VLOOKUP('Données projet'!$B$12,Paramètres!$A$1:$I$89,3,0)*0.475*44/12</f>
        <v>26.658698649442183</v>
      </c>
      <c r="CM191" s="21">
        <f>EXP(-LN(2)/2)*CM190+(1-EXP(-LN(2)/2))/(LN(2)/2)*CG191*CJ191*VLOOKUP('Données projet'!$B$12,Paramètres!$A$1:$I$89,3,0)*0.475*44/12</f>
        <v>2.2344015551820919</v>
      </c>
      <c r="CN191" s="22">
        <f t="shared" si="172"/>
        <v>194.96906090925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7.9580786405131221E-13</v>
      </c>
      <c r="CU191" s="17">
        <f>CT191*VLOOKUP('Données projet'!$B$13,Paramètres!$A$1:$I$89,3,0)*VLOOKUP('Données projet'!$B$13,Paramètres!$A$1:$I$89,5,0)</f>
        <v>7.6970536611042922E-13</v>
      </c>
      <c r="CV191" s="13">
        <f t="shared" si="173"/>
        <v>9.1181851324470472E-12</v>
      </c>
      <c r="CW191" s="20">
        <f t="shared" si="174"/>
        <v>1.7221409284987601E-11</v>
      </c>
      <c r="CX191" s="59">
        <f t="shared" si="122"/>
        <v>293.33333333335054</v>
      </c>
      <c r="CY191" s="59">
        <f ca="1">AVERAGE(OFFSET($CX$3,0,0,'Données projet'!$E$13+1,1))-AVERAGE(OFFSET($H$3,0,0,'Données projet'!$E$13+1,1))</f>
        <v>676.29219382388692</v>
      </c>
      <c r="CZ191" s="59">
        <f t="shared" si="150"/>
        <v>298.25577221580448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149.22767483604056</v>
      </c>
      <c r="DG191" s="21">
        <f>EXP(-LN(2)/25)*DG190+(1-EXP(-LN(2)/25))/(LN(2)/25)*Calculateur!DB191*Calculateur!DD191*VLOOKUP('Données projet'!$B$13,Paramètres!$A$1:$I$89,3,0)*0.475*44/12</f>
        <v>23.954192989353846</v>
      </c>
      <c r="DH191" s="21">
        <f>EXP(-LN(2)/2)*DH190+(1-EXP(-LN(2)/2))/(LN(2)/2)*DB191*DE191*VLOOKUP('Données projet'!$B$13,Paramètres!$A$1:$I$89,3,0)*0.475*44/12</f>
        <v>2.0077231365404318</v>
      </c>
      <c r="DI191" s="22">
        <f t="shared" si="175"/>
        <v>175.18959096193484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-8.8675733422860506E-14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197.51452239559433</v>
      </c>
      <c r="EP191" s="59">
        <f t="shared" si="154"/>
        <v>196.65166921588821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2.6111242070512182</v>
      </c>
      <c r="EW191" s="21">
        <f>EXP(-LN(2)/25)*EW190+(1-EXP(-LN(2)/25))/(LN(2)/25)*Calculateur!ER191*Calculateur!ET191*VLOOKUP('Données projet'!$B$15,Paramètres!$A$1:$I$89,3,0)*0.475*44/12</f>
        <v>1.0015532685872304</v>
      </c>
      <c r="EX191" s="21">
        <f>EXP(-LN(2)/2)*EX190+(1-EXP(-LN(2)/2))/(LN(2)/2)*ER191*EU191*VLOOKUP('Données projet'!$B$15,Paramètres!$A$1:$I$89,3,0)*0.475*44/12</f>
        <v>4.777272206402666E-17</v>
      </c>
      <c r="EY191" s="22">
        <f t="shared" si="181"/>
        <v>3.6126774756384483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293.33333333334951</v>
      </c>
      <c r="S192" s="59">
        <f ca="1">AVERAGE(OFFSET($R$3,0,0,'Données projet'!$E$9+1,1))-AVERAGE(OFFSET($H$3,0,0,'Données projet'!$E$9+1,1))</f>
        <v>635.71275911100679</v>
      </c>
      <c r="T192" s="59">
        <f t="shared" si="142"/>
        <v>281.7776857269169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8.0694917414803056E-13</v>
      </c>
      <c r="AK192" s="13">
        <f t="shared" si="164"/>
        <v>9.5069530861628001E-12</v>
      </c>
      <c r="AL192" s="20">
        <f t="shared" si="165"/>
        <v>1.7963379770041364E-11</v>
      </c>
      <c r="AM192" s="59">
        <f t="shared" si="113"/>
        <v>293.33333333335128</v>
      </c>
      <c r="AN192" s="59">
        <f ca="1">AVERAGE(OFFSET($AM$3,0,0,'Données projet'!$E$10+1,1))-AVERAGE(OFFSET($H$3,0,0,'Données projet'!$E$10+1,1))</f>
        <v>706.69239849991595</v>
      </c>
      <c r="AO192" s="59">
        <f t="shared" si="144"/>
        <v>310.59887275116529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153.38051169203226</v>
      </c>
      <c r="AV192" s="21">
        <f>EXP(-LN(2)/25)*AV191+(1-EXP(-LN(2)/25))/(LN(2)/25)*Calculateur!AQ192*Calculateur!AS192*VLOOKUP('Données projet'!$B$10,Paramètres!$A$1:$I$89,3,0)*0.475*44/12</f>
        <v>24.426543241187762</v>
      </c>
      <c r="AW192" s="21">
        <f>EXP(-LN(2)/2)*AW191+(1-EXP(-LN(2)/2))/(LN(2)/2)*AQ192*AT192*VLOOKUP('Données projet'!$B$10,Paramètres!$A$1:$I$89,3,0)*0.475*44/12</f>
        <v>1.4883685790086469</v>
      </c>
      <c r="AX192" s="21">
        <f t="shared" si="166"/>
        <v>179.29542351222867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7.572907634312286E-13</v>
      </c>
      <c r="BF192" s="13">
        <f t="shared" si="167"/>
        <v>8.9881135648416407E-12</v>
      </c>
      <c r="BG192" s="20">
        <f t="shared" si="168"/>
        <v>1.6973245871741914E-11</v>
      </c>
      <c r="BH192" s="59">
        <f t="shared" si="116"/>
        <v>293.33333333335031</v>
      </c>
      <c r="BI192" s="59">
        <f ca="1">AVERAGE(OFFSET($BH$3,0,0,'Données projet'!$E$11+1,1))-AVERAGE(OFFSET($H$3,0,0,'Données projet'!$E$11+1,1))</f>
        <v>666.1523645983184</v>
      </c>
      <c r="BJ192" s="59">
        <f t="shared" si="146"/>
        <v>294.13851344047526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143.94171097252254</v>
      </c>
      <c r="BQ192" s="21">
        <f>EXP(-LN(2)/25)*BQ191+(1-EXP(-LN(2)/25))/(LN(2)/25)*Calculateur!BL192*Calculateur!BN192*VLOOKUP('Données projet'!$B$11,Paramètres!$A$1:$I$89,3,0)*0.475*44/12</f>
        <v>22.923371349422343</v>
      </c>
      <c r="BR192" s="21">
        <f>EXP(-LN(2)/2)*BR191+(1-EXP(-LN(2)/2))/(LN(2)/2)*BL192*BO192*VLOOKUP('Données projet'!$B$11,Paramètres!$A$1:$I$89,3,0)*0.475*44/12</f>
        <v>1.3967766664542691</v>
      </c>
      <c r="BS192" s="22">
        <f t="shared" si="169"/>
        <v>168.26185898839915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7.9580786405131221E-13</v>
      </c>
      <c r="BZ192" s="13">
        <f>BY192*VLOOKUP('Données projet'!$B$12,Paramètres!$A$1:$I$89,3,0)*VLOOKUP('Données projet'!$B$12,Paramètres!$A$1:$I$89,5,0)</f>
        <v>8.5660758486483253E-13</v>
      </c>
      <c r="CA192" s="13">
        <f t="shared" si="170"/>
        <v>1.0022086930673386E-11</v>
      </c>
      <c r="CB192" s="20">
        <f t="shared" si="171"/>
        <v>1.8947059614562397E-11</v>
      </c>
      <c r="CC192" s="59">
        <f t="shared" si="119"/>
        <v>293.33333333335224</v>
      </c>
      <c r="CD192" s="59">
        <f ca="1">AVERAGE(OFFSET($CC$3,0,0,'Données projet'!$E$12+1,1))-AVERAGE(OFFSET($H$3,0,0,'Données projet'!$E$12+1,1))</f>
        <v>747.18304127457918</v>
      </c>
      <c r="CE192" s="59">
        <f t="shared" si="148"/>
        <v>327.03701004966723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162.81931241154186</v>
      </c>
      <c r="CL192" s="21">
        <f>EXP(-LN(2)/25)*CL191+(1-EXP(-LN(2)/25))/(LN(2)/25)*Calculateur!CG192*Calculateur!CI192*VLOOKUP('Données projet'!$B$12,Paramètres!$A$1:$I$89,3,0)*0.475*44/12</f>
        <v>25.929715132953152</v>
      </c>
      <c r="CM192" s="21">
        <f>EXP(-LN(2)/2)*CM191+(1-EXP(-LN(2)/2))/(LN(2)/2)*CG192*CJ192*VLOOKUP('Données projet'!$B$12,Paramètres!$A$1:$I$89,3,0)*0.475*44/12</f>
        <v>1.579960491563025</v>
      </c>
      <c r="CN192" s="22">
        <f t="shared" si="172"/>
        <v>190.32898803605804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7.9580786405131221E-13</v>
      </c>
      <c r="CU192" s="17">
        <f>CT192*VLOOKUP('Données projet'!$B$13,Paramètres!$A$1:$I$89,3,0)*VLOOKUP('Données projet'!$B$13,Paramètres!$A$1:$I$89,5,0)</f>
        <v>7.6970536611042922E-13</v>
      </c>
      <c r="CV192" s="13">
        <f t="shared" si="173"/>
        <v>9.1181851324470472E-12</v>
      </c>
      <c r="CW192" s="20">
        <f t="shared" si="174"/>
        <v>1.7221409284987601E-11</v>
      </c>
      <c r="CX192" s="59">
        <f t="shared" si="122"/>
        <v>293.33333333335054</v>
      </c>
      <c r="CY192" s="59">
        <f ca="1">AVERAGE(OFFSET($CX$3,0,0,'Données projet'!$E$13+1,1))-AVERAGE(OFFSET($H$3,0,0,'Données projet'!$E$13+1,1))</f>
        <v>676.29219382388692</v>
      </c>
      <c r="CZ192" s="59">
        <f t="shared" si="150"/>
        <v>298.25577221580448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146.30141115239999</v>
      </c>
      <c r="DG192" s="21">
        <f>EXP(-LN(2)/25)*DG191+(1-EXP(-LN(2)/25))/(LN(2)/25)*Calculateur!DB192*Calculateur!DD192*VLOOKUP('Données projet'!$B$13,Paramètres!$A$1:$I$89,3,0)*0.475*44/12</f>
        <v>23.299164322363705</v>
      </c>
      <c r="DH192" s="21">
        <f>EXP(-LN(2)/2)*DH191+(1-EXP(-LN(2)/2))/(LN(2)/2)*DB192*DE192*VLOOKUP('Données projet'!$B$13,Paramètres!$A$1:$I$89,3,0)*0.475*44/12</f>
        <v>1.4196746445928641</v>
      </c>
      <c r="DI192" s="22">
        <f t="shared" si="175"/>
        <v>171.02025011935658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-8.8675733422860506E-14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197.51452239559433</v>
      </c>
      <c r="EP192" s="59">
        <f t="shared" si="154"/>
        <v>196.65166921588821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2.5599216539794512</v>
      </c>
      <c r="EW192" s="21">
        <f>EXP(-LN(2)/25)*EW191+(1-EXP(-LN(2)/25))/(LN(2)/25)*Calculateur!ER192*Calculateur!ET192*VLOOKUP('Données projet'!$B$15,Paramètres!$A$1:$I$89,3,0)*0.475*44/12</f>
        <v>0.97416574178831528</v>
      </c>
      <c r="EX192" s="21">
        <f>EXP(-LN(2)/2)*EX191+(1-EXP(-LN(2)/2))/(LN(2)/2)*ER192*EU192*VLOOKUP('Données projet'!$B$15,Paramètres!$A$1:$I$89,3,0)*0.475*44/12</f>
        <v>3.378041572721345E-17</v>
      </c>
      <c r="EY192" s="22">
        <f t="shared" si="181"/>
        <v>3.5340873957677665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293.33333333334951</v>
      </c>
      <c r="S193" s="59">
        <f ca="1">AVERAGE(OFFSET($R$3,0,0,'Données projet'!$E$9+1,1))-AVERAGE(OFFSET($H$3,0,0,'Données projet'!$E$9+1,1))</f>
        <v>635.71275911100679</v>
      </c>
      <c r="T193" s="59">
        <f t="shared" si="142"/>
        <v>281.7776857269169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8.0694917414803056E-13</v>
      </c>
      <c r="AK193" s="13">
        <f t="shared" si="164"/>
        <v>9.5069530861628001E-12</v>
      </c>
      <c r="AL193" s="20">
        <f t="shared" si="165"/>
        <v>1.7963379770041364E-11</v>
      </c>
      <c r="AM193" s="59">
        <f t="shared" si="113"/>
        <v>293.33333333335128</v>
      </c>
      <c r="AN193" s="59">
        <f ca="1">AVERAGE(OFFSET($AM$3,0,0,'Données projet'!$E$10+1,1))-AVERAGE(OFFSET($H$3,0,0,'Données projet'!$E$10+1,1))</f>
        <v>706.69239849991595</v>
      </c>
      <c r="AO193" s="59">
        <f t="shared" si="144"/>
        <v>310.59887275116529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150.37281341062607</v>
      </c>
      <c r="AV193" s="21">
        <f>EXP(-LN(2)/25)*AV192+(1-EXP(-LN(2)/25))/(LN(2)/25)*Calculateur!AQ193*Calculateur!AS193*VLOOKUP('Données projet'!$B$10,Paramètres!$A$1:$I$89,3,0)*0.475*44/12</f>
        <v>23.758598131721403</v>
      </c>
      <c r="AW193" s="21">
        <f>EXP(-LN(2)/2)*AW192+(1-EXP(-LN(2)/2))/(LN(2)/2)*AQ193*AT193*VLOOKUP('Données projet'!$B$10,Paramètres!$A$1:$I$89,3,0)*0.475*44/12</f>
        <v>1.052435515122</v>
      </c>
      <c r="AX193" s="21">
        <f t="shared" si="166"/>
        <v>175.18384705746948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7.572907634312286E-13</v>
      </c>
      <c r="BF193" s="13">
        <f t="shared" si="167"/>
        <v>8.9881135648416407E-12</v>
      </c>
      <c r="BG193" s="20">
        <f t="shared" si="168"/>
        <v>1.6973245871741914E-11</v>
      </c>
      <c r="BH193" s="59">
        <f t="shared" si="116"/>
        <v>293.33333333335031</v>
      </c>
      <c r="BI193" s="59">
        <f ca="1">AVERAGE(OFFSET($BH$3,0,0,'Données projet'!$E$11+1,1))-AVERAGE(OFFSET($H$3,0,0,'Données projet'!$E$11+1,1))</f>
        <v>666.1523645983184</v>
      </c>
      <c r="BJ193" s="59">
        <f t="shared" si="146"/>
        <v>294.13851344047526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141.11910181612595</v>
      </c>
      <c r="BQ193" s="21">
        <f>EXP(-LN(2)/25)*BQ192+(1-EXP(-LN(2)/25))/(LN(2)/25)*Calculateur!BL193*Calculateur!BN193*VLOOKUP('Données projet'!$B$11,Paramètres!$A$1:$I$89,3,0)*0.475*44/12</f>
        <v>22.296530554384681</v>
      </c>
      <c r="BR193" s="21">
        <f>EXP(-LN(2)/2)*BR192+(1-EXP(-LN(2)/2))/(LN(2)/2)*BL193*BO193*VLOOKUP('Données projet'!$B$11,Paramètres!$A$1:$I$89,3,0)*0.475*44/12</f>
        <v>0.98767025265295427</v>
      </c>
      <c r="BS193" s="22">
        <f t="shared" si="169"/>
        <v>164.40330262316357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7.9580786405131221E-13</v>
      </c>
      <c r="BZ193" s="13">
        <f>BY193*VLOOKUP('Données projet'!$B$12,Paramètres!$A$1:$I$89,3,0)*VLOOKUP('Données projet'!$B$12,Paramètres!$A$1:$I$89,5,0)</f>
        <v>8.5660758486483253E-13</v>
      </c>
      <c r="CA193" s="13">
        <f t="shared" si="170"/>
        <v>1.0022086930673386E-11</v>
      </c>
      <c r="CB193" s="20">
        <f t="shared" si="171"/>
        <v>1.8947059614562397E-11</v>
      </c>
      <c r="CC193" s="59">
        <f t="shared" si="119"/>
        <v>293.33333333335224</v>
      </c>
      <c r="CD193" s="59">
        <f ca="1">AVERAGE(OFFSET($CC$3,0,0,'Données projet'!$E$12+1,1))-AVERAGE(OFFSET($H$3,0,0,'Données projet'!$E$12+1,1))</f>
        <v>747.18304127457918</v>
      </c>
      <c r="CE193" s="59">
        <f t="shared" si="148"/>
        <v>327.03701004966723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159.62652500512604</v>
      </c>
      <c r="CL193" s="21">
        <f>EXP(-LN(2)/25)*CL192+(1-EXP(-LN(2)/25))/(LN(2)/25)*Calculateur!CG193*Calculateur!CI193*VLOOKUP('Données projet'!$B$12,Paramètres!$A$1:$I$89,3,0)*0.475*44/12</f>
        <v>25.220665709058093</v>
      </c>
      <c r="CM193" s="21">
        <f>EXP(-LN(2)/2)*CM192+(1-EXP(-LN(2)/2))/(LN(2)/2)*CG193*CJ193*VLOOKUP('Données projet'!$B$12,Paramètres!$A$1:$I$89,3,0)*0.475*44/12</f>
        <v>1.117200777591046</v>
      </c>
      <c r="CN193" s="22">
        <f t="shared" si="172"/>
        <v>185.96439149177519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7.9580786405131221E-13</v>
      </c>
      <c r="CU193" s="17">
        <f>CT193*VLOOKUP('Données projet'!$B$13,Paramètres!$A$1:$I$89,3,0)*VLOOKUP('Données projet'!$B$13,Paramètres!$A$1:$I$89,5,0)</f>
        <v>7.6970536611042922E-13</v>
      </c>
      <c r="CV193" s="13">
        <f t="shared" si="173"/>
        <v>9.1181851324470472E-12</v>
      </c>
      <c r="CW193" s="20">
        <f t="shared" si="174"/>
        <v>1.7221409284987601E-11</v>
      </c>
      <c r="CX193" s="59">
        <f t="shared" si="122"/>
        <v>293.33333333335054</v>
      </c>
      <c r="CY193" s="59">
        <f ca="1">AVERAGE(OFFSET($CX$3,0,0,'Données projet'!$E$13+1,1))-AVERAGE(OFFSET($H$3,0,0,'Données projet'!$E$13+1,1))</f>
        <v>676.29219382388692</v>
      </c>
      <c r="CZ193" s="59">
        <f t="shared" si="150"/>
        <v>298.25577221580448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143.43252971475101</v>
      </c>
      <c r="DG193" s="21">
        <f>EXP(-LN(2)/25)*DG192+(1-EXP(-LN(2)/25))/(LN(2)/25)*Calculateur!DB193*Calculateur!DD193*VLOOKUP('Données projet'!$B$13,Paramètres!$A$1:$I$89,3,0)*0.475*44/12</f>
        <v>22.662047448718869</v>
      </c>
      <c r="DH193" s="21">
        <f>EXP(-LN(2)/2)*DH192+(1-EXP(-LN(2)/2))/(LN(2)/2)*DB193*DE193*VLOOKUP('Données projet'!$B$13,Paramètres!$A$1:$I$89,3,0)*0.475*44/12</f>
        <v>1.0038615682702161</v>
      </c>
      <c r="DI193" s="22">
        <f t="shared" si="175"/>
        <v>167.09843873174012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-8.8675733422860506E-14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197.51452239559433</v>
      </c>
      <c r="EP193" s="59">
        <f t="shared" si="154"/>
        <v>196.65166921588821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2.5097231517429477</v>
      </c>
      <c r="EW193" s="21">
        <f>EXP(-LN(2)/25)*EW192+(1-EXP(-LN(2)/25))/(LN(2)/25)*Calculateur!ER193*Calculateur!ET193*VLOOKUP('Données projet'!$B$15,Paramètres!$A$1:$I$89,3,0)*0.475*44/12</f>
        <v>0.94752712834996389</v>
      </c>
      <c r="EX193" s="21">
        <f>EXP(-LN(2)/2)*EX192+(1-EXP(-LN(2)/2))/(LN(2)/2)*ER193*EU193*VLOOKUP('Données projet'!$B$15,Paramètres!$A$1:$I$89,3,0)*0.475*44/12</f>
        <v>2.388636103201333E-17</v>
      </c>
      <c r="EY193" s="22">
        <f t="shared" si="181"/>
        <v>3.4572502800929117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293.33333333334951</v>
      </c>
      <c r="S194" s="59">
        <f ca="1">AVERAGE(OFFSET($R$3,0,0,'Données projet'!$E$9+1,1))-AVERAGE(OFFSET($H$3,0,0,'Données projet'!$E$9+1,1))</f>
        <v>635.71275911100679</v>
      </c>
      <c r="T194" s="59">
        <f t="shared" si="142"/>
        <v>281.7776857269169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8.0694917414803056E-13</v>
      </c>
      <c r="AK194" s="13">
        <f t="shared" si="164"/>
        <v>9.5069530861628001E-12</v>
      </c>
      <c r="AL194" s="20">
        <f t="shared" si="165"/>
        <v>1.7963379770041364E-11</v>
      </c>
      <c r="AM194" s="59">
        <f t="shared" si="113"/>
        <v>293.33333333335128</v>
      </c>
      <c r="AN194" s="59">
        <f ca="1">AVERAGE(OFFSET($AM$3,0,0,'Données projet'!$E$10+1,1))-AVERAGE(OFFSET($H$3,0,0,'Données projet'!$E$10+1,1))</f>
        <v>706.69239849991595</v>
      </c>
      <c r="AO194" s="59">
        <f t="shared" si="144"/>
        <v>310.59887275116529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147.42409425800344</v>
      </c>
      <c r="AV194" s="21">
        <f>EXP(-LN(2)/25)*AV193+(1-EXP(-LN(2)/25))/(LN(2)/25)*Calculateur!AQ194*Calculateur!AS194*VLOOKUP('Données projet'!$B$10,Paramètres!$A$1:$I$89,3,0)*0.475*44/12</f>
        <v>23.108918016399105</v>
      </c>
      <c r="AW194" s="21">
        <f>EXP(-LN(2)/2)*AW193+(1-EXP(-LN(2)/2))/(LN(2)/2)*AQ194*AT194*VLOOKUP('Données projet'!$B$10,Paramètres!$A$1:$I$89,3,0)*0.475*44/12</f>
        <v>0.74418428950432347</v>
      </c>
      <c r="AX194" s="21">
        <f t="shared" si="166"/>
        <v>171.27719656390687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7.572907634312286E-13</v>
      </c>
      <c r="BF194" s="13">
        <f t="shared" si="167"/>
        <v>8.9881135648416407E-12</v>
      </c>
      <c r="BG194" s="20">
        <f t="shared" si="168"/>
        <v>1.6973245871741914E-11</v>
      </c>
      <c r="BH194" s="59">
        <f t="shared" si="116"/>
        <v>293.33333333335031</v>
      </c>
      <c r="BI194" s="59">
        <f ca="1">AVERAGE(OFFSET($BH$3,0,0,'Données projet'!$E$11+1,1))-AVERAGE(OFFSET($H$3,0,0,'Données projet'!$E$11+1,1))</f>
        <v>666.1523645983184</v>
      </c>
      <c r="BJ194" s="59">
        <f t="shared" si="146"/>
        <v>294.13851344047526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138.35184230366471</v>
      </c>
      <c r="BQ194" s="21">
        <f>EXP(-LN(2)/25)*BQ193+(1-EXP(-LN(2)/25))/(LN(2)/25)*Calculateur!BL194*Calculateur!BN194*VLOOKUP('Données projet'!$B$11,Paramètres!$A$1:$I$89,3,0)*0.475*44/12</f>
        <v>21.686830753851449</v>
      </c>
      <c r="BR194" s="21">
        <f>EXP(-LN(2)/2)*BR193+(1-EXP(-LN(2)/2))/(LN(2)/2)*BL194*BO194*VLOOKUP('Données projet'!$B$11,Paramètres!$A$1:$I$89,3,0)*0.475*44/12</f>
        <v>0.69838833322713467</v>
      </c>
      <c r="BS194" s="22">
        <f t="shared" si="169"/>
        <v>160.73706139074329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7.9580786405131221E-13</v>
      </c>
      <c r="BZ194" s="13">
        <f>BY194*VLOOKUP('Données projet'!$B$12,Paramètres!$A$1:$I$89,3,0)*VLOOKUP('Données projet'!$B$12,Paramètres!$A$1:$I$89,5,0)</f>
        <v>8.5660758486483253E-13</v>
      </c>
      <c r="CA194" s="13">
        <f t="shared" si="170"/>
        <v>1.0022086930673386E-11</v>
      </c>
      <c r="CB194" s="20">
        <f t="shared" si="171"/>
        <v>1.8947059614562397E-11</v>
      </c>
      <c r="CC194" s="59">
        <f t="shared" si="119"/>
        <v>293.33333333335224</v>
      </c>
      <c r="CD194" s="59">
        <f ca="1">AVERAGE(OFFSET($CC$3,0,0,'Données projet'!$E$12+1,1))-AVERAGE(OFFSET($H$3,0,0,'Données projet'!$E$12+1,1))</f>
        <v>747.18304127457918</v>
      </c>
      <c r="CE194" s="59">
        <f t="shared" si="148"/>
        <v>327.03701004966723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156.49634621234202</v>
      </c>
      <c r="CL194" s="21">
        <f>EXP(-LN(2)/25)*CL193+(1-EXP(-LN(2)/25))/(LN(2)/25)*Calculateur!CG194*Calculateur!CI194*VLOOKUP('Données projet'!$B$12,Paramètres!$A$1:$I$89,3,0)*0.475*44/12</f>
        <v>24.531005278946733</v>
      </c>
      <c r="CM194" s="21">
        <f>EXP(-LN(2)/2)*CM193+(1-EXP(-LN(2)/2))/(LN(2)/2)*CG194*CJ194*VLOOKUP('Données projet'!$B$12,Paramètres!$A$1:$I$89,3,0)*0.475*44/12</f>
        <v>0.78998024578151249</v>
      </c>
      <c r="CN194" s="22">
        <f t="shared" si="172"/>
        <v>181.81733173707028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7.9580786405131221E-13</v>
      </c>
      <c r="CU194" s="17">
        <f>CT194*VLOOKUP('Données projet'!$B$13,Paramètres!$A$1:$I$89,3,0)*VLOOKUP('Données projet'!$B$13,Paramètres!$A$1:$I$89,5,0)</f>
        <v>7.6970536611042922E-13</v>
      </c>
      <c r="CV194" s="13">
        <f t="shared" si="173"/>
        <v>9.1181851324470472E-12</v>
      </c>
      <c r="CW194" s="20">
        <f t="shared" si="174"/>
        <v>1.7221409284987601E-11</v>
      </c>
      <c r="CX194" s="59">
        <f t="shared" si="122"/>
        <v>293.33333333335054</v>
      </c>
      <c r="CY194" s="59">
        <f ca="1">AVERAGE(OFFSET($CX$3,0,0,'Données projet'!$E$13+1,1))-AVERAGE(OFFSET($H$3,0,0,'Données projet'!$E$13+1,1))</f>
        <v>676.29219382388692</v>
      </c>
      <c r="CZ194" s="59">
        <f t="shared" si="150"/>
        <v>298.25577221580448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140.61990529224943</v>
      </c>
      <c r="DG194" s="21">
        <f>EXP(-LN(2)/25)*DG193+(1-EXP(-LN(2)/25))/(LN(2)/25)*Calculateur!DB194*Calculateur!DD194*VLOOKUP('Données projet'!$B$13,Paramètres!$A$1:$I$89,3,0)*0.475*44/12</f>
        <v>22.042352569488372</v>
      </c>
      <c r="DH194" s="21">
        <f>EXP(-LN(2)/2)*DH193+(1-EXP(-LN(2)/2))/(LN(2)/2)*DB194*DE194*VLOOKUP('Données projet'!$B$13,Paramètres!$A$1:$I$89,3,0)*0.475*44/12</f>
        <v>0.70983732229643215</v>
      </c>
      <c r="DI194" s="22">
        <f t="shared" si="175"/>
        <v>163.37209518403424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-8.8675733422860506E-14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197.51452239559433</v>
      </c>
      <c r="EP194" s="59">
        <f t="shared" si="154"/>
        <v>196.65166921588821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2.4605090115172392</v>
      </c>
      <c r="EW194" s="21">
        <f>EXP(-LN(2)/25)*EW193+(1-EXP(-LN(2)/25))/(LN(2)/25)*Calculateur!ER194*Calculateur!ET194*VLOOKUP('Données projet'!$B$15,Paramètres!$A$1:$I$89,3,0)*0.475*44/12</f>
        <v>0.92161694919694803</v>
      </c>
      <c r="EX194" s="21">
        <f>EXP(-LN(2)/2)*EX193+(1-EXP(-LN(2)/2))/(LN(2)/2)*ER194*EU194*VLOOKUP('Données projet'!$B$15,Paramètres!$A$1:$I$89,3,0)*0.475*44/12</f>
        <v>1.6890207863606725E-17</v>
      </c>
      <c r="EY194" s="22">
        <f t="shared" si="181"/>
        <v>3.3821259607141871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293.33333333334951</v>
      </c>
      <c r="S195" s="59">
        <f ca="1">AVERAGE(OFFSET($R$3,0,0,'Données projet'!$E$9+1,1))-AVERAGE(OFFSET($H$3,0,0,'Données projet'!$E$9+1,1))</f>
        <v>635.71275911100679</v>
      </c>
      <c r="T195" s="59">
        <f t="shared" si="142"/>
        <v>281.7776857269169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8.0694917414803056E-13</v>
      </c>
      <c r="AK195" s="13">
        <f t="shared" si="164"/>
        <v>9.5069530861628001E-12</v>
      </c>
      <c r="AL195" s="20">
        <f t="shared" si="165"/>
        <v>1.7963379770041364E-11</v>
      </c>
      <c r="AM195" s="59">
        <f t="shared" si="113"/>
        <v>293.33333333335128</v>
      </c>
      <c r="AN195" s="59">
        <f ca="1">AVERAGE(OFFSET($AM$3,0,0,'Données projet'!$E$10+1,1))-AVERAGE(OFFSET($H$3,0,0,'Données projet'!$E$10+1,1))</f>
        <v>706.69239849991595</v>
      </c>
      <c r="AO195" s="59">
        <f t="shared" si="144"/>
        <v>310.59887275116529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144.53319768942265</v>
      </c>
      <c r="AV195" s="21">
        <f>EXP(-LN(2)/25)*AV194+(1-EXP(-LN(2)/25))/(LN(2)/25)*Calculateur!AQ195*Calculateur!AS195*VLOOKUP('Données projet'!$B$10,Paramètres!$A$1:$I$89,3,0)*0.475*44/12</f>
        <v>22.477003437995489</v>
      </c>
      <c r="AW195" s="21">
        <f>EXP(-LN(2)/2)*AW194+(1-EXP(-LN(2)/2))/(LN(2)/2)*AQ195*AT195*VLOOKUP('Données projet'!$B$10,Paramètres!$A$1:$I$89,3,0)*0.475*44/12</f>
        <v>0.52621775756099998</v>
      </c>
      <c r="AX195" s="21">
        <f t="shared" si="166"/>
        <v>167.53641888497913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7.572907634312286E-13</v>
      </c>
      <c r="BF195" s="13">
        <f t="shared" si="167"/>
        <v>8.9881135648416407E-12</v>
      </c>
      <c r="BG195" s="20">
        <f t="shared" si="168"/>
        <v>1.6973245871741914E-11</v>
      </c>
      <c r="BH195" s="59">
        <f t="shared" si="116"/>
        <v>293.33333333335031</v>
      </c>
      <c r="BI195" s="59">
        <f ca="1">AVERAGE(OFFSET($BH$3,0,0,'Données projet'!$E$11+1,1))-AVERAGE(OFFSET($H$3,0,0,'Données projet'!$E$11+1,1))</f>
        <v>666.1523645983184</v>
      </c>
      <c r="BJ195" s="59">
        <f t="shared" si="146"/>
        <v>294.13851344047526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135.63884706238119</v>
      </c>
      <c r="BQ195" s="21">
        <f>EXP(-LN(2)/25)*BQ194+(1-EXP(-LN(2)/25))/(LN(2)/25)*Calculateur!BL195*Calculateur!BN195*VLOOKUP('Données projet'!$B$11,Paramètres!$A$1:$I$89,3,0)*0.475*44/12</f>
        <v>21.09380322642652</v>
      </c>
      <c r="BR195" s="21">
        <f>EXP(-LN(2)/2)*BR194+(1-EXP(-LN(2)/2))/(LN(2)/2)*BL195*BO195*VLOOKUP('Données projet'!$B$11,Paramètres!$A$1:$I$89,3,0)*0.475*44/12</f>
        <v>0.49383512632647719</v>
      </c>
      <c r="BS195" s="22">
        <f t="shared" si="169"/>
        <v>157.22648541513419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7.9580786405131221E-13</v>
      </c>
      <c r="BZ195" s="13">
        <f>BY195*VLOOKUP('Données projet'!$B$12,Paramètres!$A$1:$I$89,3,0)*VLOOKUP('Données projet'!$B$12,Paramètres!$A$1:$I$89,5,0)</f>
        <v>8.5660758486483253E-13</v>
      </c>
      <c r="CA195" s="13">
        <f t="shared" si="170"/>
        <v>1.0022086930673386E-11</v>
      </c>
      <c r="CB195" s="20">
        <f t="shared" si="171"/>
        <v>1.8947059614562397E-11</v>
      </c>
      <c r="CC195" s="59">
        <f t="shared" si="119"/>
        <v>293.33333333335224</v>
      </c>
      <c r="CD195" s="59">
        <f ca="1">AVERAGE(OFFSET($CC$3,0,0,'Données projet'!$E$12+1,1))-AVERAGE(OFFSET($H$3,0,0,'Données projet'!$E$12+1,1))</f>
        <v>747.18304127457918</v>
      </c>
      <c r="CE195" s="59">
        <f t="shared" si="148"/>
        <v>327.03701004966723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153.42754831646394</v>
      </c>
      <c r="CL195" s="21">
        <f>EXP(-LN(2)/25)*CL194+(1-EXP(-LN(2)/25))/(LN(2)/25)*Calculateur!CG195*Calculateur!CI195*VLOOKUP('Données projet'!$B$12,Paramètres!$A$1:$I$89,3,0)*0.475*44/12</f>
        <v>23.860203649564433</v>
      </c>
      <c r="CM195" s="21">
        <f>EXP(-LN(2)/2)*CM194+(1-EXP(-LN(2)/2))/(LN(2)/2)*CG195*CJ195*VLOOKUP('Données projet'!$B$12,Paramètres!$A$1:$I$89,3,0)*0.475*44/12</f>
        <v>0.55860038879552298</v>
      </c>
      <c r="CN195" s="22">
        <f t="shared" si="172"/>
        <v>177.84635235482389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7.9580786405131221E-13</v>
      </c>
      <c r="CU195" s="17">
        <f>CT195*VLOOKUP('Données projet'!$B$13,Paramètres!$A$1:$I$89,3,0)*VLOOKUP('Données projet'!$B$13,Paramètres!$A$1:$I$89,5,0)</f>
        <v>7.6970536611042922E-13</v>
      </c>
      <c r="CV195" s="13">
        <f t="shared" si="173"/>
        <v>9.1181851324470472E-12</v>
      </c>
      <c r="CW195" s="20">
        <f t="shared" si="174"/>
        <v>1.7221409284987601E-11</v>
      </c>
      <c r="CX195" s="59">
        <f t="shared" si="122"/>
        <v>293.33333333335054</v>
      </c>
      <c r="CY195" s="59">
        <f ca="1">AVERAGE(OFFSET($CX$3,0,0,'Données projet'!$E$13+1,1))-AVERAGE(OFFSET($H$3,0,0,'Données projet'!$E$13+1,1))</f>
        <v>676.29219382388692</v>
      </c>
      <c r="CZ195" s="59">
        <f t="shared" si="150"/>
        <v>298.25577221580448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137.86243471914159</v>
      </c>
      <c r="DG195" s="21">
        <f>EXP(-LN(2)/25)*DG194+(1-EXP(-LN(2)/25))/(LN(2)/25)*Calculateur!DB195*Calculateur!DD195*VLOOKUP('Données projet'!$B$13,Paramètres!$A$1:$I$89,3,0)*0.475*44/12</f>
        <v>21.439603279318771</v>
      </c>
      <c r="DH195" s="21">
        <f>EXP(-LN(2)/2)*DH194+(1-EXP(-LN(2)/2))/(LN(2)/2)*DB195*DE195*VLOOKUP('Données projet'!$B$13,Paramètres!$A$1:$I$89,3,0)*0.475*44/12</f>
        <v>0.50193078413510805</v>
      </c>
      <c r="DI195" s="22">
        <f t="shared" si="175"/>
        <v>159.80396878259546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-8.8675733422860506E-14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197.51452239559433</v>
      </c>
      <c r="EP195" s="59">
        <f t="shared" si="154"/>
        <v>196.65166921588821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2.4122599305636951</v>
      </c>
      <c r="EW195" s="21">
        <f>EXP(-LN(2)/25)*EW194+(1-EXP(-LN(2)/25))/(LN(2)/25)*Calculateur!ER195*Calculateur!ET195*VLOOKUP('Données projet'!$B$15,Paramètres!$A$1:$I$89,3,0)*0.475*44/12</f>
        <v>0.89641528525542846</v>
      </c>
      <c r="EX195" s="21">
        <f>EXP(-LN(2)/2)*EX194+(1-EXP(-LN(2)/2))/(LN(2)/2)*ER195*EU195*VLOOKUP('Données projet'!$B$15,Paramètres!$A$1:$I$89,3,0)*0.475*44/12</f>
        <v>1.1943180516006665E-17</v>
      </c>
      <c r="EY195" s="22">
        <f t="shared" si="181"/>
        <v>3.3086752158191235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293.33333333334951</v>
      </c>
      <c r="S196" s="59">
        <f ca="1">AVERAGE(OFFSET($R$3,0,0,'Données projet'!$E$9+1,1))-AVERAGE(OFFSET($H$3,0,0,'Données projet'!$E$9+1,1))</f>
        <v>635.71275911100679</v>
      </c>
      <c r="T196" s="59">
        <f t="shared" si="142"/>
        <v>281.7776857269169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8.0694917414803056E-13</v>
      </c>
      <c r="AK196" s="13">
        <f t="shared" si="164"/>
        <v>9.5069530861628001E-12</v>
      </c>
      <c r="AL196" s="20">
        <f t="shared" si="165"/>
        <v>1.7963379770041364E-11</v>
      </c>
      <c r="AM196" s="59">
        <f t="shared" ref="AM196:AM203" si="193">AL196+(AD196+AE196)*44/12</f>
        <v>293.33333333335128</v>
      </c>
      <c r="AN196" s="59">
        <f ca="1">AVERAGE(OFFSET($AM$3,0,0,'Données projet'!$E$10+1,1))-AVERAGE(OFFSET($H$3,0,0,'Données projet'!$E$10+1,1))</f>
        <v>706.69239849991595</v>
      </c>
      <c r="AO196" s="59">
        <f t="shared" si="144"/>
        <v>310.59887275116529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141.69898983927894</v>
      </c>
      <c r="AV196" s="21">
        <f>EXP(-LN(2)/25)*AV195+(1-EXP(-LN(2)/25))/(LN(2)/25)*Calculateur!AQ196*Calculateur!AS196*VLOOKUP('Données projet'!$B$10,Paramètres!$A$1:$I$89,3,0)*0.475*44/12</f>
        <v>21.862368596969262</v>
      </c>
      <c r="AW196" s="21">
        <f>EXP(-LN(2)/2)*AW195+(1-EXP(-LN(2)/2))/(LN(2)/2)*AQ196*AT196*VLOOKUP('Données projet'!$B$10,Paramètres!$A$1:$I$89,3,0)*0.475*44/12</f>
        <v>0.37209214475216174</v>
      </c>
      <c r="AX196" s="21">
        <f t="shared" si="166"/>
        <v>163.93345058100039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7.572907634312286E-13</v>
      </c>
      <c r="BF196" s="13">
        <f t="shared" si="167"/>
        <v>8.9881135648416407E-12</v>
      </c>
      <c r="BG196" s="20">
        <f t="shared" si="168"/>
        <v>1.6973245871741914E-11</v>
      </c>
      <c r="BH196" s="59">
        <f t="shared" ref="BH196:BH203" si="194">BG196+(AY196+AZ196)*44/12</f>
        <v>293.33333333335031</v>
      </c>
      <c r="BI196" s="59">
        <f ca="1">AVERAGE(OFFSET($BH$3,0,0,'Données projet'!$E$11+1,1))-AVERAGE(OFFSET($H$3,0,0,'Données projet'!$E$11+1,1))</f>
        <v>666.1523645983184</v>
      </c>
      <c r="BJ196" s="59">
        <f t="shared" si="146"/>
        <v>294.13851344047526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132.97905200301554</v>
      </c>
      <c r="BQ196" s="21">
        <f>EXP(-LN(2)/25)*BQ195+(1-EXP(-LN(2)/25))/(LN(2)/25)*Calculateur!BL196*Calculateur!BN196*VLOOKUP('Données projet'!$B$11,Paramètres!$A$1:$I$89,3,0)*0.475*44/12</f>
        <v>20.516992067924985</v>
      </c>
      <c r="BR196" s="21">
        <f>EXP(-LN(2)/2)*BR195+(1-EXP(-LN(2)/2))/(LN(2)/2)*BL196*BO196*VLOOKUP('Données projet'!$B$11,Paramètres!$A$1:$I$89,3,0)*0.475*44/12</f>
        <v>0.34919416661356739</v>
      </c>
      <c r="BS196" s="22">
        <f t="shared" si="169"/>
        <v>153.84523823755407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7.9580786405131221E-13</v>
      </c>
      <c r="BZ196" s="13">
        <f>BY196*VLOOKUP('Données projet'!$B$12,Paramètres!$A$1:$I$89,3,0)*VLOOKUP('Données projet'!$B$12,Paramètres!$A$1:$I$89,5,0)</f>
        <v>8.5660758486483253E-13</v>
      </c>
      <c r="CA196" s="13">
        <f t="shared" si="170"/>
        <v>1.0022086930673386E-11</v>
      </c>
      <c r="CB196" s="20">
        <f t="shared" si="171"/>
        <v>1.8947059614562397E-11</v>
      </c>
      <c r="CC196" s="59">
        <f t="shared" ref="CC196:CC203" si="195">CB196+(BT196+BU196)*44/12</f>
        <v>293.33333333335224</v>
      </c>
      <c r="CD196" s="59">
        <f ca="1">AVERAGE(OFFSET($CC$3,0,0,'Données projet'!$E$12+1,1))-AVERAGE(OFFSET($H$3,0,0,'Données projet'!$E$12+1,1))</f>
        <v>747.18304127457918</v>
      </c>
      <c r="CE196" s="59">
        <f t="shared" si="148"/>
        <v>327.03701004966723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150.41892767554214</v>
      </c>
      <c r="CL196" s="21">
        <f>EXP(-LN(2)/25)*CL195+(1-EXP(-LN(2)/25))/(LN(2)/25)*Calculateur!CG196*Calculateur!CI196*VLOOKUP('Données projet'!$B$12,Paramètres!$A$1:$I$89,3,0)*0.475*44/12</f>
        <v>23.207745126013517</v>
      </c>
      <c r="CM196" s="21">
        <f>EXP(-LN(2)/2)*CM195+(1-EXP(-LN(2)/2))/(LN(2)/2)*CG196*CJ196*VLOOKUP('Données projet'!$B$12,Paramètres!$A$1:$I$89,3,0)*0.475*44/12</f>
        <v>0.39499012289075625</v>
      </c>
      <c r="CN196" s="22">
        <f t="shared" si="172"/>
        <v>174.02166292444642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7.9580786405131221E-13</v>
      </c>
      <c r="CU196" s="17">
        <f>CT196*VLOOKUP('Données projet'!$B$13,Paramètres!$A$1:$I$89,3,0)*VLOOKUP('Données projet'!$B$13,Paramètres!$A$1:$I$89,5,0)</f>
        <v>7.6970536611042922E-13</v>
      </c>
      <c r="CV196" s="13">
        <f t="shared" si="173"/>
        <v>9.1181851324470472E-12</v>
      </c>
      <c r="CW196" s="20">
        <f t="shared" si="174"/>
        <v>1.7221409284987601E-11</v>
      </c>
      <c r="CX196" s="59">
        <f t="shared" ref="CX196:CX203" si="196">CW196+(CO196+CP196)*44/12</f>
        <v>293.33333333335054</v>
      </c>
      <c r="CY196" s="59">
        <f ca="1">AVERAGE(OFFSET($CX$3,0,0,'Données projet'!$E$13+1,1))-AVERAGE(OFFSET($H$3,0,0,'Données projet'!$E$13+1,1))</f>
        <v>676.29219382388692</v>
      </c>
      <c r="CZ196" s="59">
        <f t="shared" si="150"/>
        <v>298.25577221580448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135.15903646208142</v>
      </c>
      <c r="DG196" s="21">
        <f>EXP(-LN(2)/25)*DG195+(1-EXP(-LN(2)/25))/(LN(2)/25)*Calculateur!DB196*Calculateur!DD196*VLOOKUP('Données projet'!$B$13,Paramètres!$A$1:$I$89,3,0)*0.475*44/12</f>
        <v>20.853336200186064</v>
      </c>
      <c r="DH196" s="21">
        <f>EXP(-LN(2)/2)*DH195+(1-EXP(-LN(2)/2))/(LN(2)/2)*DB196*DE196*VLOOKUP('Données projet'!$B$13,Paramètres!$A$1:$I$89,3,0)*0.475*44/12</f>
        <v>0.35491866114821607</v>
      </c>
      <c r="DI196" s="22">
        <f t="shared" si="175"/>
        <v>156.36729132341569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-8.8675733422860506E-14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197.51452239559433</v>
      </c>
      <c r="EP196" s="59">
        <f t="shared" si="154"/>
        <v>196.65166921588821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2.3649569846586167</v>
      </c>
      <c r="EW196" s="21">
        <f>EXP(-LN(2)/25)*EW195+(1-EXP(-LN(2)/25))/(LN(2)/25)*Calculateur!ER196*Calculateur!ET196*VLOOKUP('Données projet'!$B$15,Paramètres!$A$1:$I$89,3,0)*0.475*44/12</f>
        <v>0.87190276213968776</v>
      </c>
      <c r="EX196" s="21">
        <f>EXP(-LN(2)/2)*EX195+(1-EXP(-LN(2)/2))/(LN(2)/2)*ER196*EU196*VLOOKUP('Données projet'!$B$15,Paramètres!$A$1:$I$89,3,0)*0.475*44/12</f>
        <v>8.4451039318033624E-18</v>
      </c>
      <c r="EY196" s="22">
        <f t="shared" si="181"/>
        <v>3.2368597467983045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293.33333333334951</v>
      </c>
      <c r="S197" s="59">
        <f ca="1">AVERAGE(OFFSET($R$3,0,0,'Données projet'!$E$9+1,1))-AVERAGE(OFFSET($H$3,0,0,'Données projet'!$E$9+1,1))</f>
        <v>635.71275911100679</v>
      </c>
      <c r="T197" s="59">
        <f t="shared" ref="T197:T203" si="204">$T$3</f>
        <v>281.7776857269169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8.0694917414803056E-13</v>
      </c>
      <c r="AK197" s="13">
        <f t="shared" si="164"/>
        <v>9.5069530861628001E-12</v>
      </c>
      <c r="AL197" s="20">
        <f t="shared" si="165"/>
        <v>1.7963379770041364E-11</v>
      </c>
      <c r="AM197" s="59">
        <f t="shared" si="193"/>
        <v>293.33333333335128</v>
      </c>
      <c r="AN197" s="59">
        <f ca="1">AVERAGE(OFFSET($AM$3,0,0,'Données projet'!$E$10+1,1))-AVERAGE(OFFSET($H$3,0,0,'Données projet'!$E$10+1,1))</f>
        <v>706.69239849991595</v>
      </c>
      <c r="AO197" s="59">
        <f t="shared" ref="AO197:AO203" si="205">$AO$3</f>
        <v>310.59887275116529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138.92035907638044</v>
      </c>
      <c r="AV197" s="21">
        <f>EXP(-LN(2)/25)*AV196+(1-EXP(-LN(2)/25))/(LN(2)/25)*Calculateur!AQ197*Calculateur!AS197*VLOOKUP('Données projet'!$B$10,Paramètres!$A$1:$I$89,3,0)*0.475*44/12</f>
        <v>21.264540977993139</v>
      </c>
      <c r="AW197" s="21">
        <f>EXP(-LN(2)/2)*AW196+(1-EXP(-LN(2)/2))/(LN(2)/2)*AQ197*AT197*VLOOKUP('Données projet'!$B$10,Paramètres!$A$1:$I$89,3,0)*0.475*44/12</f>
        <v>0.26310887878049999</v>
      </c>
      <c r="AX197" s="21">
        <f t="shared" si="166"/>
        <v>160.44800893315409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7.572907634312286E-13</v>
      </c>
      <c r="BF197" s="13">
        <f t="shared" si="167"/>
        <v>8.9881135648416407E-12</v>
      </c>
      <c r="BG197" s="20">
        <f t="shared" si="168"/>
        <v>1.6973245871741914E-11</v>
      </c>
      <c r="BH197" s="59">
        <f t="shared" si="194"/>
        <v>293.33333333335031</v>
      </c>
      <c r="BI197" s="59">
        <f ca="1">AVERAGE(OFFSET($BH$3,0,0,'Données projet'!$E$11+1,1))-AVERAGE(OFFSET($H$3,0,0,'Données projet'!$E$11+1,1))</f>
        <v>666.1523645983184</v>
      </c>
      <c r="BJ197" s="59">
        <f t="shared" ref="BJ197:BJ203" si="206">$BJ$3</f>
        <v>294.13851344047526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130.37141390244926</v>
      </c>
      <c r="BQ197" s="21">
        <f>EXP(-LN(2)/25)*BQ196+(1-EXP(-LN(2)/25))/(LN(2)/25)*Calculateur!BL197*Calculateur!BN197*VLOOKUP('Données projet'!$B$11,Paramètres!$A$1:$I$89,3,0)*0.475*44/12</f>
        <v>19.955953840885854</v>
      </c>
      <c r="BR197" s="21">
        <f>EXP(-LN(2)/2)*BR196+(1-EXP(-LN(2)/2))/(LN(2)/2)*BL197*BO197*VLOOKUP('Données projet'!$B$11,Paramètres!$A$1:$I$89,3,0)*0.475*44/12</f>
        <v>0.24691756316323862</v>
      </c>
      <c r="BS197" s="22">
        <f t="shared" si="169"/>
        <v>150.57428530649835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7.9580786405131221E-13</v>
      </c>
      <c r="BZ197" s="13">
        <f>BY197*VLOOKUP('Données projet'!$B$12,Paramètres!$A$1:$I$89,3,0)*VLOOKUP('Données projet'!$B$12,Paramètres!$A$1:$I$89,5,0)</f>
        <v>8.5660758486483253E-13</v>
      </c>
      <c r="CA197" s="13">
        <f t="shared" si="170"/>
        <v>1.0022086930673386E-11</v>
      </c>
      <c r="CB197" s="20">
        <f t="shared" si="171"/>
        <v>1.8947059614562397E-11</v>
      </c>
      <c r="CC197" s="59">
        <f t="shared" si="195"/>
        <v>293.33333333335224</v>
      </c>
      <c r="CD197" s="59">
        <f ca="1">AVERAGE(OFFSET($CC$3,0,0,'Données projet'!$E$12+1,1))-AVERAGE(OFFSET($H$3,0,0,'Données projet'!$E$12+1,1))</f>
        <v>747.18304127457918</v>
      </c>
      <c r="CE197" s="59">
        <f t="shared" ref="CE197:CE203" si="207">$CE$3</f>
        <v>327.03701004966723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147.46930425031141</v>
      </c>
      <c r="CL197" s="21">
        <f>EXP(-LN(2)/25)*CL196+(1-EXP(-LN(2)/25))/(LN(2)/25)*Calculateur!CG197*Calculateur!CI197*VLOOKUP('Données projet'!$B$12,Paramètres!$A$1:$I$89,3,0)*0.475*44/12</f>
        <v>22.573128115100403</v>
      </c>
      <c r="CM197" s="21">
        <f>EXP(-LN(2)/2)*CM196+(1-EXP(-LN(2)/2))/(LN(2)/2)*CG197*CJ197*VLOOKUP('Données projet'!$B$12,Paramètres!$A$1:$I$89,3,0)*0.475*44/12</f>
        <v>0.27930019439776149</v>
      </c>
      <c r="CN197" s="22">
        <f t="shared" si="172"/>
        <v>170.32173255980956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7.9580786405131221E-13</v>
      </c>
      <c r="CU197" s="17">
        <f>CT197*VLOOKUP('Données projet'!$B$13,Paramètres!$A$1:$I$89,3,0)*VLOOKUP('Données projet'!$B$13,Paramètres!$A$1:$I$89,5,0)</f>
        <v>7.6970536611042922E-13</v>
      </c>
      <c r="CV197" s="13">
        <f t="shared" si="173"/>
        <v>9.1181851324470472E-12</v>
      </c>
      <c r="CW197" s="20">
        <f t="shared" si="174"/>
        <v>1.7221409284987601E-11</v>
      </c>
      <c r="CX197" s="59">
        <f t="shared" si="196"/>
        <v>293.33333333335054</v>
      </c>
      <c r="CY197" s="59">
        <f ca="1">AVERAGE(OFFSET($CX$3,0,0,'Données projet'!$E$13+1,1))-AVERAGE(OFFSET($H$3,0,0,'Données projet'!$E$13+1,1))</f>
        <v>676.29219382388692</v>
      </c>
      <c r="CZ197" s="59">
        <f t="shared" ref="CZ197:CZ203" si="208">$CZ$3</f>
        <v>298.25577221580448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132.50865019593209</v>
      </c>
      <c r="DG197" s="21">
        <f>EXP(-LN(2)/25)*DG196+(1-EXP(-LN(2)/25))/(LN(2)/25)*Calculateur!DB197*Calculateur!DD197*VLOOKUP('Données projet'!$B$13,Paramètres!$A$1:$I$89,3,0)*0.475*44/12</f>
        <v>20.283100625162685</v>
      </c>
      <c r="DH197" s="21">
        <f>EXP(-LN(2)/2)*DH196+(1-EXP(-LN(2)/2))/(LN(2)/2)*DB197*DE197*VLOOKUP('Données projet'!$B$13,Paramètres!$A$1:$I$89,3,0)*0.475*44/12</f>
        <v>0.25096539206755403</v>
      </c>
      <c r="DI197" s="22">
        <f t="shared" si="175"/>
        <v>153.04271621316232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-8.8675733422860506E-14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197.51452239559433</v>
      </c>
      <c r="EP197" s="59">
        <f t="shared" ref="EP197:EP203" si="210">$EP$3</f>
        <v>196.65166921588821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2.3185816206707885</v>
      </c>
      <c r="EW197" s="21">
        <f>EXP(-LN(2)/25)*EW196+(1-EXP(-LN(2)/25))/(LN(2)/25)*Calculateur!ER197*Calculateur!ET197*VLOOKUP('Données projet'!$B$15,Paramètres!$A$1:$I$89,3,0)*0.475*44/12</f>
        <v>0.8480605352576045</v>
      </c>
      <c r="EX197" s="21">
        <f>EXP(-LN(2)/2)*EX196+(1-EXP(-LN(2)/2))/(LN(2)/2)*ER197*EU197*VLOOKUP('Données projet'!$B$15,Paramètres!$A$1:$I$89,3,0)*0.475*44/12</f>
        <v>5.9715902580033325E-18</v>
      </c>
      <c r="EY197" s="22">
        <f t="shared" si="181"/>
        <v>3.1666421559283933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293.33333333334951</v>
      </c>
      <c r="S198" s="59">
        <f ca="1">AVERAGE(OFFSET($R$3,0,0,'Données projet'!$E$9+1,1))-AVERAGE(OFFSET($H$3,0,0,'Données projet'!$E$9+1,1))</f>
        <v>635.71275911100679</v>
      </c>
      <c r="T198" s="59">
        <f t="shared" si="204"/>
        <v>281.7776857269169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8.0694917414803056E-13</v>
      </c>
      <c r="AK198" s="13">
        <f t="shared" si="164"/>
        <v>9.5069530861628001E-12</v>
      </c>
      <c r="AL198" s="20">
        <f t="shared" si="165"/>
        <v>1.7963379770041364E-11</v>
      </c>
      <c r="AM198" s="59">
        <f t="shared" si="193"/>
        <v>293.33333333335128</v>
      </c>
      <c r="AN198" s="59">
        <f ca="1">AVERAGE(OFFSET($AM$3,0,0,'Données projet'!$E$10+1,1))-AVERAGE(OFFSET($H$3,0,0,'Données projet'!$E$10+1,1))</f>
        <v>706.69239849991595</v>
      </c>
      <c r="AO198" s="59">
        <f t="shared" si="205"/>
        <v>310.59887275116529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136.19621556794496</v>
      </c>
      <c r="AV198" s="21">
        <f>EXP(-LN(2)/25)*AV197+(1-EXP(-LN(2)/25))/(LN(2)/25)*Calculateur!AQ198*Calculateur!AS198*VLOOKUP('Données projet'!$B$10,Paramètres!$A$1:$I$89,3,0)*0.475*44/12</f>
        <v>20.683060986696308</v>
      </c>
      <c r="AW198" s="21">
        <f>EXP(-LN(2)/2)*AW197+(1-EXP(-LN(2)/2))/(LN(2)/2)*AQ198*AT198*VLOOKUP('Données projet'!$B$10,Paramètres!$A$1:$I$89,3,0)*0.475*44/12</f>
        <v>0.18604607237608087</v>
      </c>
      <c r="AX198" s="21">
        <f t="shared" si="166"/>
        <v>157.06532262701737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7.572907634312286E-13</v>
      </c>
      <c r="BF198" s="13">
        <f t="shared" si="167"/>
        <v>8.9881135648416407E-12</v>
      </c>
      <c r="BG198" s="20">
        <f t="shared" si="168"/>
        <v>1.6973245871741914E-11</v>
      </c>
      <c r="BH198" s="59">
        <f t="shared" si="194"/>
        <v>293.33333333335031</v>
      </c>
      <c r="BI198" s="59">
        <f ca="1">AVERAGE(OFFSET($BH$3,0,0,'Données projet'!$E$11+1,1))-AVERAGE(OFFSET($H$3,0,0,'Données projet'!$E$11+1,1))</f>
        <v>666.1523645983184</v>
      </c>
      <c r="BJ198" s="59">
        <f t="shared" si="206"/>
        <v>294.13851344047526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127.8149099945329</v>
      </c>
      <c r="BQ198" s="21">
        <f>EXP(-LN(2)/25)*BQ197+(1-EXP(-LN(2)/25))/(LN(2)/25)*Calculateur!BL198*Calculateur!BN198*VLOOKUP('Données projet'!$B$11,Paramètres!$A$1:$I$89,3,0)*0.475*44/12</f>
        <v>19.41025723366883</v>
      </c>
      <c r="BR198" s="21">
        <f>EXP(-LN(2)/2)*BR197+(1-EXP(-LN(2)/2))/(LN(2)/2)*BL198*BO198*VLOOKUP('Données projet'!$B$11,Paramètres!$A$1:$I$89,3,0)*0.475*44/12</f>
        <v>0.17459708330678372</v>
      </c>
      <c r="BS198" s="22">
        <f t="shared" si="169"/>
        <v>147.39976431150851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7.9580786405131221E-13</v>
      </c>
      <c r="BZ198" s="13">
        <f>BY198*VLOOKUP('Données projet'!$B$12,Paramètres!$A$1:$I$89,3,0)*VLOOKUP('Données projet'!$B$12,Paramètres!$A$1:$I$89,5,0)</f>
        <v>8.5660758486483253E-13</v>
      </c>
      <c r="CA198" s="13">
        <f t="shared" si="170"/>
        <v>1.0022086930673386E-11</v>
      </c>
      <c r="CB198" s="20">
        <f t="shared" si="171"/>
        <v>1.8947059614562397E-11</v>
      </c>
      <c r="CC198" s="59">
        <f t="shared" si="195"/>
        <v>293.33333333335224</v>
      </c>
      <c r="CD198" s="59">
        <f ca="1">AVERAGE(OFFSET($CC$3,0,0,'Données projet'!$E$12+1,1))-AVERAGE(OFFSET($H$3,0,0,'Données projet'!$E$12+1,1))</f>
        <v>747.18304127457918</v>
      </c>
      <c r="CE198" s="59">
        <f t="shared" si="207"/>
        <v>327.03701004966723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144.57752114135684</v>
      </c>
      <c r="CL198" s="21">
        <f>EXP(-LN(2)/25)*CL197+(1-EXP(-LN(2)/25))/(LN(2)/25)*Calculateur!CG198*Calculateur!CI198*VLOOKUP('Données projet'!$B$12,Paramètres!$A$1:$I$89,3,0)*0.475*44/12</f>
        <v>21.955864739723765</v>
      </c>
      <c r="CM198" s="21">
        <f>EXP(-LN(2)/2)*CM197+(1-EXP(-LN(2)/2))/(LN(2)/2)*CG198*CJ198*VLOOKUP('Données projet'!$B$12,Paramètres!$A$1:$I$89,3,0)*0.475*44/12</f>
        <v>0.19749506144537812</v>
      </c>
      <c r="CN198" s="22">
        <f t="shared" si="172"/>
        <v>166.730880942526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7.9580786405131221E-13</v>
      </c>
      <c r="CU198" s="17">
        <f>CT198*VLOOKUP('Données projet'!$B$13,Paramètres!$A$1:$I$89,3,0)*VLOOKUP('Données projet'!$B$13,Paramètres!$A$1:$I$89,5,0)</f>
        <v>7.6970536611042922E-13</v>
      </c>
      <c r="CV198" s="13">
        <f t="shared" si="173"/>
        <v>9.1181851324470472E-12</v>
      </c>
      <c r="CW198" s="20">
        <f t="shared" si="174"/>
        <v>1.7221409284987601E-11</v>
      </c>
      <c r="CX198" s="59">
        <f t="shared" si="196"/>
        <v>293.33333333335054</v>
      </c>
      <c r="CY198" s="59">
        <f ca="1">AVERAGE(OFFSET($CX$3,0,0,'Données projet'!$E$13+1,1))-AVERAGE(OFFSET($H$3,0,0,'Données projet'!$E$13+1,1))</f>
        <v>676.29219382388692</v>
      </c>
      <c r="CZ198" s="59">
        <f t="shared" si="208"/>
        <v>298.25577221580448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129.91023638788593</v>
      </c>
      <c r="DG198" s="21">
        <f>EXP(-LN(2)/25)*DG197+(1-EXP(-LN(2)/25))/(LN(2)/25)*Calculateur!DB198*Calculateur!DD198*VLOOKUP('Données projet'!$B$13,Paramètres!$A$1:$I$89,3,0)*0.475*44/12</f>
        <v>19.728458171925709</v>
      </c>
      <c r="DH198" s="21">
        <f>EXP(-LN(2)/2)*DH197+(1-EXP(-LN(2)/2))/(LN(2)/2)*DB198*DE198*VLOOKUP('Données projet'!$B$13,Paramètres!$A$1:$I$89,3,0)*0.475*44/12</f>
        <v>0.17745933057410804</v>
      </c>
      <c r="DI198" s="22">
        <f t="shared" si="175"/>
        <v>149.81615389038575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-8.8675733422860506E-14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197.51452239559433</v>
      </c>
      <c r="EP198" s="59">
        <f t="shared" si="210"/>
        <v>196.65166921588821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2.2731156492845828</v>
      </c>
      <c r="EW198" s="21">
        <f>EXP(-LN(2)/25)*EW197+(1-EXP(-LN(2)/25))/(LN(2)/25)*Calculateur!ER198*Calculateur!ET198*VLOOKUP('Données projet'!$B$15,Paramètres!$A$1:$I$89,3,0)*0.475*44/12</f>
        <v>0.82487027532342005</v>
      </c>
      <c r="EX198" s="21">
        <f>EXP(-LN(2)/2)*EX197+(1-EXP(-LN(2)/2))/(LN(2)/2)*ER198*EU198*VLOOKUP('Données projet'!$B$15,Paramètres!$A$1:$I$89,3,0)*0.475*44/12</f>
        <v>4.2225519659016812E-18</v>
      </c>
      <c r="EY198" s="22">
        <f t="shared" si="181"/>
        <v>3.097985924608003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293.33333333334951</v>
      </c>
      <c r="S199" s="59">
        <f ca="1">AVERAGE(OFFSET($R$3,0,0,'Données projet'!$E$9+1,1))-AVERAGE(OFFSET($H$3,0,0,'Données projet'!$E$9+1,1))</f>
        <v>635.71275911100679</v>
      </c>
      <c r="T199" s="59">
        <f t="shared" si="204"/>
        <v>281.7776857269169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8.0694917414803056E-13</v>
      </c>
      <c r="AK199" s="13">
        <f t="shared" si="164"/>
        <v>9.5069530861628001E-12</v>
      </c>
      <c r="AL199" s="20">
        <f t="shared" si="165"/>
        <v>1.7963379770041364E-11</v>
      </c>
      <c r="AM199" s="59">
        <f t="shared" si="193"/>
        <v>293.33333333335128</v>
      </c>
      <c r="AN199" s="59">
        <f ca="1">AVERAGE(OFFSET($AM$3,0,0,'Données projet'!$E$10+1,1))-AVERAGE(OFFSET($H$3,0,0,'Données projet'!$E$10+1,1))</f>
        <v>706.69239849991595</v>
      </c>
      <c r="AO199" s="59">
        <f t="shared" si="205"/>
        <v>310.59887275116529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133.52549085214642</v>
      </c>
      <c r="AV199" s="21">
        <f>EXP(-LN(2)/25)*AV198+(1-EXP(-LN(2)/25))/(LN(2)/25)*Calculateur!AQ199*Calculateur!AS199*VLOOKUP('Données projet'!$B$10,Paramètres!$A$1:$I$89,3,0)*0.475*44/12</f>
        <v>20.117481596340191</v>
      </c>
      <c r="AW199" s="21">
        <f>EXP(-LN(2)/2)*AW198+(1-EXP(-LN(2)/2))/(LN(2)/2)*AQ199*AT199*VLOOKUP('Données projet'!$B$10,Paramètres!$A$1:$I$89,3,0)*0.475*44/12</f>
        <v>0.13155443939024999</v>
      </c>
      <c r="AX199" s="21">
        <f t="shared" si="166"/>
        <v>153.77452688787685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7.572907634312286E-13</v>
      </c>
      <c r="BF199" s="13">
        <f t="shared" si="167"/>
        <v>8.9881135648416407E-12</v>
      </c>
      <c r="BG199" s="20">
        <f t="shared" si="168"/>
        <v>1.6973245871741914E-11</v>
      </c>
      <c r="BH199" s="59">
        <f t="shared" si="194"/>
        <v>293.33333333335031</v>
      </c>
      <c r="BI199" s="59">
        <f ca="1">AVERAGE(OFFSET($BH$3,0,0,'Données projet'!$E$11+1,1))-AVERAGE(OFFSET($H$3,0,0,'Données projet'!$E$11+1,1))</f>
        <v>666.1523645983184</v>
      </c>
      <c r="BJ199" s="59">
        <f t="shared" si="206"/>
        <v>294.13851344047526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125.30853756893735</v>
      </c>
      <c r="BQ199" s="21">
        <f>EXP(-LN(2)/25)*BQ198+(1-EXP(-LN(2)/25))/(LN(2)/25)*Calculateur!BL199*Calculateur!BN199*VLOOKUP('Données projet'!$B$11,Paramètres!$A$1:$I$89,3,0)*0.475*44/12</f>
        <v>18.879482728873089</v>
      </c>
      <c r="BR199" s="21">
        <f>EXP(-LN(2)/2)*BR198+(1-EXP(-LN(2)/2))/(LN(2)/2)*BL199*BO199*VLOOKUP('Données projet'!$B$11,Paramètres!$A$1:$I$89,3,0)*0.475*44/12</f>
        <v>0.12345878158161934</v>
      </c>
      <c r="BS199" s="22">
        <f t="shared" si="169"/>
        <v>144.31147907939209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7.9580786405131221E-13</v>
      </c>
      <c r="BZ199" s="13">
        <f>BY199*VLOOKUP('Données projet'!$B$12,Paramètres!$A$1:$I$89,3,0)*VLOOKUP('Données projet'!$B$12,Paramètres!$A$1:$I$89,5,0)</f>
        <v>8.5660758486483253E-13</v>
      </c>
      <c r="CA199" s="13">
        <f t="shared" si="170"/>
        <v>1.0022086930673386E-11</v>
      </c>
      <c r="CB199" s="20">
        <f t="shared" si="171"/>
        <v>1.8947059614562397E-11</v>
      </c>
      <c r="CC199" s="59">
        <f t="shared" si="195"/>
        <v>293.33333333335224</v>
      </c>
      <c r="CD199" s="59">
        <f ca="1">AVERAGE(OFFSET($CC$3,0,0,'Données projet'!$E$12+1,1))-AVERAGE(OFFSET($H$3,0,0,'Données projet'!$E$12+1,1))</f>
        <v>747.18304127457918</v>
      </c>
      <c r="CE199" s="59">
        <f t="shared" si="207"/>
        <v>327.03701004966723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141.74244413535533</v>
      </c>
      <c r="CL199" s="21">
        <f>EXP(-LN(2)/25)*CL198+(1-EXP(-LN(2)/25))/(LN(2)/25)*Calculateur!CG199*Calculateur!CI199*VLOOKUP('Données projet'!$B$12,Paramètres!$A$1:$I$89,3,0)*0.475*44/12</f>
        <v>21.355480463807272</v>
      </c>
      <c r="CM199" s="21">
        <f>EXP(-LN(2)/2)*CM198+(1-EXP(-LN(2)/2))/(LN(2)/2)*CG199*CJ199*VLOOKUP('Données projet'!$B$12,Paramètres!$A$1:$I$89,3,0)*0.475*44/12</f>
        <v>0.13965009719888075</v>
      </c>
      <c r="CN199" s="22">
        <f t="shared" si="172"/>
        <v>163.23757469636149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7.9580786405131221E-13</v>
      </c>
      <c r="CU199" s="17">
        <f>CT199*VLOOKUP('Données projet'!$B$13,Paramètres!$A$1:$I$89,3,0)*VLOOKUP('Données projet'!$B$13,Paramètres!$A$1:$I$89,5,0)</f>
        <v>7.6970536611042922E-13</v>
      </c>
      <c r="CV199" s="13">
        <f t="shared" si="173"/>
        <v>9.1181851324470472E-12</v>
      </c>
      <c r="CW199" s="20">
        <f t="shared" si="174"/>
        <v>1.7221409284987601E-11</v>
      </c>
      <c r="CX199" s="59">
        <f t="shared" si="196"/>
        <v>293.33333333335054</v>
      </c>
      <c r="CY199" s="59">
        <f ca="1">AVERAGE(OFFSET($CX$3,0,0,'Données projet'!$E$13+1,1))-AVERAGE(OFFSET($H$3,0,0,'Données projet'!$E$13+1,1))</f>
        <v>676.29219382388692</v>
      </c>
      <c r="CZ199" s="59">
        <f t="shared" si="208"/>
        <v>298.25577221580448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127.36277588973964</v>
      </c>
      <c r="DG199" s="21">
        <f>EXP(-LN(2)/25)*DG198+(1-EXP(-LN(2)/25))/(LN(2)/25)*Calculateur!DB199*Calculateur!DD199*VLOOKUP('Données projet'!$B$13,Paramètres!$A$1:$I$89,3,0)*0.475*44/12</f>
        <v>19.188982445739875</v>
      </c>
      <c r="DH199" s="21">
        <f>EXP(-LN(2)/2)*DH198+(1-EXP(-LN(2)/2))/(LN(2)/2)*DB199*DE199*VLOOKUP('Données projet'!$B$13,Paramètres!$A$1:$I$89,3,0)*0.475*44/12</f>
        <v>0.12548269603377701</v>
      </c>
      <c r="DI199" s="22">
        <f t="shared" si="175"/>
        <v>146.67724103151329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-8.8675733422860506E-14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197.51452239559433</v>
      </c>
      <c r="EP199" s="59">
        <f t="shared" si="210"/>
        <v>196.65166921588821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2.2285412378657563</v>
      </c>
      <c r="EW199" s="21">
        <f>EXP(-LN(2)/25)*EW198+(1-EXP(-LN(2)/25))/(LN(2)/25)*Calculateur!ER199*Calculateur!ET199*VLOOKUP('Données projet'!$B$15,Paramètres!$A$1:$I$89,3,0)*0.475*44/12</f>
        <v>0.80231415426665864</v>
      </c>
      <c r="EX199" s="21">
        <f>EXP(-LN(2)/2)*EX198+(1-EXP(-LN(2)/2))/(LN(2)/2)*ER199*EU199*VLOOKUP('Données projet'!$B$15,Paramètres!$A$1:$I$89,3,0)*0.475*44/12</f>
        <v>2.9857951290016662E-18</v>
      </c>
      <c r="EY199" s="22">
        <f t="shared" si="181"/>
        <v>3.0308553921324148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293.33333333334951</v>
      </c>
      <c r="S200" s="59">
        <f ca="1">AVERAGE(OFFSET($R$3,0,0,'Données projet'!$E$9+1,1))-AVERAGE(OFFSET($H$3,0,0,'Données projet'!$E$9+1,1))</f>
        <v>635.71275911100679</v>
      </c>
      <c r="T200" s="59">
        <f t="shared" si="204"/>
        <v>281.7776857269169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8.0694917414803056E-13</v>
      </c>
      <c r="AK200" s="13">
        <f t="shared" si="164"/>
        <v>9.5069530861628001E-12</v>
      </c>
      <c r="AL200" s="20">
        <f t="shared" si="165"/>
        <v>1.7963379770041364E-11</v>
      </c>
      <c r="AM200" s="59">
        <f t="shared" si="193"/>
        <v>293.33333333335128</v>
      </c>
      <c r="AN200" s="59">
        <f ca="1">AVERAGE(OFFSET($AM$3,0,0,'Données projet'!$E$10+1,1))-AVERAGE(OFFSET($H$3,0,0,'Données projet'!$E$10+1,1))</f>
        <v>706.69239849991595</v>
      </c>
      <c r="AO200" s="59">
        <f t="shared" si="205"/>
        <v>310.59887275116529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130.90713741904347</v>
      </c>
      <c r="AV200" s="21">
        <f>EXP(-LN(2)/25)*AV199+(1-EXP(-LN(2)/25))/(LN(2)/25)*Calculateur!AQ200*Calculateur!AS200*VLOOKUP('Données projet'!$B$10,Paramètres!$A$1:$I$89,3,0)*0.475*44/12</f>
        <v>19.567368004155892</v>
      </c>
      <c r="AW200" s="21">
        <f>EXP(-LN(2)/2)*AW199+(1-EXP(-LN(2)/2))/(LN(2)/2)*AQ200*AT200*VLOOKUP('Données projet'!$B$10,Paramètres!$A$1:$I$89,3,0)*0.475*44/12</f>
        <v>9.3023036188040434E-2</v>
      </c>
      <c r="AX200" s="21">
        <f t="shared" si="166"/>
        <v>150.5675284593874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7.572907634312286E-13</v>
      </c>
      <c r="BF200" s="13">
        <f t="shared" si="167"/>
        <v>8.9881135648416407E-12</v>
      </c>
      <c r="BG200" s="20">
        <f t="shared" si="168"/>
        <v>1.6973245871741914E-11</v>
      </c>
      <c r="BH200" s="59">
        <f t="shared" si="194"/>
        <v>293.33333333335031</v>
      </c>
      <c r="BI200" s="59">
        <f ca="1">AVERAGE(OFFSET($BH$3,0,0,'Données projet'!$E$11+1,1))-AVERAGE(OFFSET($H$3,0,0,'Données projet'!$E$11+1,1))</f>
        <v>666.1523645983184</v>
      </c>
      <c r="BJ200" s="59">
        <f t="shared" si="206"/>
        <v>294.13851344047526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122.85131357787151</v>
      </c>
      <c r="BQ200" s="21">
        <f>EXP(-LN(2)/25)*BQ199+(1-EXP(-LN(2)/25))/(LN(2)/25)*Calculateur!BL200*Calculateur!BN200*VLOOKUP('Données projet'!$B$11,Paramètres!$A$1:$I$89,3,0)*0.475*44/12</f>
        <v>18.363222280823209</v>
      </c>
      <c r="BR200" s="21">
        <f>EXP(-LN(2)/2)*BR199+(1-EXP(-LN(2)/2))/(LN(2)/2)*BL200*BO200*VLOOKUP('Données projet'!$B$11,Paramètres!$A$1:$I$89,3,0)*0.475*44/12</f>
        <v>8.7298541653391876E-2</v>
      </c>
      <c r="BS200" s="22">
        <f t="shared" si="169"/>
        <v>141.3018344003481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7.9580786405131221E-13</v>
      </c>
      <c r="BZ200" s="13">
        <f>BY200*VLOOKUP('Données projet'!$B$12,Paramètres!$A$1:$I$89,3,0)*VLOOKUP('Données projet'!$B$12,Paramètres!$A$1:$I$89,5,0)</f>
        <v>8.5660758486483253E-13</v>
      </c>
      <c r="CA200" s="13">
        <f t="shared" si="170"/>
        <v>1.0022086930673386E-11</v>
      </c>
      <c r="CB200" s="20">
        <f t="shared" si="171"/>
        <v>1.8947059614562397E-11</v>
      </c>
      <c r="CC200" s="59">
        <f t="shared" si="195"/>
        <v>293.33333333335224</v>
      </c>
      <c r="CD200" s="59">
        <f ca="1">AVERAGE(OFFSET($CC$3,0,0,'Données projet'!$E$12+1,1))-AVERAGE(OFFSET($H$3,0,0,'Données projet'!$E$12+1,1))</f>
        <v>747.18304127457918</v>
      </c>
      <c r="CE200" s="59">
        <f t="shared" si="207"/>
        <v>327.03701004966723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138.96296126021528</v>
      </c>
      <c r="CL200" s="21">
        <f>EXP(-LN(2)/25)*CL199+(1-EXP(-LN(2)/25))/(LN(2)/25)*Calculateur!CG200*Calculateur!CI200*VLOOKUP('Données projet'!$B$12,Paramètres!$A$1:$I$89,3,0)*0.475*44/12</f>
        <v>20.771513727488554</v>
      </c>
      <c r="CM200" s="21">
        <f>EXP(-LN(2)/2)*CM199+(1-EXP(-LN(2)/2))/(LN(2)/2)*CG200*CJ200*VLOOKUP('Données projet'!$B$12,Paramètres!$A$1:$I$89,3,0)*0.475*44/12</f>
        <v>9.8747530722689061E-2</v>
      </c>
      <c r="CN200" s="22">
        <f t="shared" si="172"/>
        <v>159.83322251842651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7.9580786405131221E-13</v>
      </c>
      <c r="CU200" s="17">
        <f>CT200*VLOOKUP('Données projet'!$B$13,Paramètres!$A$1:$I$89,3,0)*VLOOKUP('Données projet'!$B$13,Paramètres!$A$1:$I$89,5,0)</f>
        <v>7.6970536611042922E-13</v>
      </c>
      <c r="CV200" s="13">
        <f t="shared" si="173"/>
        <v>9.1181851324470472E-12</v>
      </c>
      <c r="CW200" s="20">
        <f t="shared" si="174"/>
        <v>1.7221409284987601E-11</v>
      </c>
      <c r="CX200" s="59">
        <f t="shared" si="196"/>
        <v>293.33333333335054</v>
      </c>
      <c r="CY200" s="59">
        <f ca="1">AVERAGE(OFFSET($CX$3,0,0,'Données projet'!$E$13+1,1))-AVERAGE(OFFSET($H$3,0,0,'Données projet'!$E$13+1,1))</f>
        <v>676.29219382388692</v>
      </c>
      <c r="CZ200" s="59">
        <f t="shared" si="208"/>
        <v>298.25577221580448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124.86526953816451</v>
      </c>
      <c r="DG200" s="21">
        <f>EXP(-LN(2)/25)*DG199+(1-EXP(-LN(2)/25))/(LN(2)/25)*Calculateur!DB200*Calculateur!DD200*VLOOKUP('Données projet'!$B$13,Paramètres!$A$1:$I$89,3,0)*0.475*44/12</f>
        <v>18.664258711656387</v>
      </c>
      <c r="DH200" s="21">
        <f>EXP(-LN(2)/2)*DH199+(1-EXP(-LN(2)/2))/(LN(2)/2)*DB200*DE200*VLOOKUP('Données projet'!$B$13,Paramètres!$A$1:$I$89,3,0)*0.475*44/12</f>
        <v>8.8729665287054019E-2</v>
      </c>
      <c r="DI200" s="22">
        <f t="shared" si="175"/>
        <v>143.61825791510793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-8.8675733422860506E-14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197.51452239559433</v>
      </c>
      <c r="EP200" s="59">
        <f t="shared" si="210"/>
        <v>196.65166921588821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2.1848409034671468</v>
      </c>
      <c r="EW200" s="21">
        <f>EXP(-LN(2)/25)*EW199+(1-EXP(-LN(2)/25))/(LN(2)/25)*Calculateur!ER200*Calculateur!ET200*VLOOKUP('Données projet'!$B$15,Paramètres!$A$1:$I$89,3,0)*0.475*44/12</f>
        <v>0.78037483152636922</v>
      </c>
      <c r="EX200" s="21">
        <f>EXP(-LN(2)/2)*EX199+(1-EXP(-LN(2)/2))/(LN(2)/2)*ER200*EU200*VLOOKUP('Données projet'!$B$15,Paramètres!$A$1:$I$89,3,0)*0.475*44/12</f>
        <v>2.1112759829508406E-18</v>
      </c>
      <c r="EY200" s="22">
        <f t="shared" si="181"/>
        <v>2.965215734993516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293.33333333334951</v>
      </c>
      <c r="S201" s="59">
        <f ca="1">AVERAGE(OFFSET($R$3,0,0,'Données projet'!$E$9+1,1))-AVERAGE(OFFSET($H$3,0,0,'Données projet'!$E$9+1,1))</f>
        <v>635.71275911100679</v>
      </c>
      <c r="T201" s="59">
        <f t="shared" si="204"/>
        <v>281.7776857269169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8.0694917414803056E-13</v>
      </c>
      <c r="AK201" s="13">
        <f t="shared" si="164"/>
        <v>9.5069530861628001E-12</v>
      </c>
      <c r="AL201" s="20">
        <f t="shared" si="165"/>
        <v>1.7963379770041364E-11</v>
      </c>
      <c r="AM201" s="59">
        <f t="shared" si="193"/>
        <v>293.33333333335128</v>
      </c>
      <c r="AN201" s="59">
        <f ca="1">AVERAGE(OFFSET($AM$3,0,0,'Données projet'!$E$10+1,1))-AVERAGE(OFFSET($H$3,0,0,'Données projet'!$E$10+1,1))</f>
        <v>706.69239849991595</v>
      </c>
      <c r="AO201" s="59">
        <f t="shared" si="205"/>
        <v>310.59887275116529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128.34012829972576</v>
      </c>
      <c r="AV201" s="21">
        <f>EXP(-LN(2)/25)*AV200+(1-EXP(-LN(2)/25))/(LN(2)/25)*Calculateur!AQ201*Calculateur!AS201*VLOOKUP('Données projet'!$B$10,Paramètres!$A$1:$I$89,3,0)*0.475*44/12</f>
        <v>19.032297297079086</v>
      </c>
      <c r="AW201" s="21">
        <f>EXP(-LN(2)/2)*AW200+(1-EXP(-LN(2)/2))/(LN(2)/2)*AQ201*AT201*VLOOKUP('Données projet'!$B$10,Paramètres!$A$1:$I$89,3,0)*0.475*44/12</f>
        <v>6.5777219695124997E-2</v>
      </c>
      <c r="AX201" s="21">
        <f t="shared" si="166"/>
        <v>147.43820281649997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7.572907634312286E-13</v>
      </c>
      <c r="BF201" s="13">
        <f t="shared" si="167"/>
        <v>8.9881135648416407E-12</v>
      </c>
      <c r="BG201" s="20">
        <f t="shared" si="168"/>
        <v>1.6973245871741914E-11</v>
      </c>
      <c r="BH201" s="59">
        <f t="shared" si="194"/>
        <v>293.33333333335031</v>
      </c>
      <c r="BI201" s="59">
        <f ca="1">AVERAGE(OFFSET($BH$3,0,0,'Données projet'!$E$11+1,1))-AVERAGE(OFFSET($H$3,0,0,'Données projet'!$E$11+1,1))</f>
        <v>666.1523645983184</v>
      </c>
      <c r="BJ201" s="59">
        <f t="shared" si="206"/>
        <v>294.13851344047526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120.44227425051182</v>
      </c>
      <c r="BQ201" s="21">
        <f>EXP(-LN(2)/25)*BQ200+(1-EXP(-LN(2)/25))/(LN(2)/25)*Calculateur!BL201*Calculateur!BN201*VLOOKUP('Données projet'!$B$11,Paramètres!$A$1:$I$89,3,0)*0.475*44/12</f>
        <v>17.861079001874209</v>
      </c>
      <c r="BR201" s="21">
        <f>EXP(-LN(2)/2)*BR200+(1-EXP(-LN(2)/2))/(LN(2)/2)*BL201*BO201*VLOOKUP('Données projet'!$B$11,Paramètres!$A$1:$I$89,3,0)*0.475*44/12</f>
        <v>6.1729390790809677E-2</v>
      </c>
      <c r="BS201" s="22">
        <f t="shared" si="169"/>
        <v>138.36508264317683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7.9580786405131221E-13</v>
      </c>
      <c r="BZ201" s="13">
        <f>BY201*VLOOKUP('Données projet'!$B$12,Paramètres!$A$1:$I$89,3,0)*VLOOKUP('Données projet'!$B$12,Paramètres!$A$1:$I$89,5,0)</f>
        <v>8.5660758486483253E-13</v>
      </c>
      <c r="CA201" s="13">
        <f t="shared" si="170"/>
        <v>1.0022086930673386E-11</v>
      </c>
      <c r="CB201" s="20">
        <f t="shared" si="171"/>
        <v>1.8947059614562397E-11</v>
      </c>
      <c r="CC201" s="59">
        <f t="shared" si="195"/>
        <v>293.33333333335224</v>
      </c>
      <c r="CD201" s="59">
        <f ca="1">AVERAGE(OFFSET($CC$3,0,0,'Données projet'!$E$12+1,1))-AVERAGE(OFFSET($H$3,0,0,'Données projet'!$E$12+1,1))</f>
        <v>747.18304127457918</v>
      </c>
      <c r="CE201" s="59">
        <f t="shared" si="207"/>
        <v>327.03701004966723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136.23798234893957</v>
      </c>
      <c r="CL201" s="21">
        <f>EXP(-LN(2)/25)*CL200+(1-EXP(-LN(2)/25))/(LN(2)/25)*Calculateur!CG201*Calculateur!CI201*VLOOKUP('Données projet'!$B$12,Paramètres!$A$1:$I$89,3,0)*0.475*44/12</f>
        <v>20.203515592283946</v>
      </c>
      <c r="CM201" s="21">
        <f>EXP(-LN(2)/2)*CM200+(1-EXP(-LN(2)/2))/(LN(2)/2)*CG201*CJ201*VLOOKUP('Données projet'!$B$12,Paramètres!$A$1:$I$89,3,0)*0.475*44/12</f>
        <v>6.9825048599440373E-2</v>
      </c>
      <c r="CN201" s="22">
        <f t="shared" si="172"/>
        <v>156.51132298982293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7.9580786405131221E-13</v>
      </c>
      <c r="CU201" s="17">
        <f>CT201*VLOOKUP('Données projet'!$B$13,Paramètres!$A$1:$I$89,3,0)*VLOOKUP('Données projet'!$B$13,Paramètres!$A$1:$I$89,5,0)</f>
        <v>7.6970536611042922E-13</v>
      </c>
      <c r="CV201" s="13">
        <f t="shared" si="173"/>
        <v>9.1181851324470472E-12</v>
      </c>
      <c r="CW201" s="20">
        <f t="shared" si="174"/>
        <v>1.7221409284987601E-11</v>
      </c>
      <c r="CX201" s="59">
        <f t="shared" si="196"/>
        <v>293.33333333335054</v>
      </c>
      <c r="CY201" s="59">
        <f ca="1">AVERAGE(OFFSET($CX$3,0,0,'Données projet'!$E$13+1,1))-AVERAGE(OFFSET($H$3,0,0,'Données projet'!$E$13+1,1))</f>
        <v>676.29219382388692</v>
      </c>
      <c r="CZ201" s="59">
        <f t="shared" si="208"/>
        <v>298.25577221580448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122.41673776281532</v>
      </c>
      <c r="DG201" s="21">
        <f>EXP(-LN(2)/25)*DG200+(1-EXP(-LN(2)/25))/(LN(2)/25)*Calculateur!DB201*Calculateur!DD201*VLOOKUP('Données projet'!$B$13,Paramètres!$A$1:$I$89,3,0)*0.475*44/12</f>
        <v>18.153883575675437</v>
      </c>
      <c r="DH201" s="21">
        <f>EXP(-LN(2)/2)*DH200+(1-EXP(-LN(2)/2))/(LN(2)/2)*DB201*DE201*VLOOKUP('Données projet'!$B$13,Paramètres!$A$1:$I$89,3,0)*0.475*44/12</f>
        <v>6.2741348016888507E-2</v>
      </c>
      <c r="DI201" s="22">
        <f t="shared" si="175"/>
        <v>140.63336268650764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-8.8675733422860506E-14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197.51452239559433</v>
      </c>
      <c r="EP201" s="59">
        <f t="shared" si="210"/>
        <v>196.65166921588821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2.1419975059715215</v>
      </c>
      <c r="EW201" s="21">
        <f>EXP(-LN(2)/25)*EW200+(1-EXP(-LN(2)/25))/(LN(2)/25)*Calculateur!ER201*Calculateur!ET201*VLOOKUP('Données projet'!$B$15,Paramètres!$A$1:$I$89,3,0)*0.475*44/12</f>
        <v>0.75903544072015183</v>
      </c>
      <c r="EX201" s="21">
        <f>EXP(-LN(2)/2)*EX200+(1-EXP(-LN(2)/2))/(LN(2)/2)*ER201*EU201*VLOOKUP('Données projet'!$B$15,Paramètres!$A$1:$I$89,3,0)*0.475*44/12</f>
        <v>1.4928975645008331E-18</v>
      </c>
      <c r="EY201" s="22">
        <f t="shared" si="181"/>
        <v>2.9010329466916733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293.33333333334951</v>
      </c>
      <c r="S202" s="59">
        <f ca="1">AVERAGE(OFFSET($R$3,0,0,'Données projet'!$E$9+1,1))-AVERAGE(OFFSET($H$3,0,0,'Données projet'!$E$9+1,1))</f>
        <v>635.71275911100679</v>
      </c>
      <c r="T202" s="59">
        <f t="shared" si="204"/>
        <v>281.7776857269169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8.0694917414803056E-13</v>
      </c>
      <c r="AK202" s="13">
        <f t="shared" si="164"/>
        <v>9.5069530861628001E-12</v>
      </c>
      <c r="AL202" s="20">
        <f t="shared" si="165"/>
        <v>1.7963379770041364E-11</v>
      </c>
      <c r="AM202" s="59">
        <f t="shared" si="193"/>
        <v>293.33333333335128</v>
      </c>
      <c r="AN202" s="59">
        <f ca="1">AVERAGE(OFFSET($AM$3,0,0,'Données projet'!$E$10+1,1))-AVERAGE(OFFSET($H$3,0,0,'Données projet'!$E$10+1,1))</f>
        <v>706.69239849991595</v>
      </c>
      <c r="AO202" s="59">
        <f t="shared" si="205"/>
        <v>310.59887275116529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125.82345666351692</v>
      </c>
      <c r="AV202" s="21">
        <f>EXP(-LN(2)/25)*AV201+(1-EXP(-LN(2)/25))/(LN(2)/25)*Calculateur!AQ202*Calculateur!AS202*VLOOKUP('Données projet'!$B$10,Paramètres!$A$1:$I$89,3,0)*0.475*44/12</f>
        <v>18.511858126625444</v>
      </c>
      <c r="AW202" s="21">
        <f>EXP(-LN(2)/2)*AW201+(1-EXP(-LN(2)/2))/(LN(2)/2)*AQ202*AT202*VLOOKUP('Données projet'!$B$10,Paramètres!$A$1:$I$89,3,0)*0.475*44/12</f>
        <v>4.6511518094020217E-2</v>
      </c>
      <c r="AX202" s="21">
        <f t="shared" si="166"/>
        <v>144.38182630823638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7.572907634312286E-13</v>
      </c>
      <c r="BF202" s="13">
        <f t="shared" si="167"/>
        <v>8.9881135648416407E-12</v>
      </c>
      <c r="BG202" s="20">
        <f t="shared" si="168"/>
        <v>1.6973245871741914E-11</v>
      </c>
      <c r="BH202" s="59">
        <f t="shared" si="194"/>
        <v>293.33333333335031</v>
      </c>
      <c r="BI202" s="59">
        <f ca="1">AVERAGE(OFFSET($BH$3,0,0,'Données projet'!$E$11+1,1))-AVERAGE(OFFSET($H$3,0,0,'Données projet'!$E$11+1,1))</f>
        <v>666.1523645983184</v>
      </c>
      <c r="BJ202" s="59">
        <f t="shared" si="206"/>
        <v>294.13851344047526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118.08047471499275</v>
      </c>
      <c r="BQ202" s="21">
        <f>EXP(-LN(2)/25)*BQ201+(1-EXP(-LN(2)/25))/(LN(2)/25)*Calculateur!BL202*Calculateur!BN202*VLOOKUP('Données projet'!$B$11,Paramètres!$A$1:$I$89,3,0)*0.475*44/12</f>
        <v>17.372666857294636</v>
      </c>
      <c r="BR202" s="21">
        <f>EXP(-LN(2)/2)*BR201+(1-EXP(-LN(2)/2))/(LN(2)/2)*BL202*BO202*VLOOKUP('Données projet'!$B$11,Paramètres!$A$1:$I$89,3,0)*0.475*44/12</f>
        <v>4.3649270826695945E-2</v>
      </c>
      <c r="BS202" s="22">
        <f t="shared" si="169"/>
        <v>135.4967908431141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7.9580786405131221E-13</v>
      </c>
      <c r="BZ202" s="13">
        <f>BY202*VLOOKUP('Données projet'!$B$12,Paramètres!$A$1:$I$89,3,0)*VLOOKUP('Données projet'!$B$12,Paramètres!$A$1:$I$89,5,0)</f>
        <v>8.5660758486483253E-13</v>
      </c>
      <c r="CA202" s="13">
        <f t="shared" si="170"/>
        <v>1.0022086930673386E-11</v>
      </c>
      <c r="CB202" s="20">
        <f t="shared" si="171"/>
        <v>1.8947059614562397E-11</v>
      </c>
      <c r="CC202" s="59">
        <f t="shared" si="195"/>
        <v>293.33333333335224</v>
      </c>
      <c r="CD202" s="59">
        <f ca="1">AVERAGE(OFFSET($CC$3,0,0,'Données projet'!$E$12+1,1))-AVERAGE(OFFSET($H$3,0,0,'Données projet'!$E$12+1,1))</f>
        <v>747.18304127457918</v>
      </c>
      <c r="CE202" s="59">
        <f t="shared" si="207"/>
        <v>327.03701004966723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133.56643861204094</v>
      </c>
      <c r="CL202" s="21">
        <f>EXP(-LN(2)/25)*CL201+(1-EXP(-LN(2)/25))/(LN(2)/25)*Calculateur!CG202*Calculateur!CI202*VLOOKUP('Données projet'!$B$12,Paramètres!$A$1:$I$89,3,0)*0.475*44/12</f>
        <v>19.651049395956232</v>
      </c>
      <c r="CM202" s="21">
        <f>EXP(-LN(2)/2)*CM201+(1-EXP(-LN(2)/2))/(LN(2)/2)*CG202*CJ202*VLOOKUP('Données projet'!$B$12,Paramètres!$A$1:$I$89,3,0)*0.475*44/12</f>
        <v>4.9373765361344531E-2</v>
      </c>
      <c r="CN202" s="22">
        <f t="shared" si="172"/>
        <v>153.2668617733585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7.9580786405131221E-13</v>
      </c>
      <c r="CU202" s="17">
        <f>CT202*VLOOKUP('Données projet'!$B$13,Paramètres!$A$1:$I$89,3,0)*VLOOKUP('Données projet'!$B$13,Paramètres!$A$1:$I$89,5,0)</f>
        <v>7.6970536611042922E-13</v>
      </c>
      <c r="CV202" s="13">
        <f t="shared" si="173"/>
        <v>9.1181851324470472E-12</v>
      </c>
      <c r="CW202" s="20">
        <f t="shared" si="174"/>
        <v>1.7221409284987601E-11</v>
      </c>
      <c r="CX202" s="59">
        <f t="shared" si="196"/>
        <v>293.33333333335054</v>
      </c>
      <c r="CY202" s="59">
        <f ca="1">AVERAGE(OFFSET($CX$3,0,0,'Données projet'!$E$13+1,1))-AVERAGE(OFFSET($H$3,0,0,'Données projet'!$E$13+1,1))</f>
        <v>676.29219382388692</v>
      </c>
      <c r="CZ202" s="59">
        <f t="shared" si="208"/>
        <v>298.25577221580448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120.0162202021238</v>
      </c>
      <c r="DG202" s="21">
        <f>EXP(-LN(2)/25)*DG201+(1-EXP(-LN(2)/25))/(LN(2)/25)*Calculateur!DB202*Calculateur!DD202*VLOOKUP('Données projet'!$B$13,Paramètres!$A$1:$I$89,3,0)*0.475*44/12</f>
        <v>17.657464674627345</v>
      </c>
      <c r="DH202" s="21">
        <f>EXP(-LN(2)/2)*DH201+(1-EXP(-LN(2)/2))/(LN(2)/2)*DB202*DE202*VLOOKUP('Données projet'!$B$13,Paramètres!$A$1:$I$89,3,0)*0.475*44/12</f>
        <v>4.4364832643527009E-2</v>
      </c>
      <c r="DI202" s="22">
        <f t="shared" si="175"/>
        <v>137.71804970939468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-8.8675733422860506E-14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197.51452239559433</v>
      </c>
      <c r="EP202" s="59">
        <f t="shared" si="210"/>
        <v>196.65166921588821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2.0999942413688935</v>
      </c>
      <c r="EW202" s="21">
        <f>EXP(-LN(2)/25)*EW201+(1-EXP(-LN(2)/25))/(LN(2)/25)*Calculateur!ER202*Calculateur!ET202*VLOOKUP('Données projet'!$B$15,Paramètres!$A$1:$I$89,3,0)*0.475*44/12</f>
        <v>0.73827957667772026</v>
      </c>
      <c r="EX202" s="21">
        <f>EXP(-LN(2)/2)*EX201+(1-EXP(-LN(2)/2))/(LN(2)/2)*ER202*EU202*VLOOKUP('Données projet'!$B$15,Paramètres!$A$1:$I$89,3,0)*0.475*44/12</f>
        <v>1.0556379914754203E-18</v>
      </c>
      <c r="EY202" s="22">
        <f t="shared" si="181"/>
        <v>2.8382738180466136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293.33333333334951</v>
      </c>
      <c r="S203" s="59">
        <f ca="1">AVERAGE(OFFSET($R$3,0,0,'Données projet'!$E$9+1,1))-AVERAGE(OFFSET($H$3,0,0,'Données projet'!$E$9+1,1))</f>
        <v>635.71275911100679</v>
      </c>
      <c r="T203" s="59">
        <f t="shared" si="204"/>
        <v>281.7776857269169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8.0694917414803056E-13</v>
      </c>
      <c r="AK203" s="13">
        <f t="shared" si="164"/>
        <v>9.5069530861628001E-12</v>
      </c>
      <c r="AL203" s="20">
        <f t="shared" si="165"/>
        <v>1.7963379770041364E-11</v>
      </c>
      <c r="AM203" s="59">
        <f t="shared" si="193"/>
        <v>293.33333333335128</v>
      </c>
      <c r="AN203" s="59">
        <f ca="1">AVERAGE(OFFSET($AM$3,0,0,'Données projet'!$E$10+1,1))-AVERAGE(OFFSET($H$3,0,0,'Données projet'!$E$10+1,1))</f>
        <v>706.69239849991595</v>
      </c>
      <c r="AO203" s="59">
        <f t="shared" si="205"/>
        <v>310.59887275116529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123.35613542307601</v>
      </c>
      <c r="AV203" s="21">
        <f>EXP(-LN(2)/25)*AV202+(1-EXP(-LN(2)/25))/(LN(2)/25)*Calculateur!AQ203*Calculateur!AS203*VLOOKUP('Données projet'!$B$10,Paramètres!$A$1:$I$89,3,0)*0.475*44/12</f>
        <v>18.005650392656563</v>
      </c>
      <c r="AW203" s="21">
        <f>EXP(-LN(2)/2)*AW202+(1-EXP(-LN(2)/2))/(LN(2)/2)*AQ203*AT203*VLOOKUP('Données projet'!$B$10,Paramètres!$A$1:$I$89,3,0)*0.475*44/12</f>
        <v>3.2888609847562499E-2</v>
      </c>
      <c r="AX203" s="21">
        <f t="shared" si="166"/>
        <v>141.39467442558012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7.572907634312286E-13</v>
      </c>
      <c r="BF203" s="13">
        <f t="shared" si="167"/>
        <v>8.9881135648416407E-12</v>
      </c>
      <c r="BG203" s="20">
        <f t="shared" si="168"/>
        <v>1.6973245871741914E-11</v>
      </c>
      <c r="BH203" s="59">
        <f t="shared" si="194"/>
        <v>293.33333333335031</v>
      </c>
      <c r="BI203" s="59">
        <f ca="1">AVERAGE(OFFSET($BH$3,0,0,'Données projet'!$E$11+1,1))-AVERAGE(OFFSET($H$3,0,0,'Données projet'!$E$11+1,1))</f>
        <v>666.1523645983184</v>
      </c>
      <c r="BJ203" s="59">
        <f t="shared" si="206"/>
        <v>294.13851344047526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115.76498862780973</v>
      </c>
      <c r="BQ203" s="21">
        <f>EXP(-LN(2)/25)*BQ202+(1-EXP(-LN(2)/25))/(LN(2)/25)*Calculateur!BL203*Calculateur!BN203*VLOOKUP('Données projet'!$B$11,Paramètres!$A$1:$I$89,3,0)*0.475*44/12</f>
        <v>16.897610368493069</v>
      </c>
      <c r="BR203" s="21">
        <f>EXP(-LN(2)/2)*BR202+(1-EXP(-LN(2)/2))/(LN(2)/2)*BL203*BO203*VLOOKUP('Données projet'!$B$11,Paramètres!$A$1:$I$89,3,0)*0.475*44/12</f>
        <v>3.0864695395404845E-2</v>
      </c>
      <c r="BS203" s="22">
        <f t="shared" si="169"/>
        <v>132.69346369169818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7.9580786405131221E-13</v>
      </c>
      <c r="BZ203" s="13">
        <f>BY203*VLOOKUP('Données projet'!$B$12,Paramètres!$A$1:$I$89,3,0)*VLOOKUP('Données projet'!$B$12,Paramètres!$A$1:$I$89,5,0)</f>
        <v>8.5660758486483253E-13</v>
      </c>
      <c r="CA203" s="13">
        <f t="shared" si="170"/>
        <v>1.0022086930673386E-11</v>
      </c>
      <c r="CB203" s="20">
        <f t="shared" si="171"/>
        <v>1.8947059614562397E-11</v>
      </c>
      <c r="CC203" s="59">
        <f t="shared" si="195"/>
        <v>293.33333333335224</v>
      </c>
      <c r="CD203" s="59">
        <f ca="1">AVERAGE(OFFSET($CC$3,0,0,'Données projet'!$E$12+1,1))-AVERAGE(OFFSET($H$3,0,0,'Données projet'!$E$12+1,1))</f>
        <v>747.18304127457918</v>
      </c>
      <c r="CE203" s="59">
        <f t="shared" si="207"/>
        <v>327.03701004966723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130.94728221834214</v>
      </c>
      <c r="CL203" s="21">
        <f>EXP(-LN(2)/25)*CL202+(1-EXP(-LN(2)/25))/(LN(2)/25)*Calculateur!CG203*Calculateur!CI203*VLOOKUP('Données projet'!$B$12,Paramètres!$A$1:$I$89,3,0)*0.475*44/12</f>
        <v>19.113690416820035</v>
      </c>
      <c r="CM203" s="21">
        <f>EXP(-LN(2)/2)*CM202+(1-EXP(-LN(2)/2))/(LN(2)/2)*CG203*CJ203*VLOOKUP('Données projet'!$B$12,Paramètres!$A$1:$I$89,3,0)*0.475*44/12</f>
        <v>3.4912524299720187E-2</v>
      </c>
      <c r="CN203" s="22">
        <f t="shared" si="172"/>
        <v>150.09588515946189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7.9580786405131221E-13</v>
      </c>
      <c r="CU203" s="17">
        <f>CT203*VLOOKUP('Données projet'!$B$13,Paramètres!$A$1:$I$89,3,0)*VLOOKUP('Données projet'!$B$13,Paramètres!$A$1:$I$89,5,0)</f>
        <v>7.6970536611042922E-13</v>
      </c>
      <c r="CV203" s="13">
        <f t="shared" si="173"/>
        <v>9.1181851324470472E-12</v>
      </c>
      <c r="CW203" s="20">
        <f t="shared" si="174"/>
        <v>1.7221409284987601E-11</v>
      </c>
      <c r="CX203" s="59">
        <f t="shared" si="196"/>
        <v>293.33333333335054</v>
      </c>
      <c r="CY203" s="59">
        <f ca="1">AVERAGE(OFFSET($CX$3,0,0,'Données projet'!$E$13+1,1))-AVERAGE(OFFSET($H$3,0,0,'Données projet'!$E$13+1,1))</f>
        <v>676.29219382388692</v>
      </c>
      <c r="CZ203" s="59">
        <f t="shared" si="208"/>
        <v>298.25577221580448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117.66277532662632</v>
      </c>
      <c r="DG203" s="21">
        <f>EXP(-LN(2)/25)*DG202+(1-EXP(-LN(2)/25))/(LN(2)/25)*Calculateur!DB203*Calculateur!DD203*VLOOKUP('Données projet'!$B$13,Paramètres!$A$1:$I$89,3,0)*0.475*44/12</f>
        <v>17.174620374533951</v>
      </c>
      <c r="DH203" s="21">
        <f>EXP(-LN(2)/2)*DH202+(1-EXP(-LN(2)/2))/(LN(2)/2)*DB203*DE203*VLOOKUP('Données projet'!$B$13,Paramètres!$A$1:$I$89,3,0)*0.475*44/12</f>
        <v>3.1370674008444253E-2</v>
      </c>
      <c r="DI203" s="22">
        <f t="shared" si="175"/>
        <v>134.86876637516872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-8.8675733422860506E-14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197.51452239559433</v>
      </c>
      <c r="EP203" s="59">
        <f t="shared" si="210"/>
        <v>196.65166921588821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2.0588146351656613</v>
      </c>
      <c r="EW203" s="21">
        <f>EXP(-LN(2)/25)*EW202+(1-EXP(-LN(2)/25))/(LN(2)/25)*Calculateur!ER203*Calculateur!ET203*VLOOKUP('Données projet'!$B$15,Paramètres!$A$1:$I$89,3,0)*0.475*44/12</f>
        <v>0.71809128282903245</v>
      </c>
      <c r="EX203" s="21">
        <f>EXP(-LN(2)/2)*EX202+(1-EXP(-LN(2)/2))/(LN(2)/2)*ER203*EU203*VLOOKUP('Données projet'!$B$15,Paramètres!$A$1:$I$89,3,0)*0.475*44/12</f>
        <v>7.4644878225041656E-19</v>
      </c>
      <c r="EY203" s="22">
        <f t="shared" si="181"/>
        <v>2.7769059179946938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1.1303799945549604</v>
      </c>
      <c r="BA205" s="82">
        <f>EXP(LN('Données projet'!B88)/'Données projet'!A88)</f>
        <v>1.1303799945549604</v>
      </c>
      <c r="BV205" s="82">
        <f>EXP(LN('Données projet'!B114)/'Données projet'!A114)</f>
        <v>1.1303799945549604</v>
      </c>
      <c r="CQ205" s="82">
        <f>EXP(LN('Données projet'!B140)/'Données projet'!A140)</f>
        <v>1.1303799945549604</v>
      </c>
      <c r="DL205" s="82" t="e">
        <f>EXP(LN('Données projet'!B166)/'Données projet'!A166)</f>
        <v>#NUM!</v>
      </c>
      <c r="EG205" s="82">
        <f>EXP(LN('Données projet'!B192)/'Données projet'!A192)</f>
        <v>1.2414494093563335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61328125" style="4" bestFit="1" customWidth="1"/>
    <col min="3" max="3" width="11.921875" style="4" bestFit="1" customWidth="1"/>
    <col min="4" max="4" width="40" style="4" bestFit="1" customWidth="1"/>
    <col min="5" max="5" width="11.921875" style="4" bestFit="1" customWidth="1"/>
    <col min="6" max="6" width="13.61328125" style="4" bestFit="1" customWidth="1"/>
    <col min="7" max="7" width="11.4609375" style="4" bestFit="1" customWidth="1"/>
    <col min="8" max="8" width="39" style="4" bestFit="1" customWidth="1"/>
    <col min="9" max="9" width="16.613281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">
      <c r="A93" s="122" t="s">
        <v>208</v>
      </c>
    </row>
    <row r="94" spans="1:14" x14ac:dyDescent="0.4">
      <c r="A94" s="122" t="s">
        <v>209</v>
      </c>
    </row>
    <row r="95" spans="1:14" x14ac:dyDescent="0.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20" sqref="J20"/>
    </sheetView>
  </sheetViews>
  <sheetFormatPr baseColWidth="10" defaultColWidth="11.4609375" defaultRowHeight="14.6" x14ac:dyDescent="0.4"/>
  <cols>
    <col min="1" max="1" width="22.9218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2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Chêne sessile</v>
      </c>
      <c r="B6" s="146">
        <f>'Données projet'!D9</f>
        <v>0.55000000000000004</v>
      </c>
      <c r="C6" s="147">
        <f ca="1">IF(OR('Données projet'!B9="",'Données projet'!C9="",'Données projet'!C9=0%),0,Calculateur!S3)</f>
        <v>635.71275911100679</v>
      </c>
      <c r="D6" s="147">
        <f>IF(OR('Données projet'!B9="",'Données projet'!C9="",'Données projet'!C9=0%),0,Calculateur!T3)</f>
        <v>281.7776857269169</v>
      </c>
      <c r="E6" s="147">
        <f ca="1">MIN(C6,D6)</f>
        <v>281.7776857269169</v>
      </c>
      <c r="F6" s="147">
        <f ca="1">E6*B6</f>
        <v>154.97772714980431</v>
      </c>
      <c r="G6" s="147">
        <f ca="1">F6*(100%-'Données projet'!$C$24)*(100%-'Données projet'!$C$25)*(100%-'Données projet'!$C$26)*(100%-'Données projet'!$C$27)</f>
        <v>125.53195899134151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125.53195899134151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Chêne pubescent</v>
      </c>
      <c r="B7" s="154">
        <f>'Données projet'!D10</f>
        <v>0.55000000000000004</v>
      </c>
      <c r="C7" s="147">
        <f ca="1">IF(OR('Données projet'!B10="",'Données projet'!C10="",'Données projet'!C10=0%),0,Calculateur!AN3)</f>
        <v>706.69239849991595</v>
      </c>
      <c r="D7" s="147">
        <f>IF(OR('Données projet'!B10="",'Données projet'!C10="",'Données projet'!C10=0%),0,Calculateur!AO3)</f>
        <v>310.59887275116529</v>
      </c>
      <c r="E7" s="147">
        <f t="shared" ref="E7:E15" ca="1" si="0">MIN(C7,D7)</f>
        <v>310.59887275116529</v>
      </c>
      <c r="F7" s="147">
        <f t="shared" ref="F7:F15" ca="1" si="1">E7*B7</f>
        <v>170.82938001314093</v>
      </c>
      <c r="G7" s="147">
        <f ca="1">F7*(100%-'Données projet'!$C$24)*(100%-'Données projet'!$C$25)*(100%-'Données projet'!$C$26)*(100%-'Données projet'!$C$27)</f>
        <v>138.37179781064415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138.37179781064415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Charme</v>
      </c>
      <c r="B8" s="154">
        <f>'Données projet'!D11</f>
        <v>0.88000000000000012</v>
      </c>
      <c r="C8" s="147">
        <f ca="1">IF(OR('Données projet'!B11="",'Données projet'!C11="",'Données projet'!C11=0%),0,Calculateur!BI3)</f>
        <v>666.1523645983184</v>
      </c>
      <c r="D8" s="147">
        <f>IF(OR('Données projet'!B11="",'Données projet'!C11="",'Données projet'!C11=0%),0,Calculateur!BJ3)</f>
        <v>294.13851344047526</v>
      </c>
      <c r="E8" s="147">
        <f t="shared" ca="1" si="0"/>
        <v>294.13851344047526</v>
      </c>
      <c r="F8" s="147">
        <f t="shared" ca="1" si="1"/>
        <v>258.84189182761827</v>
      </c>
      <c r="G8" s="147">
        <f ca="1">F8*(100%-'Données projet'!$C$24)*(100%-'Données projet'!$C$25)*(100%-'Données projet'!$C$26)*(100%-'Données projet'!$C$27)</f>
        <v>209.66193238037081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209.66193238037081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>Cormier</v>
      </c>
      <c r="B9" s="154">
        <f>'Données projet'!D12</f>
        <v>6.6000000000000003E-2</v>
      </c>
      <c r="C9" s="147">
        <f ca="1">IF(OR('Données projet'!B12="",'Données projet'!C12="",'Données projet'!C12=0%),0,Calculateur!CD3)</f>
        <v>747.18304127457918</v>
      </c>
      <c r="D9" s="147">
        <f>IF(OR('Données projet'!B12="",'Données projet'!C12="",'Données projet'!C12=0%),0,Calculateur!CE3)</f>
        <v>327.03701004966723</v>
      </c>
      <c r="E9" s="147">
        <f t="shared" ca="1" si="0"/>
        <v>327.03701004966723</v>
      </c>
      <c r="F9" s="147">
        <f t="shared" ca="1" si="1"/>
        <v>21.58444266327804</v>
      </c>
      <c r="G9" s="147">
        <f ca="1">F9*(100%-'Données projet'!$C$24)*(100%-'Données projet'!$C$25)*(100%-'Données projet'!$C$26)*(100%-'Données projet'!$C$27)</f>
        <v>17.483398557255214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17.483398557255214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>Alisier torminal</v>
      </c>
      <c r="B10" s="154">
        <f>'Données projet'!D13</f>
        <v>6.6000000000000003E-2</v>
      </c>
      <c r="C10" s="147">
        <f ca="1">IF(OR('Données projet'!B13="",'Données projet'!C13="",'Données projet'!C13=0%),0,Calculateur!CY3)</f>
        <v>676.29219382388692</v>
      </c>
      <c r="D10" s="147">
        <f>IF(OR('Données projet'!B13="",'Données projet'!C13="",'Données projet'!C13=0%),0,Calculateur!CZ3)</f>
        <v>298.25577221580448</v>
      </c>
      <c r="E10" s="147">
        <f t="shared" ca="1" si="0"/>
        <v>298.25577221580448</v>
      </c>
      <c r="F10" s="147">
        <f t="shared" ca="1" si="1"/>
        <v>19.684880966243096</v>
      </c>
      <c r="G10" s="147">
        <f ca="1">F10*(100%-'Données projet'!$C$24)*(100%-'Données projet'!$C$25)*(100%-'Données projet'!$C$26)*(100%-'Données projet'!$C$27)</f>
        <v>15.944753582656908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15.944753582656908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>Merisier</v>
      </c>
      <c r="B12" s="154">
        <f>'Données projet'!D15</f>
        <v>4.4000000000000004E-2</v>
      </c>
      <c r="C12" s="147">
        <f ca="1">IF(OR('Données projet'!B15="",'Données projet'!C15="",'Données projet'!C15=0%),0,Calculateur!EO3)</f>
        <v>197.51452239559433</v>
      </c>
      <c r="D12" s="147">
        <f>IF(OR('Données projet'!B15="",'Données projet'!C15="",'Données projet'!C15=0%),0,Calculateur!EP3)</f>
        <v>196.65166921588821</v>
      </c>
      <c r="E12" s="147">
        <f t="shared" ca="1" si="0"/>
        <v>196.65166921588821</v>
      </c>
      <c r="F12" s="147">
        <f t="shared" ca="1" si="1"/>
        <v>8.6526734454990812</v>
      </c>
      <c r="G12" s="147">
        <f ca="1">F12*(100%-'Données projet'!$C$24)*(100%-'Données projet'!$C$25)*(100%-'Données projet'!$C$26)*(100%-'Données projet'!$C$27)</f>
        <v>7.0086654908542565</v>
      </c>
      <c r="H12" s="155">
        <f>IF(OR('Données projet'!B15="",'Données projet'!C15="",'Données projet'!C15=0%),0,AVERAGE(Calculateur!$EY$3:$EY$33)*B12)</f>
        <v>6.5385137801451998E-2</v>
      </c>
      <c r="I12" s="149">
        <f>H12*(100%-'Données projet'!$C$24)*(100%-'Données projet'!$C$25)*(100%-'Données projet'!$C$26)*(100%-'Données projet'!$C$27)</f>
        <v>5.2961961619176115E-2</v>
      </c>
      <c r="J12" s="150">
        <f>IF(OR('Données projet'!B15="",'Données projet'!C15="",'Données projet'!C15=0%),0,SUM(Calculateur!$ER$3:$ER$33)*VLOOKUP('Données projet'!$B$15,Paramètres!$A$1:$I$89,9,0)*B12)</f>
        <v>0.38782051282051283</v>
      </c>
      <c r="K12" s="151">
        <f>J12*(100%-'Données projet'!$C$24)*(100%-'Données projet'!$C$25)*(100%-'Données projet'!$C$26)*(100%-'Données projet'!$C$27)</f>
        <v>0.3141346153846154</v>
      </c>
      <c r="L12" s="152">
        <f t="shared" ca="1" si="2"/>
        <v>7.375762067858048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634.57099606558381</v>
      </c>
      <c r="G16" s="166">
        <f t="shared" ca="1" si="3"/>
        <v>514.00250681312286</v>
      </c>
      <c r="H16" s="167">
        <f t="shared" si="3"/>
        <v>6.5385137801451998E-2</v>
      </c>
      <c r="I16" s="167">
        <f t="shared" si="3"/>
        <v>5.2961961619176115E-2</v>
      </c>
      <c r="J16" s="168">
        <f t="shared" si="3"/>
        <v>0.38782051282051283</v>
      </c>
      <c r="K16" s="168">
        <f t="shared" si="3"/>
        <v>0.3141346153846154</v>
      </c>
      <c r="L16" s="169">
        <f t="shared" ca="1" si="3"/>
        <v>514.3696033901266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0" zoomScale="80" zoomScaleNormal="80" workbookViewId="0">
      <selection activeCell="I20" sqref="I20:I24"/>
    </sheetView>
  </sheetViews>
  <sheetFormatPr baseColWidth="10" defaultColWidth="11.4609375" defaultRowHeight="14.6" x14ac:dyDescent="0.4"/>
  <cols>
    <col min="1" max="1" width="11.4609375" style="1"/>
    <col min="2" max="2" width="30.9218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61328125" style="1" customWidth="1"/>
    <col min="9" max="9" width="37" style="1" customWidth="1"/>
    <col min="10" max="10" width="11.4609375" style="1"/>
    <col min="11" max="11" width="8.9218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9218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0.55000000000000004</v>
      </c>
      <c r="V10" s="177">
        <f>U10*T10</f>
        <v>473.93717487055693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806.00592941238369</v>
      </c>
      <c r="U11" s="178">
        <f>'Données projet'!D10</f>
        <v>0.55000000000000004</v>
      </c>
      <c r="V11" s="177">
        <f t="shared" ref="V11" si="0">U11*T11</f>
        <v>443.30326117681108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861.70395431010343</v>
      </c>
      <c r="U12" s="178">
        <f>'Données projet'!D11</f>
        <v>0.88000000000000012</v>
      </c>
      <c r="V12" s="177">
        <f t="shared" ref="V12:V19" si="1">U12*T12</f>
        <v>758.29947979289113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861.70395431010343</v>
      </c>
      <c r="U13" s="178">
        <f>'Données projet'!D12</f>
        <v>6.6000000000000003E-2</v>
      </c>
      <c r="V13" s="177">
        <f t="shared" si="1"/>
        <v>56.872460984466827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861.70395431010343</v>
      </c>
      <c r="U14" s="178">
        <f>'Données projet'!D13</f>
        <v>6.6000000000000003E-2</v>
      </c>
      <c r="V14" s="177">
        <f t="shared" si="1"/>
        <v>56.872460984466827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Merisier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949.45261750537895</v>
      </c>
      <c r="U16" s="178">
        <f>'Données projet'!D15</f>
        <v>4.4000000000000004E-2</v>
      </c>
      <c r="V16" s="177">
        <f t="shared" si="1"/>
        <v>41.775915170236679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20000/2.2</f>
        <v>9090.9090909090901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4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-21839.306635791589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>
        <v>5</v>
      </c>
      <c r="I24" s="191">
        <v>600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7798.9848302082009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160</v>
      </c>
      <c r="Q25" s="234"/>
      <c r="R25" s="23"/>
      <c r="S25" s="186" t="s">
        <v>266</v>
      </c>
      <c r="T25" s="299">
        <f ca="1">T23-T24</f>
        <v>-29638.291465999791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3544.9931046400911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2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2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153.11004784688996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146.51679219798083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2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140.2074566487855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134.16981497491437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128.39216744010946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122.86331812450669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2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117.57255322919299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112.50962031501726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107.66470843542322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103.02842912480692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98.59179820555687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94.346218378523332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90.283462563180223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86.395657955196413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82.675270770522872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79.115091646433399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75.708221671228131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72.448059015529324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69.328286139262516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66.342857549533534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42</v>
      </c>
      <c r="B54" s="181">
        <f>'Données projet'!D62</f>
        <v>44.510000000000005</v>
      </c>
      <c r="C54" s="191">
        <v>15</v>
      </c>
      <c r="D54" s="179">
        <f>B54*C54</f>
        <v>667.65000000000009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63.485988085678009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50</v>
      </c>
      <c r="B55" s="181">
        <f>'Données projet'!D63</f>
        <v>37.54000000000002</v>
      </c>
      <c r="C55" s="191">
        <v>15</v>
      </c>
      <c r="D55" s="179">
        <f t="shared" ref="D55:D73" si="4">B55*C55</f>
        <v>563.10000000000036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60.752141708782808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58</v>
      </c>
      <c r="B56" s="181">
        <f>'Données projet'!D64</f>
        <v>47.789999999999992</v>
      </c>
      <c r="C56" s="191">
        <v>15</v>
      </c>
      <c r="D56" s="179">
        <f t="shared" si="4"/>
        <v>716.84999999999991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58.136020773954833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66</v>
      </c>
      <c r="B57" s="181">
        <f>'Données projet'!D65</f>
        <v>53.679999999999978</v>
      </c>
      <c r="C57" s="191">
        <v>59.875</v>
      </c>
      <c r="D57" s="179">
        <f t="shared" si="4"/>
        <v>3214.0899999999988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55.632555764550091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74</v>
      </c>
      <c r="B58" s="181">
        <f>'Données projet'!D66</f>
        <v>51.339999999999975</v>
      </c>
      <c r="C58" s="191">
        <v>59.875</v>
      </c>
      <c r="D58" s="179">
        <f t="shared" si="4"/>
        <v>3073.9824999999987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53.236895468468994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84</v>
      </c>
      <c r="B59" s="181">
        <f>'Données projet'!D67</f>
        <v>66.69</v>
      </c>
      <c r="C59" s="191">
        <v>59.875</v>
      </c>
      <c r="D59" s="179">
        <f t="shared" si="4"/>
        <v>3993.0637499999998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50.944397577482306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94</v>
      </c>
      <c r="B60" s="181">
        <f>'Données projet'!D68</f>
        <v>67.350000000000023</v>
      </c>
      <c r="C60" s="191">
        <v>59.875</v>
      </c>
      <c r="D60" s="179">
        <f t="shared" si="4"/>
        <v>4032.5812500000015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48.750619691370623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104</v>
      </c>
      <c r="B61" s="181">
        <f>'Données projet'!D69</f>
        <v>66.089999999999975</v>
      </c>
      <c r="C61" s="191">
        <v>59.875</v>
      </c>
      <c r="D61" s="179">
        <f t="shared" si="4"/>
        <v>3957.1387499999987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46.651310709445582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114</v>
      </c>
      <c r="B62" s="181">
        <f>'Données projet'!D70</f>
        <v>61.860000000000014</v>
      </c>
      <c r="C62" s="191">
        <v>59.875</v>
      </c>
      <c r="D62" s="179">
        <f t="shared" si="4"/>
        <v>3703.8675000000007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44.642402592770885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124</v>
      </c>
      <c r="B63" s="181">
        <f>'Données projet'!D71</f>
        <v>57.81</v>
      </c>
      <c r="C63" s="191">
        <v>59.875</v>
      </c>
      <c r="D63" s="179">
        <f t="shared" si="4"/>
        <v>3461.3737500000002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42.720002481120481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134</v>
      </c>
      <c r="B64" s="181">
        <f>'Données projet'!D72</f>
        <v>60.779999999999973</v>
      </c>
      <c r="C64" s="191">
        <v>179.75</v>
      </c>
      <c r="D64" s="179">
        <f t="shared" si="4"/>
        <v>10925.204999999994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40.880385149397583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144</v>
      </c>
      <c r="B65" s="181">
        <f>'Données projet'!D73</f>
        <v>61.800000000000068</v>
      </c>
      <c r="C65" s="191">
        <v>179.75</v>
      </c>
      <c r="D65" s="179">
        <f t="shared" si="4"/>
        <v>11108.550000000012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39.119985788897225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154</v>
      </c>
      <c r="B66" s="181">
        <f>'Données projet'!D74</f>
        <v>61.050000000000011</v>
      </c>
      <c r="C66" s="191">
        <v>179.75</v>
      </c>
      <c r="D66" s="179">
        <f t="shared" si="4"/>
        <v>10973.737500000003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37.435393099423187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164</v>
      </c>
      <c r="B67" s="181">
        <f>'Données projet'!D75</f>
        <v>66.020000000000095</v>
      </c>
      <c r="C67" s="191">
        <v>179.75</v>
      </c>
      <c r="D67" s="179">
        <f t="shared" si="4"/>
        <v>11867.095000000018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35.823342678873871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174</v>
      </c>
      <c r="B68" s="181">
        <f>'Données projet'!D76</f>
        <v>240</v>
      </c>
      <c r="C68" s="191">
        <v>234.375</v>
      </c>
      <c r="D68" s="179">
        <f t="shared" si="4"/>
        <v>56250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34.28071069748696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177</v>
      </c>
      <c r="B69" s="181">
        <f>'Données projet'!D77</f>
        <v>128.66000000000003</v>
      </c>
      <c r="C69" s="191">
        <v>234.375</v>
      </c>
      <c r="D69" s="179">
        <f t="shared" si="4"/>
        <v>30154.687500000007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32.80450784448513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180</v>
      </c>
      <c r="B70" s="181">
        <f>'Données projet'!D78</f>
        <v>86.97</v>
      </c>
      <c r="C70" s="191">
        <v>234.375</v>
      </c>
      <c r="D70" s="179">
        <f t="shared" si="4"/>
        <v>20383.59375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31.391873535392474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183</v>
      </c>
      <c r="B71" s="181">
        <f>'Données projet'!D79</f>
        <v>191.47</v>
      </c>
      <c r="C71" s="191">
        <v>234.375</v>
      </c>
      <c r="D71" s="179">
        <f t="shared" si="4"/>
        <v>44875.78125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30.040070368796631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28.746478821814957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27.508592173985612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26.324011649747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25.190441770092828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24.105685904395049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23.067642013775171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22.074298577775281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21.123730696435683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20.214096360225529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19.343632880598602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18.510653474257037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17.713543994504345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16.950759803353439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42</v>
      </c>
      <c r="B85" s="181">
        <f>'Données projet'!D88</f>
        <v>44.510000000000005</v>
      </c>
      <c r="C85" s="191">
        <v>15</v>
      </c>
      <c r="D85" s="179">
        <f>B85*C85</f>
        <v>667.65000000000009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16.220822778328653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50</v>
      </c>
      <c r="B86" s="181">
        <f>'Données projet'!D89</f>
        <v>37.54000000000002</v>
      </c>
      <c r="C86" s="191">
        <v>15</v>
      </c>
      <c r="D86" s="179">
        <f t="shared" ref="D86:D104" si="6">B86*C86</f>
        <v>563.10000000000036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15.522318448161391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58</v>
      </c>
      <c r="B87" s="181">
        <f>'Données projet'!D90</f>
        <v>47.789999999999992</v>
      </c>
      <c r="C87" s="191">
        <v>15</v>
      </c>
      <c r="D87" s="179">
        <f t="shared" si="6"/>
        <v>716.84999999999991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14.853893251829088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66</v>
      </c>
      <c r="B88" s="181">
        <f>'Données projet'!D91</f>
        <v>53.679999999999978</v>
      </c>
      <c r="C88" s="191">
        <v>59.875</v>
      </c>
      <c r="D88" s="179">
        <f t="shared" si="6"/>
        <v>3214.0899999999988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14.214251915625919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74</v>
      </c>
      <c r="B89" s="181">
        <f>'Données projet'!D92</f>
        <v>51.339999999999975</v>
      </c>
      <c r="C89" s="191">
        <v>59.875</v>
      </c>
      <c r="D89" s="179">
        <f t="shared" si="6"/>
        <v>3073.9824999999987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13.6021549431827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84</v>
      </c>
      <c r="B90" s="181">
        <f>'Données projet'!D93</f>
        <v>66.69</v>
      </c>
      <c r="C90" s="191">
        <v>59.875</v>
      </c>
      <c r="D90" s="179">
        <f t="shared" si="6"/>
        <v>3993.0637499999998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13.016416213571965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94</v>
      </c>
      <c r="B91" s="181">
        <f>'Données projet'!D94</f>
        <v>67.350000000000023</v>
      </c>
      <c r="C91" s="191">
        <v>59.875</v>
      </c>
      <c r="D91" s="179">
        <f t="shared" si="6"/>
        <v>4032.5812500000015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12.455900682843987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104</v>
      </c>
      <c r="B92" s="181">
        <f>'Données projet'!D95</f>
        <v>66.089999999999975</v>
      </c>
      <c r="C92" s="191">
        <v>59.875</v>
      </c>
      <c r="D92" s="179">
        <f t="shared" si="6"/>
        <v>3957.1387499999987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11.919522184539701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114</v>
      </c>
      <c r="B93" s="181">
        <f>'Données projet'!D96</f>
        <v>61.860000000000014</v>
      </c>
      <c r="C93" s="191">
        <v>59.875</v>
      </c>
      <c r="D93" s="179">
        <f t="shared" si="6"/>
        <v>3703.8675000000007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11.406241324918376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124</v>
      </c>
      <c r="B94" s="181">
        <f>'Données projet'!D97</f>
        <v>57.81</v>
      </c>
      <c r="C94" s="191">
        <v>59.875</v>
      </c>
      <c r="D94" s="179">
        <f t="shared" si="6"/>
        <v>3461.3737500000002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10.91506346882141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134</v>
      </c>
      <c r="B95" s="181">
        <f>'Données projet'!D98</f>
        <v>60.779999999999973</v>
      </c>
      <c r="C95" s="191">
        <v>179.75</v>
      </c>
      <c r="D95" s="179">
        <f t="shared" si="6"/>
        <v>10925.204999999994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10.445036812269297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144</v>
      </c>
      <c r="B96" s="181">
        <f>'Données projet'!D99</f>
        <v>61.800000000000068</v>
      </c>
      <c r="C96" s="191">
        <v>179.75</v>
      </c>
      <c r="D96" s="179">
        <f t="shared" si="6"/>
        <v>11108.550000000012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9.9952505380567409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154</v>
      </c>
      <c r="B97" s="181">
        <f>'Données projet'!D100</f>
        <v>61.050000000000011</v>
      </c>
      <c r="C97" s="191">
        <v>179.75</v>
      </c>
      <c r="D97" s="179">
        <f t="shared" si="6"/>
        <v>10973.737500000003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9.5648330507720072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164</v>
      </c>
      <c r="B98" s="181">
        <f>'Données projet'!D101</f>
        <v>66.020000000000095</v>
      </c>
      <c r="C98" s="191">
        <v>179.75</v>
      </c>
      <c r="D98" s="179">
        <f t="shared" si="6"/>
        <v>11867.095000000018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9.1529502878201026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174</v>
      </c>
      <c r="B99" s="181">
        <f>'Données projet'!D102</f>
        <v>240</v>
      </c>
      <c r="C99" s="191">
        <v>234.375</v>
      </c>
      <c r="D99" s="179">
        <f t="shared" si="6"/>
        <v>56250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8.758804103177134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177</v>
      </c>
      <c r="B100" s="181">
        <f>'Données projet'!D103</f>
        <v>128.66000000000003</v>
      </c>
      <c r="C100" s="191">
        <v>234.375</v>
      </c>
      <c r="D100" s="179">
        <f t="shared" si="6"/>
        <v>30154.687500000007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8.3816307207436687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180</v>
      </c>
      <c r="B101" s="181">
        <f>'Données projet'!D104</f>
        <v>86.97</v>
      </c>
      <c r="C101" s="191">
        <v>234.375</v>
      </c>
      <c r="D101" s="179">
        <f t="shared" si="6"/>
        <v>20383.59375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8.0206992543001618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183</v>
      </c>
      <c r="B102" s="181">
        <f>'Données projet'!D105</f>
        <v>191.47</v>
      </c>
      <c r="C102" s="191">
        <v>234.375</v>
      </c>
      <c r="D102" s="179">
        <f t="shared" si="6"/>
        <v>44875.78125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7.675310291196328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42</v>
      </c>
      <c r="B116" s="181">
        <f>'Données projet'!D114</f>
        <v>44.510000000000005</v>
      </c>
      <c r="C116" s="191">
        <v>15</v>
      </c>
      <c r="D116" s="179">
        <f>B116*C116</f>
        <v>667.65000000000009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50</v>
      </c>
      <c r="B117" s="181">
        <f>'Données projet'!D115</f>
        <v>37.54000000000002</v>
      </c>
      <c r="C117" s="191">
        <v>15</v>
      </c>
      <c r="D117" s="179">
        <f t="shared" ref="D117:D135" si="8">B117*C117</f>
        <v>563.10000000000036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58</v>
      </c>
      <c r="B118" s="181">
        <f>'Données projet'!D116</f>
        <v>47.789999999999992</v>
      </c>
      <c r="C118" s="191">
        <v>15</v>
      </c>
      <c r="D118" s="179">
        <f t="shared" si="8"/>
        <v>716.84999999999991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66</v>
      </c>
      <c r="B119" s="181">
        <f>'Données projet'!D117</f>
        <v>53.679999999999978</v>
      </c>
      <c r="C119" s="191">
        <v>59.875</v>
      </c>
      <c r="D119" s="179">
        <f t="shared" si="8"/>
        <v>3214.0899999999988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74</v>
      </c>
      <c r="B120" s="181">
        <f>'Données projet'!D118</f>
        <v>51.339999999999975</v>
      </c>
      <c r="C120" s="191">
        <v>59.875</v>
      </c>
      <c r="D120" s="179">
        <f t="shared" si="8"/>
        <v>3073.9824999999987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84</v>
      </c>
      <c r="B121" s="181">
        <f>'Données projet'!D119</f>
        <v>66.69</v>
      </c>
      <c r="C121" s="191">
        <v>59.875</v>
      </c>
      <c r="D121" s="179">
        <f t="shared" si="8"/>
        <v>3993.0637499999998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94</v>
      </c>
      <c r="B122" s="181">
        <f>'Données projet'!D120</f>
        <v>67.350000000000023</v>
      </c>
      <c r="C122" s="191">
        <v>59.875</v>
      </c>
      <c r="D122" s="179">
        <f t="shared" si="8"/>
        <v>4032.5812500000015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104</v>
      </c>
      <c r="B123" s="181">
        <f>'Données projet'!D121</f>
        <v>66.089999999999975</v>
      </c>
      <c r="C123" s="191">
        <v>59.875</v>
      </c>
      <c r="D123" s="179">
        <f t="shared" si="8"/>
        <v>3957.1387499999987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114</v>
      </c>
      <c r="B124" s="181">
        <f>'Données projet'!D122</f>
        <v>61.860000000000014</v>
      </c>
      <c r="C124" s="191">
        <v>59.875</v>
      </c>
      <c r="D124" s="179">
        <f t="shared" si="8"/>
        <v>3703.8675000000007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124</v>
      </c>
      <c r="B125" s="181">
        <f>'Données projet'!D123</f>
        <v>57.81</v>
      </c>
      <c r="C125" s="191">
        <v>59.875</v>
      </c>
      <c r="D125" s="179">
        <f t="shared" si="8"/>
        <v>3461.3737500000002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134</v>
      </c>
      <c r="B126" s="181">
        <f>'Données projet'!D124</f>
        <v>60.779999999999973</v>
      </c>
      <c r="C126" s="191">
        <v>179.75</v>
      </c>
      <c r="D126" s="179">
        <f t="shared" si="8"/>
        <v>10925.204999999994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144</v>
      </c>
      <c r="B127" s="181">
        <f>'Données projet'!D125</f>
        <v>61.800000000000068</v>
      </c>
      <c r="C127" s="191">
        <v>179.75</v>
      </c>
      <c r="D127" s="179">
        <f t="shared" si="8"/>
        <v>11108.550000000012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154</v>
      </c>
      <c r="B128" s="181">
        <f>'Données projet'!D126</f>
        <v>61.050000000000011</v>
      </c>
      <c r="C128" s="191">
        <v>179.75</v>
      </c>
      <c r="D128" s="179">
        <f t="shared" si="8"/>
        <v>10973.737500000003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164</v>
      </c>
      <c r="B129" s="181">
        <f>'Données projet'!D127</f>
        <v>66.020000000000095</v>
      </c>
      <c r="C129" s="191">
        <v>179.75</v>
      </c>
      <c r="D129" s="179">
        <f t="shared" si="8"/>
        <v>11867.095000000018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174</v>
      </c>
      <c r="B130" s="181">
        <f>'Données projet'!D128</f>
        <v>240</v>
      </c>
      <c r="C130" s="191">
        <v>234.375</v>
      </c>
      <c r="D130" s="179">
        <f t="shared" si="8"/>
        <v>56250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177</v>
      </c>
      <c r="B131" s="181">
        <f>'Données projet'!D129</f>
        <v>128.66000000000003</v>
      </c>
      <c r="C131" s="191">
        <v>234.375</v>
      </c>
      <c r="D131" s="179">
        <f t="shared" si="8"/>
        <v>30154.687500000007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180</v>
      </c>
      <c r="B132" s="181">
        <f>'Données projet'!D130</f>
        <v>86.97</v>
      </c>
      <c r="C132" s="191">
        <v>234.375</v>
      </c>
      <c r="D132" s="179">
        <f t="shared" si="8"/>
        <v>20383.59375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183</v>
      </c>
      <c r="B133" s="181">
        <f>'Données projet'!D131</f>
        <v>191.47</v>
      </c>
      <c r="C133" s="191">
        <v>234.375</v>
      </c>
      <c r="D133" s="179">
        <f t="shared" si="8"/>
        <v>44875.78125</v>
      </c>
      <c r="E133" s="193">
        <v>60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169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42</v>
      </c>
      <c r="B147" s="175">
        <f>'Données projet'!D140</f>
        <v>44.510000000000005</v>
      </c>
      <c r="C147" s="191">
        <v>15</v>
      </c>
      <c r="D147" s="182">
        <f>B147*C147</f>
        <v>667.65000000000009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50</v>
      </c>
      <c r="B148" s="175">
        <f>'Données projet'!D141</f>
        <v>37.54000000000002</v>
      </c>
      <c r="C148" s="191">
        <v>15</v>
      </c>
      <c r="D148" s="182">
        <f t="shared" ref="D148:D166" si="10">B148*C148</f>
        <v>563.10000000000036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58</v>
      </c>
      <c r="B149" s="175">
        <f>'Données projet'!D142</f>
        <v>47.789999999999992</v>
      </c>
      <c r="C149" s="191">
        <v>15</v>
      </c>
      <c r="D149" s="182">
        <f t="shared" si="10"/>
        <v>716.84999999999991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66</v>
      </c>
      <c r="B150" s="175">
        <f>'Données projet'!D143</f>
        <v>53.679999999999978</v>
      </c>
      <c r="C150" s="191">
        <v>59.875</v>
      </c>
      <c r="D150" s="182">
        <f t="shared" si="10"/>
        <v>3214.0899999999988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74</v>
      </c>
      <c r="B151" s="175">
        <f>'Données projet'!D144</f>
        <v>51.339999999999975</v>
      </c>
      <c r="C151" s="191">
        <v>59.875</v>
      </c>
      <c r="D151" s="182">
        <f t="shared" si="10"/>
        <v>3073.9824999999987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84</v>
      </c>
      <c r="B152" s="175">
        <f>'Données projet'!D145</f>
        <v>66.69</v>
      </c>
      <c r="C152" s="191">
        <v>59.875</v>
      </c>
      <c r="D152" s="182">
        <f t="shared" si="10"/>
        <v>3993.0637499999998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94</v>
      </c>
      <c r="B153" s="175">
        <f>'Données projet'!D146</f>
        <v>67.350000000000023</v>
      </c>
      <c r="C153" s="191">
        <v>59.875</v>
      </c>
      <c r="D153" s="182">
        <f t="shared" si="10"/>
        <v>4032.5812500000015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104</v>
      </c>
      <c r="B154" s="175">
        <f>'Données projet'!D147</f>
        <v>66.089999999999975</v>
      </c>
      <c r="C154" s="191">
        <v>59.875</v>
      </c>
      <c r="D154" s="182">
        <f t="shared" si="10"/>
        <v>3957.1387499999987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114</v>
      </c>
      <c r="B155" s="175">
        <f>'Données projet'!D148</f>
        <v>61.860000000000014</v>
      </c>
      <c r="C155" s="191">
        <v>59.875</v>
      </c>
      <c r="D155" s="182">
        <f t="shared" si="10"/>
        <v>3703.8675000000007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124</v>
      </c>
      <c r="B156" s="175">
        <f>'Données projet'!D149</f>
        <v>57.81</v>
      </c>
      <c r="C156" s="191">
        <v>59.875</v>
      </c>
      <c r="D156" s="182">
        <f t="shared" si="10"/>
        <v>3461.3737500000002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134</v>
      </c>
      <c r="B157" s="175">
        <f>'Données projet'!D150</f>
        <v>60.779999999999973</v>
      </c>
      <c r="C157" s="191">
        <v>179.75</v>
      </c>
      <c r="D157" s="182">
        <f t="shared" si="10"/>
        <v>10925.204999999994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144</v>
      </c>
      <c r="B158" s="175">
        <f>'Données projet'!D151</f>
        <v>61.800000000000068</v>
      </c>
      <c r="C158" s="191">
        <v>179.75</v>
      </c>
      <c r="D158" s="182">
        <f t="shared" si="10"/>
        <v>11108.550000000012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154</v>
      </c>
      <c r="B159" s="175">
        <f>'Données projet'!D152</f>
        <v>61.050000000000011</v>
      </c>
      <c r="C159" s="191">
        <v>179.75</v>
      </c>
      <c r="D159" s="182">
        <f t="shared" si="10"/>
        <v>10973.737500000003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164</v>
      </c>
      <c r="B160" s="175">
        <f>'Données projet'!D153</f>
        <v>66.020000000000095</v>
      </c>
      <c r="C160" s="191">
        <v>179.75</v>
      </c>
      <c r="D160" s="182">
        <f t="shared" si="10"/>
        <v>11867.095000000018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174</v>
      </c>
      <c r="B161" s="175">
        <f>'Données projet'!D154</f>
        <v>240</v>
      </c>
      <c r="C161" s="191">
        <v>234.375</v>
      </c>
      <c r="D161" s="182">
        <f t="shared" si="10"/>
        <v>56250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177</v>
      </c>
      <c r="B162" s="175">
        <f>'Données projet'!D155</f>
        <v>128.66000000000003</v>
      </c>
      <c r="C162" s="191">
        <v>234.375</v>
      </c>
      <c r="D162" s="182">
        <f t="shared" si="10"/>
        <v>30154.687500000007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180</v>
      </c>
      <c r="B163" s="175">
        <f>'Données projet'!D156</f>
        <v>86.97</v>
      </c>
      <c r="C163" s="191">
        <v>234.375</v>
      </c>
      <c r="D163" s="182">
        <f t="shared" si="10"/>
        <v>20383.59375</v>
      </c>
      <c r="E163" s="193">
        <v>60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183</v>
      </c>
      <c r="B164" s="175">
        <f>'Données projet'!D157</f>
        <v>191.47</v>
      </c>
      <c r="C164" s="191">
        <v>234.375</v>
      </c>
      <c r="D164" s="182">
        <f t="shared" si="10"/>
        <v>44875.78125</v>
      </c>
      <c r="E164" s="193">
        <v>60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171</v>
      </c>
      <c r="B200" s="174" t="str">
        <f>IF('Données projet'!$B$15="","",'Données projet'!$B$15)</f>
        <v>Merisier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15</v>
      </c>
      <c r="B209" s="181">
        <f>'Données projet'!D192</f>
        <v>1.9230769230769229</v>
      </c>
      <c r="C209" s="193">
        <v>13.5625</v>
      </c>
      <c r="D209" s="179">
        <f>B209*C209</f>
        <v>26.081730769230766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20</v>
      </c>
      <c r="B210" s="181">
        <f>'Données projet'!D193</f>
        <v>16.025641025641026</v>
      </c>
      <c r="C210" s="193">
        <v>13.5625</v>
      </c>
      <c r="D210" s="179">
        <f t="shared" ref="D210:D228" si="12">B210*C210</f>
        <v>217.34775641025641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25</v>
      </c>
      <c r="B211" s="181">
        <f>'Données projet'!D194</f>
        <v>17.307692307692307</v>
      </c>
      <c r="C211" s="193">
        <v>13.5625</v>
      </c>
      <c r="D211" s="179">
        <f t="shared" si="12"/>
        <v>234.73557692307691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31</v>
      </c>
      <c r="B212" s="181">
        <f>'Données projet'!D195</f>
        <v>23.076923076923077</v>
      </c>
      <c r="C212" s="193">
        <v>24.375</v>
      </c>
      <c r="D212" s="179">
        <f t="shared" si="12"/>
        <v>562.5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37</v>
      </c>
      <c r="B213" s="181">
        <f>'Données projet'!D196</f>
        <v>23.076923076923077</v>
      </c>
      <c r="C213" s="193">
        <v>24.375</v>
      </c>
      <c r="D213" s="179">
        <f t="shared" si="12"/>
        <v>562.5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44</v>
      </c>
      <c r="B214" s="181">
        <f>'Données projet'!D197</f>
        <v>27.564102564102562</v>
      </c>
      <c r="C214" s="193">
        <v>24.375</v>
      </c>
      <c r="D214" s="179">
        <f t="shared" si="12"/>
        <v>671.875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52</v>
      </c>
      <c r="B215" s="181">
        <f>'Données projet'!D198</f>
        <v>30.769230769230766</v>
      </c>
      <c r="C215" s="193">
        <v>24.375</v>
      </c>
      <c r="D215" s="179">
        <f t="shared" si="12"/>
        <v>749.99999999999989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60</v>
      </c>
      <c r="B216" s="181">
        <f>'Données projet'!D199</f>
        <v>30.128205128205128</v>
      </c>
      <c r="C216" s="193">
        <v>31.875</v>
      </c>
      <c r="D216" s="179">
        <f t="shared" si="12"/>
        <v>960.33653846153845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69</v>
      </c>
      <c r="B217" s="181">
        <f>'Données projet'!D200</f>
        <v>210.25641025641025</v>
      </c>
      <c r="C217" s="193">
        <v>39.375</v>
      </c>
      <c r="D217" s="179">
        <f t="shared" si="12"/>
        <v>8278.8461538461543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43518E-3ACF-4B5A-8DEC-2C3CF5868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2024-11-06T16:56:53Z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