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FDI_FICHIERS\Zensolutions$\doc\24\255\Z009IQ0G\"/>
    </mc:Choice>
  </mc:AlternateContent>
  <xr:revisionPtr revIDLastSave="0" documentId="13_ncr:1_{E04F7F74-B0B7-485A-83B8-4646476DA567}" xr6:coauthVersionLast="47" xr6:coauthVersionMax="47" xr10:uidLastSave="{00000000-0000-0000-0000-000000000000}"/>
  <bookViews>
    <workbookView xWindow="3120" yWindow="3120" windowWidth="16545" windowHeight="958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6" l="1"/>
  <c r="C61" i="6"/>
  <c r="C60" i="6"/>
  <c r="C59" i="6"/>
  <c r="C58" i="6"/>
  <c r="C57" i="6"/>
  <c r="B70" i="1"/>
  <c r="D70" i="1" s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<sst xmlns="http://schemas.openxmlformats.org/spreadsheetml/2006/main" count="1175" uniqueCount="325">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</sst>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207.00989627790736</c:v>
                </c:pt>
                <c:pt idx="32">
                  <c:v>223.8751778256125</c:v>
                </c:pt>
                <c:pt idx="33">
                  <c:v>240.7113376527594</c:v>
                </c:pt>
                <c:pt idx="34">
                  <c:v>257.52069941569931</c:v>
                </c:pt>
                <c:pt idx="35">
                  <c:v>274.30525850370799</c:v>
                </c:pt>
                <c:pt idx="36">
                  <c:v>291.06674609232499</c:v>
                </c:pt>
                <c:pt idx="37">
                  <c:v>307.80667765201696</c:v>
                </c:pt>
                <c:pt idx="38">
                  <c:v>324.52639034213695</c:v>
                </c:pt>
                <c:pt idx="39">
                  <c:v>341.22707228994574</c:v>
                </c:pt>
                <c:pt idx="40">
                  <c:v>357.90978583474566</c:v>
                </c:pt>
                <c:pt idx="41">
                  <c:v>306.40412403506804</c:v>
                </c:pt>
                <c:pt idx="42">
                  <c:v>324.92662466043458</c:v>
                </c:pt>
                <c:pt idx="43">
                  <c:v>343.42580104652279</c:v>
                </c:pt>
                <c:pt idx="44">
                  <c:v>361.90308592785345</c:v>
                </c:pt>
                <c:pt idx="45">
                  <c:v>380.35975383194119</c:v>
                </c:pt>
                <c:pt idx="46">
                  <c:v>398.79694553728058</c:v>
                </c:pt>
                <c:pt idx="47">
                  <c:v>417.21568777134934</c:v>
                </c:pt>
                <c:pt idx="48">
                  <c:v>435.61690924842759</c:v>
                </c:pt>
                <c:pt idx="49">
                  <c:v>454.00145385629548</c:v>
                </c:pt>
                <c:pt idx="50">
                  <c:v>472.37009159588223</c:v>
                </c:pt>
                <c:pt idx="51">
                  <c:v>418.70831956765022</c:v>
                </c:pt>
                <c:pt idx="52">
                  <c:v>439.59333149267491</c:v>
                </c:pt>
                <c:pt idx="53">
                  <c:v>460.45707467656536</c:v>
                </c:pt>
                <c:pt idx="54">
                  <c:v>481.30064769410041</c:v>
                </c:pt>
                <c:pt idx="55">
                  <c:v>502.12504627431389</c:v>
                </c:pt>
                <c:pt idx="56">
                  <c:v>522.93117688121481</c:v>
                </c:pt>
                <c:pt idx="57">
                  <c:v>543.71986802143499</c:v>
                </c:pt>
                <c:pt idx="58">
                  <c:v>564.49187973331675</c:v>
                </c:pt>
                <c:pt idx="59">
                  <c:v>585.24791160737163</c:v>
                </c:pt>
                <c:pt idx="60">
                  <c:v>605.98860961044386</c:v>
                </c:pt>
                <c:pt idx="61">
                  <c:v>550.15104881441493</c:v>
                </c:pt>
                <c:pt idx="62">
                  <c:v>573.38923985506756</c:v>
                </c:pt>
                <c:pt idx="63">
                  <c:v>596.60777297413836</c:v>
                </c:pt>
                <c:pt idx="64">
                  <c:v>619.80752000507755</c:v>
                </c:pt>
                <c:pt idx="65">
                  <c:v>642.98928226528903</c:v>
                </c:pt>
                <c:pt idx="66">
                  <c:v>666.15379864712565</c:v>
                </c:pt>
                <c:pt idx="67">
                  <c:v>689.30175252594438</c:v>
                </c:pt>
                <c:pt idx="68">
                  <c:v>712.4337776928495</c:v>
                </c:pt>
                <c:pt idx="69">
                  <c:v>735.55046347762743</c:v>
                </c:pt>
                <c:pt idx="70">
                  <c:v>758.65235919487748</c:v>
                </c:pt>
                <c:pt idx="71">
                  <c:v>698.35955810864073</c:v>
                </c:pt>
                <c:pt idx="72">
                  <c:v>723.6497103914503</c:v>
                </c:pt>
                <c:pt idx="73">
                  <c:v>748.92184043880604</c:v>
                </c:pt>
                <c:pt idx="74">
                  <c:v>774.17664111880504</c:v>
                </c:pt>
                <c:pt idx="75">
                  <c:v>799.41475647457162</c:v>
                </c:pt>
                <c:pt idx="76">
                  <c:v>824.63678662808024</c:v>
                </c:pt>
                <c:pt idx="77">
                  <c:v>849.84329205363019</c:v>
                </c:pt>
                <c:pt idx="78">
                  <c:v>875.03479731863956</c:v>
                </c:pt>
                <c:pt idx="79">
                  <c:v>900.2117943718805</c:v>
                </c:pt>
                <c:pt idx="80">
                  <c:v>925.37474544526287</c:v>
                </c:pt>
                <c:pt idx="81">
                  <c:v>860.52942958247638</c:v>
                </c:pt>
                <c:pt idx="82">
                  <c:v>886.79237040848795</c:v>
                </c:pt>
                <c:pt idx="83">
                  <c:v>913.03977281350069</c:v>
                </c:pt>
                <c:pt idx="84">
                  <c:v>939.27214561336189</c:v>
                </c:pt>
                <c:pt idx="85">
                  <c:v>965.48996693423669</c:v>
                </c:pt>
                <c:pt idx="86">
                  <c:v>991.69368686310611</c:v>
                </c:pt>
                <c:pt idx="87">
                  <c:v>1017.8837298040295</c:v>
                </c:pt>
                <c:pt idx="88">
                  <c:v>1044.0604965796954</c:v>
                </c:pt>
                <c:pt idx="89">
                  <c:v>1070.2243663116212</c:v>
                </c:pt>
                <c:pt idx="90">
                  <c:v>1096.3756981072568</c:v>
                </c:pt>
                <c:pt idx="91">
                  <c:v>1028.336472086042</c:v>
                </c:pt>
                <c:pt idx="92">
                  <c:v>1055.9724920458773</c:v>
                </c:pt>
                <c:pt idx="93">
                  <c:v>1083.5943156018911</c:v>
                </c:pt>
                <c:pt idx="94">
                  <c:v>1111.2023548861428</c:v>
                </c:pt>
                <c:pt idx="95">
                  <c:v>1138.7969999217905</c:v>
                </c:pt>
                <c:pt idx="96">
                  <c:v>1166.3786203265188</c:v>
                </c:pt>
                <c:pt idx="97">
                  <c:v>1193.9475668467778</c:v>
                </c:pt>
                <c:pt idx="98">
                  <c:v>1221.5041727432251</c:v>
                </c:pt>
                <c:pt idx="99">
                  <c:v>1249.0487550448991</c:v>
                </c:pt>
                <c:pt idx="100">
                  <c:v>1276.581615687234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3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61" zoomScale="80" zoomScaleNormal="80" workbookViewId="0">
      <selection activeCell="C75" sqref="C7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0.78</v>
      </c>
      <c r="D9" s="33">
        <f t="shared" ref="D9:D18" si="0">C9*$C$5</f>
        <v>7.0200000000000005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164</v>
      </c>
      <c r="C10" s="32">
        <v>0.11</v>
      </c>
      <c r="D10" s="33">
        <f t="shared" si="0"/>
        <v>0.99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35</v>
      </c>
      <c r="C11" s="32">
        <v>0.11</v>
      </c>
      <c r="D11" s="33">
        <f t="shared" si="0"/>
        <v>0.99</v>
      </c>
      <c r="E11" s="34">
        <v>82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19</v>
      </c>
      <c r="B36" s="60">
        <v>162</v>
      </c>
      <c r="C36" s="60">
        <v>0</v>
      </c>
      <c r="D36" s="60">
        <v>0</v>
      </c>
      <c r="E36" s="51">
        <v>0</v>
      </c>
      <c r="F36" s="51">
        <v>0.6</v>
      </c>
      <c r="G36" s="51">
        <v>0.4</v>
      </c>
      <c r="H36" s="51">
        <v>0</v>
      </c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335</v>
      </c>
      <c r="C37" s="60">
        <v>1</v>
      </c>
      <c r="D37" s="60">
        <v>54</v>
      </c>
      <c r="E37" s="51">
        <v>0</v>
      </c>
      <c r="F37" s="51">
        <v>0.6</v>
      </c>
      <c r="G37" s="51">
        <v>0.4</v>
      </c>
      <c r="H37" s="51">
        <v>0</v>
      </c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421</v>
      </c>
      <c r="C38" s="60">
        <v>2</v>
      </c>
      <c r="D38" s="60">
        <v>54</v>
      </c>
      <c r="E38" s="51">
        <v>0</v>
      </c>
      <c r="F38" s="51">
        <v>0.6</v>
      </c>
      <c r="G38" s="51">
        <v>0.4</v>
      </c>
      <c r="H38" s="51">
        <v>0</v>
      </c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505</v>
      </c>
      <c r="C39" s="60">
        <v>3</v>
      </c>
      <c r="D39" s="60">
        <v>69</v>
      </c>
      <c r="E39" s="51">
        <v>0.2</v>
      </c>
      <c r="F39" s="51">
        <v>0.4</v>
      </c>
      <c r="G39" s="51">
        <v>0.4</v>
      </c>
      <c r="H39" s="51">
        <v>0</v>
      </c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564</v>
      </c>
      <c r="C40" s="60">
        <v>4</v>
      </c>
      <c r="D40" s="60">
        <v>72</v>
      </c>
      <c r="E40" s="51">
        <v>0.4</v>
      </c>
      <c r="F40" s="51">
        <v>0.3</v>
      </c>
      <c r="G40" s="51">
        <v>0.3</v>
      </c>
      <c r="H40" s="51">
        <v>0</v>
      </c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606</v>
      </c>
      <c r="C41" s="60">
        <v>5</v>
      </c>
      <c r="D41" s="60">
        <v>66</v>
      </c>
      <c r="E41" s="51">
        <v>0.5</v>
      </c>
      <c r="F41" s="51">
        <v>0.3</v>
      </c>
      <c r="G41" s="51">
        <v>0.2</v>
      </c>
      <c r="H41" s="51">
        <v>0</v>
      </c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629</v>
      </c>
      <c r="C42" s="60">
        <v>6</v>
      </c>
      <c r="D42" s="60">
        <v>48</v>
      </c>
      <c r="E42" s="51">
        <v>0.5</v>
      </c>
      <c r="F42" s="51">
        <v>0.3</v>
      </c>
      <c r="G42" s="51">
        <v>0.2</v>
      </c>
      <c r="H42" s="51">
        <v>0</v>
      </c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55</v>
      </c>
      <c r="B43" s="60">
        <v>650</v>
      </c>
      <c r="C43" s="60">
        <v>7</v>
      </c>
      <c r="D43" s="60">
        <v>35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60</v>
      </c>
      <c r="B44" s="60">
        <v>666</v>
      </c>
      <c r="C44" s="60" t="s">
        <v>324</v>
      </c>
      <c r="D44" s="60">
        <v>666</v>
      </c>
      <c r="E44" s="51">
        <v>0.8</v>
      </c>
      <c r="F44" s="51">
        <v>0.1</v>
      </c>
      <c r="G44" s="51">
        <v>0.1</v>
      </c>
      <c r="H44" s="51">
        <v>0</v>
      </c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158</v>
      </c>
      <c r="C62" s="60">
        <v>0</v>
      </c>
      <c r="D62" s="60">
        <v>0</v>
      </c>
      <c r="E62" s="51">
        <v>0</v>
      </c>
      <c r="F62" s="51">
        <v>1</v>
      </c>
      <c r="G62" s="51">
        <v>0</v>
      </c>
      <c r="H62" s="51">
        <v>0</v>
      </c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250-J63</f>
        <v>250</v>
      </c>
      <c r="C63" s="60">
        <v>1</v>
      </c>
      <c r="D63" s="60">
        <f>6.7*10</f>
        <v>67</v>
      </c>
      <c r="E63" s="51">
        <v>0</v>
      </c>
      <c r="F63" s="51">
        <v>1</v>
      </c>
      <c r="G63" s="51">
        <v>0</v>
      </c>
      <c r="H63" s="51">
        <v>0</v>
      </c>
      <c r="I63" s="49">
        <f>IF(A63&lt;&gt;0,(B63-(B62-D62))/(A63-A62),"")</f>
        <v>9.1999999999999993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350-J64</f>
        <v>350</v>
      </c>
      <c r="C64" s="60">
        <v>2</v>
      </c>
      <c r="D64" s="60">
        <f>7*10</f>
        <v>70</v>
      </c>
      <c r="E64" s="51">
        <v>0</v>
      </c>
      <c r="F64" s="51">
        <v>1</v>
      </c>
      <c r="G64" s="51">
        <v>0</v>
      </c>
      <c r="H64" s="51">
        <v>0</v>
      </c>
      <c r="I64" s="49">
        <f>IF(A64&lt;&gt;0,(B64-(B63-D63))/(A64-A63),"")</f>
        <v>16.7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465-J65</f>
        <v>465</v>
      </c>
      <c r="C65" s="60">
        <v>3</v>
      </c>
      <c r="D65" s="60">
        <f>7.5*10</f>
        <v>75</v>
      </c>
      <c r="E65" s="51">
        <v>0.3</v>
      </c>
      <c r="F65" s="51">
        <v>0.7</v>
      </c>
      <c r="G65" s="51">
        <v>0</v>
      </c>
      <c r="H65" s="51">
        <v>0</v>
      </c>
      <c r="I65" s="49">
        <f>IF(A65&lt;&gt;0,(B65-(B64-D64))/(A65-A64),"")</f>
        <v>18.5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600-J66</f>
        <v>600</v>
      </c>
      <c r="C66" s="60">
        <v>4</v>
      </c>
      <c r="D66" s="60">
        <f>8*10</f>
        <v>80</v>
      </c>
      <c r="E66" s="51">
        <v>0.3</v>
      </c>
      <c r="F66" s="51">
        <v>0.7</v>
      </c>
      <c r="G66" s="51">
        <v>0</v>
      </c>
      <c r="H66" s="51">
        <v>0</v>
      </c>
      <c r="I66" s="49">
        <f t="shared" ref="I66:I81" si="2">IF(A66&lt;&gt;0,(B66-(B65-D65))/(A66-A65),"")</f>
        <v>21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755-J67</f>
        <v>755</v>
      </c>
      <c r="C67" s="60">
        <v>5</v>
      </c>
      <c r="D67" s="60">
        <f>8.7*10</f>
        <v>87</v>
      </c>
      <c r="E67" s="51">
        <v>0.3</v>
      </c>
      <c r="F67" s="51">
        <v>0.7</v>
      </c>
      <c r="G67" s="51">
        <v>0</v>
      </c>
      <c r="H67" s="51">
        <v>0</v>
      </c>
      <c r="I67" s="49">
        <f t="shared" si="2"/>
        <v>23.5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925-J68</f>
        <v>925</v>
      </c>
      <c r="C68" s="60">
        <v>6</v>
      </c>
      <c r="D68" s="60">
        <f>9.3*10</f>
        <v>93</v>
      </c>
      <c r="E68" s="51">
        <v>0.5</v>
      </c>
      <c r="F68" s="51">
        <v>0.5</v>
      </c>
      <c r="G68" s="51">
        <v>0</v>
      </c>
      <c r="H68" s="51">
        <v>0</v>
      </c>
      <c r="I68" s="49">
        <f t="shared" si="2"/>
        <v>25.7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1100-J69</f>
        <v>1100</v>
      </c>
      <c r="C69" s="50">
        <v>7</v>
      </c>
      <c r="D69" s="50">
        <f>9.8*10</f>
        <v>98</v>
      </c>
      <c r="E69" s="51">
        <v>0.6</v>
      </c>
      <c r="F69" s="51">
        <v>0.3</v>
      </c>
      <c r="G69" s="51">
        <v>0.1</v>
      </c>
      <c r="H69" s="51">
        <v>0</v>
      </c>
      <c r="I69" s="49">
        <f t="shared" si="2"/>
        <v>26.8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1285-J70</f>
        <v>1285</v>
      </c>
      <c r="C70" s="50" t="s">
        <v>324</v>
      </c>
      <c r="D70" s="50">
        <f>B70</f>
        <v>1285</v>
      </c>
      <c r="E70" s="51">
        <v>0.8</v>
      </c>
      <c r="F70" s="51">
        <v>0.1</v>
      </c>
      <c r="G70" s="51">
        <v>0.1</v>
      </c>
      <c r="H70" s="51">
        <v>0</v>
      </c>
      <c r="I70" s="49">
        <f t="shared" si="2"/>
        <v>28.3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22</v>
      </c>
      <c r="B88" s="60">
        <v>123</v>
      </c>
      <c r="C88" s="60">
        <v>1</v>
      </c>
      <c r="D88" s="60">
        <v>16</v>
      </c>
      <c r="E88" s="51">
        <v>0</v>
      </c>
      <c r="F88" s="51">
        <v>0.6</v>
      </c>
      <c r="G88" s="51">
        <v>0.4</v>
      </c>
      <c r="H88" s="87">
        <v>0</v>
      </c>
      <c r="I88" s="53">
        <f>IFERROR(B88/A88,"")</f>
        <v>5.5909090909090908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144</v>
      </c>
      <c r="C89" s="60">
        <v>2</v>
      </c>
      <c r="D89" s="60">
        <v>17</v>
      </c>
      <c r="E89" s="51">
        <v>0</v>
      </c>
      <c r="F89" s="51">
        <v>0.6</v>
      </c>
      <c r="G89" s="51">
        <v>0.4</v>
      </c>
      <c r="H89" s="87">
        <v>0</v>
      </c>
      <c r="I89" s="53">
        <f t="shared" ref="I89:I107" si="3">IF(A89&lt;&gt;0,(B89-(B88-D88))/(A89-A88),"")</f>
        <v>12.333333333333334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194</v>
      </c>
      <c r="C90" s="60">
        <v>3</v>
      </c>
      <c r="D90" s="60">
        <v>34</v>
      </c>
      <c r="E90" s="87">
        <v>0</v>
      </c>
      <c r="F90" s="87">
        <v>0.6</v>
      </c>
      <c r="G90" s="87">
        <v>0.4</v>
      </c>
      <c r="H90" s="87">
        <v>0</v>
      </c>
      <c r="I90" s="53">
        <f t="shared" si="3"/>
        <v>13.4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35</v>
      </c>
      <c r="B91" s="60">
        <v>233</v>
      </c>
      <c r="C91" s="60">
        <v>4</v>
      </c>
      <c r="D91" s="60">
        <v>41</v>
      </c>
      <c r="E91" s="87">
        <v>0</v>
      </c>
      <c r="F91" s="87">
        <v>0.6</v>
      </c>
      <c r="G91" s="87">
        <v>0.4</v>
      </c>
      <c r="H91" s="87">
        <v>0</v>
      </c>
      <c r="I91" s="53">
        <f t="shared" si="3"/>
        <v>14.6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264</v>
      </c>
      <c r="C92" s="60">
        <v>5</v>
      </c>
      <c r="D92" s="60">
        <v>41</v>
      </c>
      <c r="E92" s="87">
        <v>0</v>
      </c>
      <c r="F92" s="87">
        <v>0.6</v>
      </c>
      <c r="G92" s="87">
        <v>0.4</v>
      </c>
      <c r="H92" s="87">
        <v>0</v>
      </c>
      <c r="I92" s="53">
        <f t="shared" si="3"/>
        <v>14.4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45</v>
      </c>
      <c r="B93" s="60">
        <v>318</v>
      </c>
      <c r="C93" s="60">
        <v>6</v>
      </c>
      <c r="D93" s="60">
        <v>53</v>
      </c>
      <c r="E93" s="87">
        <v>0</v>
      </c>
      <c r="F93" s="87">
        <v>0.6</v>
      </c>
      <c r="G93" s="87">
        <v>0.4</v>
      </c>
      <c r="H93" s="87">
        <v>0</v>
      </c>
      <c r="I93" s="53">
        <f t="shared" si="3"/>
        <v>19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352</v>
      </c>
      <c r="C94" s="60">
        <v>7</v>
      </c>
      <c r="D94" s="60">
        <v>53</v>
      </c>
      <c r="E94" s="87">
        <v>0.2</v>
      </c>
      <c r="F94" s="87">
        <v>0.4</v>
      </c>
      <c r="G94" s="87">
        <v>0.4</v>
      </c>
      <c r="H94" s="87">
        <v>0</v>
      </c>
      <c r="I94" s="53">
        <f t="shared" si="3"/>
        <v>17.399999999999999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58</v>
      </c>
      <c r="B95" s="60">
        <v>440</v>
      </c>
      <c r="C95" s="60">
        <v>8</v>
      </c>
      <c r="D95" s="60">
        <v>78</v>
      </c>
      <c r="E95" s="87">
        <v>0.3</v>
      </c>
      <c r="F95" s="87">
        <v>0.4</v>
      </c>
      <c r="G95" s="87">
        <v>0.3</v>
      </c>
      <c r="H95" s="87">
        <v>0</v>
      </c>
      <c r="I95" s="53">
        <f t="shared" si="3"/>
        <v>17.625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66</v>
      </c>
      <c r="B96" s="60">
        <v>495</v>
      </c>
      <c r="C96" s="60">
        <v>9</v>
      </c>
      <c r="D96" s="60">
        <v>65</v>
      </c>
      <c r="E96" s="87">
        <v>0.3</v>
      </c>
      <c r="F96" s="87">
        <v>0.4</v>
      </c>
      <c r="G96" s="87">
        <v>0.3</v>
      </c>
      <c r="H96" s="87">
        <v>0</v>
      </c>
      <c r="I96" s="53">
        <f t="shared" si="3"/>
        <v>16.625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74</v>
      </c>
      <c r="B97" s="60">
        <v>533</v>
      </c>
      <c r="C97" s="60">
        <v>10</v>
      </c>
      <c r="D97" s="60">
        <v>37</v>
      </c>
      <c r="E97" s="87">
        <v>0.5</v>
      </c>
      <c r="F97" s="87">
        <v>0.3</v>
      </c>
      <c r="G97" s="87">
        <v>0.2</v>
      </c>
      <c r="H97" s="87">
        <v>0</v>
      </c>
      <c r="I97" s="53">
        <f t="shared" si="3"/>
        <v>12.875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82</v>
      </c>
      <c r="B98" s="60">
        <v>567</v>
      </c>
      <c r="C98" s="60" t="s">
        <v>324</v>
      </c>
      <c r="D98" s="60">
        <v>567</v>
      </c>
      <c r="E98" s="87">
        <v>0.7</v>
      </c>
      <c r="F98" s="87">
        <v>0.2</v>
      </c>
      <c r="G98" s="87">
        <v>0.1</v>
      </c>
      <c r="H98" s="87">
        <v>0</v>
      </c>
      <c r="I98" s="53">
        <f t="shared" si="3"/>
        <v>8.875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355.23615781077405</v>
      </c>
      <c r="T3" s="59">
        <f>IF('Données projet'!E9&gt;30,$R$33-$H$33,LOOKUP('Données projet'!$E$9,$A$3:$A$203,R3:R203)-LOOKUP('Données projet'!$E$9,$A$3:$A$203,$H$3:$H$203))</f>
        <v>448.84541017639367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402.38496642820587</v>
      </c>
      <c r="AO3" s="59">
        <f>IF('Données projet'!E10&gt;30,$AM$33-$H$33,LOOKUP('Données projet'!$E$10,$A$3:$A$203,AM3:AM203)-LOOKUP('Données projet'!$E$10,$A$3:$A$203,$H$3:$H$203))</f>
        <v>196.65158751478987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257.96727373333601</v>
      </c>
      <c r="BJ3" s="59">
        <f>IF('Données projet'!E11&gt;30,$BH$33-$H$33,LOOKUP('Données projet'!$E$11,$A$3:$A$203,BH3:BH203)-LOOKUP('Données projet'!$E$11,$A$3:$A$203,$H$3:$H$203))</f>
        <v>194.52809733694494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295.21411363847875</v>
      </c>
      <c r="S4" s="59">
        <f ca="1">AVERAGE(OFFSET($R$3,0,0,'Données projet'!$E$9+1,1))-AVERAGE(OFFSET($H$3,0,0,'Données projet'!$E$9+1,1))</f>
        <v>355.23615781077405</v>
      </c>
      <c r="T4" s="59">
        <f>$T$3</f>
        <v>448.84541017639367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0.60280758376398436</v>
      </c>
      <c r="AK4" s="13">
        <f>EXP(-1.0587+0.8836*LN(AJ4)+0.284)</f>
        <v>0.29465781953181042</v>
      </c>
      <c r="AL4" s="20">
        <f t="shared" ref="AL4:AL67" si="4">(AJ4+AK4)*0.475*44/12</f>
        <v>1.5630855774068424</v>
      </c>
      <c r="AM4" s="59">
        <f t="shared" ref="AM4:AM67" si="5">AL4+(AD4+AE4)*44/12</f>
        <v>294.89641891074018</v>
      </c>
      <c r="AN4" s="59">
        <f ca="1">AVERAGE(OFFSET($AM$3,0,0,'Données projet'!$E$10+1,1))-AVERAGE(OFFSET($H$3,0,0,'Données projet'!$E$10+1,1))</f>
        <v>402.38496642820587</v>
      </c>
      <c r="AO4" s="59">
        <f>$AO$3</f>
        <v>196.65158751478987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5.5909090909090908</v>
      </c>
      <c r="BD4" s="12">
        <f>IF('Données projet'!$A$88&gt;35,BD3+BC4-BL3,IF(A4&lt;'Données projet'!$A$88,$BA$205^A4,IF(A4='Données projet'!$A$88,'Données projet'!$B$88,BD3+BC4-BL3)))</f>
        <v>1.244502252163008</v>
      </c>
      <c r="BE4" s="13">
        <f>BD4*VLOOKUP('Données projet'!$B$11,Paramètres!$A$1:$I$89,3,0)*VLOOKUP('Données projet'!$B$11,Paramètres!$A$1:$I$89,5,0)</f>
        <v>0.74421234679347892</v>
      </c>
      <c r="BF4" s="13">
        <f>EXP(-1.0587+0.8836*LN(BE4)+0.284)</f>
        <v>0.3549632728022305</v>
      </c>
      <c r="BG4" s="20">
        <f t="shared" ref="BG4:BG67" si="7">(BE4+BF4)*0.475*44/12</f>
        <v>1.9143975374625271</v>
      </c>
      <c r="BH4" s="59">
        <f t="shared" ref="BH4:BH67" si="8">BG4+(AY4+AZ4)*44/12</f>
        <v>295.24773087079586</v>
      </c>
      <c r="BI4" s="59">
        <f ca="1">AVERAGE(OFFSET($BH$3,0,0,'Données projet'!$E$11+1,1))-AVERAGE(OFFSET($H$3,0,0,'Données projet'!$E$11+1,1))</f>
        <v>257.96727373333601</v>
      </c>
      <c r="BJ4" s="59">
        <f>$BJ$3</f>
        <v>194.52809733694494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295.76719928637186</v>
      </c>
      <c r="S5" s="59">
        <f ca="1">AVERAGE(OFFSET($R$3,0,0,'Données projet'!$E$9+1,1))-AVERAGE(OFFSET($H$3,0,0,'Données projet'!$E$9+1,1))</f>
        <v>355.23615781077405</v>
      </c>
      <c r="T5" s="59">
        <f t="shared" ref="T5:T68" si="34">$T$3</f>
        <v>448.84541017639367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0.77644654496447219</v>
      </c>
      <c r="AK5" s="13">
        <f t="shared" ref="AK5:AK68" si="35">EXP(-1.0587+0.8836*LN(AJ5)+0.284)</f>
        <v>0.36851455096495994</v>
      </c>
      <c r="AL5" s="20">
        <f t="shared" si="4"/>
        <v>1.9941405754104276</v>
      </c>
      <c r="AM5" s="59">
        <f t="shared" si="5"/>
        <v>295.32747390874374</v>
      </c>
      <c r="AN5" s="59">
        <f ca="1">AVERAGE(OFFSET($AM$3,0,0,'Données projet'!$E$10+1,1))-AVERAGE(OFFSET($H$3,0,0,'Données projet'!$E$10+1,1))</f>
        <v>402.38496642820587</v>
      </c>
      <c r="AO5" s="59">
        <f t="shared" ref="AO5:AO68" si="36">$AO$3</f>
        <v>196.65158751478987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5.5909090909090908</v>
      </c>
      <c r="BD5" s="12">
        <f>IF('Données projet'!$A$88&gt;35,BD4+BC5-BL4,IF(A5&lt;'Données projet'!$A$88,$BA$205^A5,IF(A5='Données projet'!$A$88,'Données projet'!$B$88,BD4+BC5-BL4)))</f>
        <v>1.5487858556387992</v>
      </c>
      <c r="BE5" s="13">
        <f>BD5*VLOOKUP('Données projet'!$B$11,Paramètres!$A$1:$I$89,3,0)*VLOOKUP('Données projet'!$B$11,Paramètres!$A$1:$I$89,5,0)</f>
        <v>0.92617394167200195</v>
      </c>
      <c r="BF5" s="13">
        <f t="shared" ref="BF5:BF68" si="37">EXP(-1.0587+0.8836*LN(BE5)+0.284)</f>
        <v>0.43064718121421069</v>
      </c>
      <c r="BG5" s="20">
        <f t="shared" si="7"/>
        <v>2.3631301223601535</v>
      </c>
      <c r="BH5" s="59">
        <f t="shared" si="8"/>
        <v>295.69646345569345</v>
      </c>
      <c r="BI5" s="59">
        <f ca="1">AVERAGE(OFFSET($BH$3,0,0,'Données projet'!$E$11+1,1))-AVERAGE(OFFSET($H$3,0,0,'Données projet'!$E$11+1,1))</f>
        <v>257.96727373333601</v>
      </c>
      <c r="BJ5" s="59">
        <f t="shared" ref="BJ5:BJ68" si="38">$BJ$3</f>
        <v>194.52809733694494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296.48359426836487</v>
      </c>
      <c r="S6" s="59">
        <f ca="1">AVERAGE(OFFSET($R$3,0,0,'Données projet'!$E$9+1,1))-AVERAGE(OFFSET($H$3,0,0,'Données projet'!$E$9+1,1))</f>
        <v>355.23615781077405</v>
      </c>
      <c r="T6" s="59">
        <f t="shared" si="34"/>
        <v>448.84541017639367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1.0001022771195029</v>
      </c>
      <c r="AK6" s="13">
        <f t="shared" si="35"/>
        <v>0.46088365986243646</v>
      </c>
      <c r="AL6" s="20">
        <f t="shared" si="4"/>
        <v>2.5445505069102112</v>
      </c>
      <c r="AM6" s="59">
        <f t="shared" si="5"/>
        <v>295.8778838402435</v>
      </c>
      <c r="AN6" s="59">
        <f ca="1">AVERAGE(OFFSET($AM$3,0,0,'Données projet'!$E$10+1,1))-AVERAGE(OFFSET($H$3,0,0,'Données projet'!$E$10+1,1))</f>
        <v>402.38496642820587</v>
      </c>
      <c r="AO6" s="59">
        <f t="shared" si="36"/>
        <v>196.65158751478987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5.5909090909090908</v>
      </c>
      <c r="BD6" s="12">
        <f>IF('Données projet'!$A$88&gt;35,BD5+BC6-BL5,IF(A6&lt;'Données projet'!$A$88,$BA$205^A6,IF(A6='Données projet'!$A$88,'Données projet'!$B$88,BD5+BC6-BL5)))</f>
        <v>1.927467485460697</v>
      </c>
      <c r="BE6" s="13">
        <f>BD6*VLOOKUP('Données projet'!$B$11,Paramètres!$A$1:$I$89,3,0)*VLOOKUP('Données projet'!$B$11,Paramètres!$A$1:$I$89,5,0)</f>
        <v>1.152625556305497</v>
      </c>
      <c r="BF6" s="13">
        <f t="shared" si="37"/>
        <v>0.52246812247269758</v>
      </c>
      <c r="BG6" s="20">
        <f t="shared" si="7"/>
        <v>2.9174548238720219</v>
      </c>
      <c r="BH6" s="59">
        <f t="shared" si="8"/>
        <v>296.25078815720536</v>
      </c>
      <c r="BI6" s="59">
        <f ca="1">AVERAGE(OFFSET($BH$3,0,0,'Données projet'!$E$11+1,1))-AVERAGE(OFFSET($H$3,0,0,'Données projet'!$E$11+1,1))</f>
        <v>257.96727373333601</v>
      </c>
      <c r="BJ6" s="59">
        <f t="shared" si="38"/>
        <v>194.52809733694494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297.41170338354436</v>
      </c>
      <c r="S7" s="59">
        <f ca="1">AVERAGE(OFFSET($R$3,0,0,'Données projet'!$E$9+1,1))-AVERAGE(OFFSET($H$3,0,0,'Données projet'!$E$9+1,1))</f>
        <v>355.23615781077405</v>
      </c>
      <c r="T7" s="59">
        <f t="shared" si="34"/>
        <v>448.84541017639367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1.2881821307420218</v>
      </c>
      <c r="AK7" s="13">
        <f t="shared" si="35"/>
        <v>0.57640532069082717</v>
      </c>
      <c r="AL7" s="20">
        <f t="shared" si="4"/>
        <v>3.2474898112455457</v>
      </c>
      <c r="AM7" s="59">
        <f t="shared" si="5"/>
        <v>296.58082314457886</v>
      </c>
      <c r="AN7" s="59">
        <f ca="1">AVERAGE(OFFSET($AM$3,0,0,'Données projet'!$E$10+1,1))-AVERAGE(OFFSET($H$3,0,0,'Données projet'!$E$10+1,1))</f>
        <v>402.38496642820587</v>
      </c>
      <c r="AO7" s="59">
        <f t="shared" si="36"/>
        <v>196.65158751478987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5.5909090909090908</v>
      </c>
      <c r="BD7" s="12">
        <f>IF('Données projet'!$A$88&gt;35,BD6+BC7-BL6,IF(A7&lt;'Données projet'!$A$88,$BA$205^A7,IF(A7='Données projet'!$A$88,'Données projet'!$B$88,BD6+BC7-BL6)))</f>
        <v>2.3987376266268075</v>
      </c>
      <c r="BE7" s="13">
        <f>BD7*VLOOKUP('Données projet'!$B$11,Paramètres!$A$1:$I$89,3,0)*VLOOKUP('Données projet'!$B$11,Paramètres!$A$1:$I$89,5,0)</f>
        <v>1.4344451007228309</v>
      </c>
      <c r="BF7" s="13">
        <f t="shared" si="37"/>
        <v>0.63386677286612625</v>
      </c>
      <c r="BG7" s="20">
        <f t="shared" si="7"/>
        <v>3.6023098465007668</v>
      </c>
      <c r="BH7" s="59">
        <f t="shared" si="8"/>
        <v>296.93564317983407</v>
      </c>
      <c r="BI7" s="59">
        <f ca="1">AVERAGE(OFFSET($BH$3,0,0,'Données projet'!$E$11+1,1))-AVERAGE(OFFSET($H$3,0,0,'Données projet'!$E$11+1,1))</f>
        <v>257.96727373333601</v>
      </c>
      <c r="BJ7" s="59">
        <f t="shared" si="38"/>
        <v>194.52809733694494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298.6143298092266</v>
      </c>
      <c r="S8" s="59">
        <f ca="1">AVERAGE(OFFSET($R$3,0,0,'Données projet'!$E$9+1,1))-AVERAGE(OFFSET($H$3,0,0,'Données projet'!$E$9+1,1))</f>
        <v>355.23615781077405</v>
      </c>
      <c r="T8" s="59">
        <f t="shared" si="34"/>
        <v>448.84541017639367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1.6592434993173915</v>
      </c>
      <c r="AK8" s="13">
        <f t="shared" si="35"/>
        <v>0.72088277944126433</v>
      </c>
      <c r="AL8" s="20">
        <f t="shared" si="4"/>
        <v>4.1453866021713255</v>
      </c>
      <c r="AM8" s="59">
        <f t="shared" si="5"/>
        <v>297.47871993550461</v>
      </c>
      <c r="AN8" s="59">
        <f ca="1">AVERAGE(OFFSET($AM$3,0,0,'Données projet'!$E$10+1,1))-AVERAGE(OFFSET($H$3,0,0,'Données projet'!$E$10+1,1))</f>
        <v>402.38496642820587</v>
      </c>
      <c r="AO8" s="59">
        <f t="shared" si="36"/>
        <v>196.65158751478987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5.5909090909090908</v>
      </c>
      <c r="BD8" s="12">
        <f>IF('Données projet'!$A$88&gt;35,BD7+BC8-BL7,IF(A8&lt;'Données projet'!$A$88,$BA$205^A8,IF(A8='Données projet'!$A$88,'Données projet'!$B$88,BD7+BC8-BL7)))</f>
        <v>2.9852343786852105</v>
      </c>
      <c r="BE8" s="13">
        <f>BD8*VLOOKUP('Données projet'!$B$11,Paramètres!$A$1:$I$89,3,0)*VLOOKUP('Données projet'!$B$11,Paramètres!$A$1:$I$89,5,0)</f>
        <v>1.785170158453756</v>
      </c>
      <c r="BF8" s="13">
        <f t="shared" si="37"/>
        <v>0.7690174164926461</v>
      </c>
      <c r="BG8" s="20">
        <f t="shared" si="7"/>
        <v>4.4485433596983173</v>
      </c>
      <c r="BH8" s="59">
        <f t="shared" si="8"/>
        <v>297.78187669303162</v>
      </c>
      <c r="BI8" s="59">
        <f ca="1">AVERAGE(OFFSET($BH$3,0,0,'Données projet'!$E$11+1,1))-AVERAGE(OFFSET($H$3,0,0,'Données projet'!$E$11+1,1))</f>
        <v>257.96727373333601</v>
      </c>
      <c r="BJ8" s="59">
        <f t="shared" si="38"/>
        <v>194.52809733694494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300.17297217271317</v>
      </c>
      <c r="S9" s="59">
        <f ca="1">AVERAGE(OFFSET($R$3,0,0,'Données projet'!$E$9+1,1))-AVERAGE(OFFSET($H$3,0,0,'Données projet'!$E$9+1,1))</f>
        <v>355.23615781077405</v>
      </c>
      <c r="T9" s="59">
        <f t="shared" si="34"/>
        <v>448.84541017639367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2.1371892408111433</v>
      </c>
      <c r="AK9" s="13">
        <f t="shared" si="35"/>
        <v>0.9015738804633705</v>
      </c>
      <c r="AL9" s="20">
        <f t="shared" si="4"/>
        <v>5.292512436219778</v>
      </c>
      <c r="AM9" s="59">
        <f t="shared" si="5"/>
        <v>298.62584576955311</v>
      </c>
      <c r="AN9" s="59">
        <f ca="1">AVERAGE(OFFSET($AM$3,0,0,'Données projet'!$E$10+1,1))-AVERAGE(OFFSET($H$3,0,0,'Données projet'!$E$10+1,1))</f>
        <v>402.38496642820587</v>
      </c>
      <c r="AO9" s="59">
        <f t="shared" si="36"/>
        <v>196.65158751478987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5.5909090909090908</v>
      </c>
      <c r="BD9" s="12">
        <f>IF('Données projet'!$A$88&gt;35,BD8+BC9-BL8,IF(A9&lt;'Données projet'!$A$88,$BA$205^A9,IF(A9='Données projet'!$A$88,'Données projet'!$B$88,BD8+BC9-BL8)))</f>
        <v>3.7151309075081826</v>
      </c>
      <c r="BE9" s="13">
        <f>BD9*VLOOKUP('Données projet'!$B$11,Paramètres!$A$1:$I$89,3,0)*VLOOKUP('Données projet'!$B$11,Paramètres!$A$1:$I$89,5,0)</f>
        <v>2.2216482826898933</v>
      </c>
      <c r="BF9" s="13">
        <f t="shared" si="37"/>
        <v>0.93298436230530435</v>
      </c>
      <c r="BG9" s="20">
        <f t="shared" si="7"/>
        <v>5.4943185233666361</v>
      </c>
      <c r="BH9" s="59">
        <f t="shared" si="8"/>
        <v>298.82765185669996</v>
      </c>
      <c r="BI9" s="59">
        <f ca="1">AVERAGE(OFFSET($BH$3,0,0,'Données projet'!$E$11+1,1))-AVERAGE(OFFSET($H$3,0,0,'Données projet'!$E$11+1,1))</f>
        <v>257.96727373333601</v>
      </c>
      <c r="BJ9" s="59">
        <f t="shared" si="38"/>
        <v>194.52809733694494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302.19340794970827</v>
      </c>
      <c r="S10" s="59">
        <f ca="1">AVERAGE(OFFSET($R$3,0,0,'Données projet'!$E$9+1,1))-AVERAGE(OFFSET($H$3,0,0,'Données projet'!$E$9+1,1))</f>
        <v>355.23615781077405</v>
      </c>
      <c r="T10" s="59">
        <f t="shared" si="34"/>
        <v>448.84541017639367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2.7528074408114294</v>
      </c>
      <c r="AK10" s="13">
        <f t="shared" si="35"/>
        <v>1.1275556652411438</v>
      </c>
      <c r="AL10" s="20">
        <f t="shared" si="4"/>
        <v>6.7582990763748976</v>
      </c>
      <c r="AM10" s="59">
        <f t="shared" si="5"/>
        <v>300.09163240970821</v>
      </c>
      <c r="AN10" s="59">
        <f ca="1">AVERAGE(OFFSET($AM$3,0,0,'Données projet'!$E$10+1,1))-AVERAGE(OFFSET($H$3,0,0,'Données projet'!$E$10+1,1))</f>
        <v>402.38496642820587</v>
      </c>
      <c r="AO10" s="59">
        <f t="shared" si="36"/>
        <v>196.65158751478987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5.5909090909090908</v>
      </c>
      <c r="BD10" s="12">
        <f>IF('Données projet'!$A$88&gt;35,BD9+BC10-BL9,IF(A10&lt;'Données projet'!$A$88,$BA$205^A10,IF(A10='Données projet'!$A$88,'Données projet'!$B$88,BD9+BC10-BL9)))</f>
        <v>4.6234887814743333</v>
      </c>
      <c r="BE10" s="13">
        <f>BD10*VLOOKUP('Données projet'!$B$11,Paramètres!$A$1:$I$89,3,0)*VLOOKUP('Données projet'!$B$11,Paramètres!$A$1:$I$89,5,0)</f>
        <v>2.7648462913216516</v>
      </c>
      <c r="BF10" s="13">
        <f t="shared" si="37"/>
        <v>1.1319117118000401</v>
      </c>
      <c r="BG10" s="20">
        <f t="shared" si="7"/>
        <v>6.7868535221036126</v>
      </c>
      <c r="BH10" s="59">
        <f t="shared" si="8"/>
        <v>300.12018685543694</v>
      </c>
      <c r="BI10" s="59">
        <f ca="1">AVERAGE(OFFSET($BH$3,0,0,'Données projet'!$E$11+1,1))-AVERAGE(OFFSET($H$3,0,0,'Données projet'!$E$11+1,1))</f>
        <v>257.96727373333601</v>
      </c>
      <c r="BJ10" s="59">
        <f t="shared" si="38"/>
        <v>194.52809733694494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304.81294932254156</v>
      </c>
      <c r="S11" s="59">
        <f ca="1">AVERAGE(OFFSET($R$3,0,0,'Données projet'!$E$9+1,1))-AVERAGE(OFFSET($H$3,0,0,'Données projet'!$E$9+1,1))</f>
        <v>355.23615781077405</v>
      </c>
      <c r="T11" s="59">
        <f t="shared" si="34"/>
        <v>448.84541017639367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3.5457547050492639</v>
      </c>
      <c r="AK11" s="13">
        <f t="shared" si="35"/>
        <v>1.4101803587787649</v>
      </c>
      <c r="AL11" s="20">
        <f t="shared" si="4"/>
        <v>8.631586902833817</v>
      </c>
      <c r="AM11" s="59">
        <f t="shared" si="5"/>
        <v>301.96492023616713</v>
      </c>
      <c r="AN11" s="59">
        <f ca="1">AVERAGE(OFFSET($AM$3,0,0,'Données projet'!$E$10+1,1))-AVERAGE(OFFSET($H$3,0,0,'Données projet'!$E$10+1,1))</f>
        <v>402.38496642820587</v>
      </c>
      <c r="AO11" s="59">
        <f t="shared" si="36"/>
        <v>196.65158751478987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5.5909090909090908</v>
      </c>
      <c r="BD11" s="12">
        <f>IF('Données projet'!$A$88&gt;35,BD10+BC11-BL10,IF(A11&lt;'Données projet'!$A$88,$BA$205^A11,IF(A11='Données projet'!$A$88,'Données projet'!$B$88,BD10+BC11-BL10)))</f>
        <v>5.7539422013952093</v>
      </c>
      <c r="BE11" s="13">
        <f>BD11*VLOOKUP('Données projet'!$B$11,Paramètres!$A$1:$I$89,3,0)*VLOOKUP('Données projet'!$B$11,Paramètres!$A$1:$I$89,5,0)</f>
        <v>3.4408574364343356</v>
      </c>
      <c r="BF11" s="13">
        <f t="shared" si="37"/>
        <v>1.3732535882427113</v>
      </c>
      <c r="BG11" s="20">
        <f t="shared" si="7"/>
        <v>8.3845767013125236</v>
      </c>
      <c r="BH11" s="59">
        <f t="shared" si="8"/>
        <v>301.71791003464585</v>
      </c>
      <c r="BI11" s="59">
        <f ca="1">AVERAGE(OFFSET($BH$3,0,0,'Données projet'!$E$11+1,1))-AVERAGE(OFFSET($H$3,0,0,'Données projet'!$E$11+1,1))</f>
        <v>257.96727373333601</v>
      </c>
      <c r="BJ11" s="59">
        <f t="shared" si="38"/>
        <v>194.52809733694494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308.2098738353186</v>
      </c>
      <c r="S12" s="59">
        <f ca="1">AVERAGE(OFFSET($R$3,0,0,'Données projet'!$E$9+1,1))-AVERAGE(OFFSET($H$3,0,0,'Données projet'!$E$9+1,1))</f>
        <v>355.23615781077405</v>
      </c>
      <c r="T12" s="59">
        <f t="shared" si="34"/>
        <v>448.84541017639367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4.5671107401079603</v>
      </c>
      <c r="AK12" s="13">
        <f t="shared" si="35"/>
        <v>1.763645650133036</v>
      </c>
      <c r="AL12" s="20">
        <f t="shared" si="4"/>
        <v>11.026067379669733</v>
      </c>
      <c r="AM12" s="59">
        <f t="shared" si="5"/>
        <v>304.35940071300303</v>
      </c>
      <c r="AN12" s="59">
        <f ca="1">AVERAGE(OFFSET($AM$3,0,0,'Données projet'!$E$10+1,1))-AVERAGE(OFFSET($H$3,0,0,'Données projet'!$E$10+1,1))</f>
        <v>402.38496642820587</v>
      </c>
      <c r="AO12" s="59">
        <f t="shared" si="36"/>
        <v>196.65158751478987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5.5909090909090908</v>
      </c>
      <c r="BD12" s="12">
        <f>IF('Données projet'!$A$88&gt;35,BD11+BC12-BL11,IF(A12&lt;'Données projet'!$A$88,$BA$205^A12,IF(A12='Données projet'!$A$88,'Données projet'!$B$88,BD11+BC12-BL11)))</f>
        <v>7.1607940284521145</v>
      </c>
      <c r="BE12" s="13">
        <f>BD12*VLOOKUP('Données projet'!$B$11,Paramètres!$A$1:$I$89,3,0)*VLOOKUP('Données projet'!$B$11,Paramètres!$A$1:$I$89,5,0)</f>
        <v>4.2821548290143649</v>
      </c>
      <c r="BF12" s="13">
        <f t="shared" si="37"/>
        <v>1.6660534544894132</v>
      </c>
      <c r="BG12" s="20">
        <f t="shared" si="7"/>
        <v>10.359796093769079</v>
      </c>
      <c r="BH12" s="59">
        <f t="shared" si="8"/>
        <v>303.69312942710241</v>
      </c>
      <c r="BI12" s="59">
        <f ca="1">AVERAGE(OFFSET($BH$3,0,0,'Données projet'!$E$11+1,1))-AVERAGE(OFFSET($H$3,0,0,'Données projet'!$E$11+1,1))</f>
        <v>257.96727373333601</v>
      </c>
      <c r="BJ12" s="59">
        <f t="shared" si="38"/>
        <v>194.52809733694494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312.61568343797188</v>
      </c>
      <c r="S13" s="59">
        <f ca="1">AVERAGE(OFFSET($R$3,0,0,'Données projet'!$E$9+1,1))-AVERAGE(OFFSET($H$3,0,0,'Données projet'!$E$9+1,1))</f>
        <v>355.23615781077405</v>
      </c>
      <c r="T13" s="59">
        <f t="shared" si="34"/>
        <v>448.84541017639367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5.8826687821090227</v>
      </c>
      <c r="AK13" s="13">
        <f t="shared" si="35"/>
        <v>2.2057079152108381</v>
      </c>
      <c r="AL13" s="20">
        <f t="shared" si="4"/>
        <v>14.087256081165423</v>
      </c>
      <c r="AM13" s="59">
        <f t="shared" si="5"/>
        <v>307.42058941449875</v>
      </c>
      <c r="AN13" s="59">
        <f ca="1">AVERAGE(OFFSET($AM$3,0,0,'Données projet'!$E$10+1,1))-AVERAGE(OFFSET($H$3,0,0,'Données projet'!$E$10+1,1))</f>
        <v>402.38496642820587</v>
      </c>
      <c r="AO13" s="59">
        <f t="shared" si="36"/>
        <v>196.65158751478987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5.5909090909090908</v>
      </c>
      <c r="BD13" s="12">
        <f>IF('Données projet'!$A$88&gt;35,BD12+BC13-BL12,IF(A13&lt;'Données projet'!$A$88,$BA$205^A13,IF(A13='Données projet'!$A$88,'Données projet'!$B$88,BD12+BC13-BL12)))</f>
        <v>8.9116242956840761</v>
      </c>
      <c r="BE13" s="13">
        <f>BD13*VLOOKUP('Données projet'!$B$11,Paramètres!$A$1:$I$89,3,0)*VLOOKUP('Données projet'!$B$11,Paramètres!$A$1:$I$89,5,0)</f>
        <v>5.3291513288190782</v>
      </c>
      <c r="BF13" s="13">
        <f t="shared" si="37"/>
        <v>2.0212829858817885</v>
      </c>
      <c r="BG13" s="20">
        <f t="shared" si="7"/>
        <v>12.802006431437341</v>
      </c>
      <c r="BH13" s="59">
        <f t="shared" si="8"/>
        <v>306.13533976477066</v>
      </c>
      <c r="BI13" s="59">
        <f ca="1">AVERAGE(OFFSET($BH$3,0,0,'Données projet'!$E$11+1,1))-AVERAGE(OFFSET($H$3,0,0,'Données projet'!$E$11+1,1))</f>
        <v>257.96727373333601</v>
      </c>
      <c r="BJ13" s="59">
        <f t="shared" si="38"/>
        <v>194.52809733694494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318.33104241120049</v>
      </c>
      <c r="S14" s="59">
        <f ca="1">AVERAGE(OFFSET($R$3,0,0,'Données projet'!$E$9+1,1))-AVERAGE(OFFSET($H$3,0,0,'Données projet'!$E$9+1,1))</f>
        <v>355.23615781077405</v>
      </c>
      <c r="T14" s="59">
        <f t="shared" si="34"/>
        <v>448.84541017639367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7.5771738346729904</v>
      </c>
      <c r="AK14" s="13">
        <f t="shared" si="35"/>
        <v>2.7585742106736397</v>
      </c>
      <c r="AL14" s="20">
        <f t="shared" si="4"/>
        <v>18.001427845645381</v>
      </c>
      <c r="AM14" s="59">
        <f t="shared" si="5"/>
        <v>311.33476117897868</v>
      </c>
      <c r="AN14" s="59">
        <f ca="1">AVERAGE(OFFSET($AM$3,0,0,'Données projet'!$E$10+1,1))-AVERAGE(OFFSET($H$3,0,0,'Données projet'!$E$10+1,1))</f>
        <v>402.38496642820587</v>
      </c>
      <c r="AO14" s="59">
        <f t="shared" si="36"/>
        <v>196.65158751478987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5.5909090909090908</v>
      </c>
      <c r="BD14" s="12">
        <f>IF('Données projet'!$A$88&gt;35,BD13+BC14-BL13,IF(A14&lt;'Données projet'!$A$88,$BA$205^A14,IF(A14='Données projet'!$A$88,'Données projet'!$B$88,BD13+BC14-BL13)))</f>
        <v>11.090536506409412</v>
      </c>
      <c r="BE14" s="13">
        <f>BD14*VLOOKUP('Données projet'!$B$11,Paramètres!$A$1:$I$89,3,0)*VLOOKUP('Données projet'!$B$11,Paramètres!$A$1:$I$89,5,0)</f>
        <v>6.6321408308328289</v>
      </c>
      <c r="BF14" s="13">
        <f t="shared" si="37"/>
        <v>2.4522531963221348</v>
      </c>
      <c r="BG14" s="20">
        <f t="shared" si="7"/>
        <v>15.821986263961561</v>
      </c>
      <c r="BH14" s="59">
        <f t="shared" si="8"/>
        <v>309.15531959729486</v>
      </c>
      <c r="BI14" s="59">
        <f ca="1">AVERAGE(OFFSET($BH$3,0,0,'Données projet'!$E$11+1,1))-AVERAGE(OFFSET($H$3,0,0,'Données projet'!$E$11+1,1))</f>
        <v>257.96727373333601</v>
      </c>
      <c r="BJ14" s="59">
        <f t="shared" si="38"/>
        <v>194.52809733694494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325.74650101186751</v>
      </c>
      <c r="S15" s="59">
        <f ca="1">AVERAGE(OFFSET($R$3,0,0,'Données projet'!$E$9+1,1))-AVERAGE(OFFSET($H$3,0,0,'Données projet'!$E$9+1,1))</f>
        <v>355.23615781077405</v>
      </c>
      <c r="T15" s="59">
        <f t="shared" si="34"/>
        <v>448.84541017639367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9.7597817329891239</v>
      </c>
      <c r="AK15" s="13">
        <f t="shared" si="35"/>
        <v>3.4500178483814818</v>
      </c>
      <c r="AL15" s="20">
        <f t="shared" si="4"/>
        <v>23.00706760422047</v>
      </c>
      <c r="AM15" s="59">
        <f t="shared" si="5"/>
        <v>316.3404009375538</v>
      </c>
      <c r="AN15" s="59">
        <f ca="1">AVERAGE(OFFSET($AM$3,0,0,'Données projet'!$E$10+1,1))-AVERAGE(OFFSET($H$3,0,0,'Données projet'!$E$10+1,1))</f>
        <v>402.38496642820587</v>
      </c>
      <c r="AO15" s="59">
        <f t="shared" si="36"/>
        <v>196.65158751478987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5.5909090909090908</v>
      </c>
      <c r="BD15" s="12">
        <f>IF('Données projet'!$A$88&gt;35,BD14+BC15-BL14,IF(A15&lt;'Données projet'!$A$88,$BA$205^A15,IF(A15='Données projet'!$A$88,'Données projet'!$B$88,BD14+BC15-BL14)))</f>
        <v>13.802197659922571</v>
      </c>
      <c r="BE15" s="13">
        <f>BD15*VLOOKUP('Données projet'!$B$11,Paramètres!$A$1:$I$89,3,0)*VLOOKUP('Données projet'!$B$11,Paramètres!$A$1:$I$89,5,0)</f>
        <v>8.2537142006336985</v>
      </c>
      <c r="BF15" s="13">
        <f t="shared" si="37"/>
        <v>2.9751132230743558</v>
      </c>
      <c r="BG15" s="20">
        <f t="shared" si="7"/>
        <v>19.556874429624859</v>
      </c>
      <c r="BH15" s="59">
        <f t="shared" si="8"/>
        <v>312.8902077629582</v>
      </c>
      <c r="BI15" s="59">
        <f ca="1">AVERAGE(OFFSET($BH$3,0,0,'Données projet'!$E$11+1,1))-AVERAGE(OFFSET($H$3,0,0,'Données projet'!$E$11+1,1))</f>
        <v>257.96727373333601</v>
      </c>
      <c r="BJ15" s="59">
        <f t="shared" si="38"/>
        <v>194.52809733694494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335.36944545714709</v>
      </c>
      <c r="S16" s="59">
        <f ca="1">AVERAGE(OFFSET($R$3,0,0,'Données projet'!$E$9+1,1))-AVERAGE(OFFSET($H$3,0,0,'Données projet'!$E$9+1,1))</f>
        <v>355.23615781077405</v>
      </c>
      <c r="T16" s="59">
        <f t="shared" si="34"/>
        <v>448.84541017639367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12.571090693433858</v>
      </c>
      <c r="AK16" s="13">
        <f t="shared" si="35"/>
        <v>4.3147735914069099</v>
      </c>
      <c r="AL16" s="20">
        <f t="shared" si="4"/>
        <v>29.409546962764335</v>
      </c>
      <c r="AM16" s="59">
        <f t="shared" si="5"/>
        <v>322.74288029609767</v>
      </c>
      <c r="AN16" s="59">
        <f ca="1">AVERAGE(OFFSET($AM$3,0,0,'Données projet'!$E$10+1,1))-AVERAGE(OFFSET($H$3,0,0,'Données projet'!$E$10+1,1))</f>
        <v>402.38496642820587</v>
      </c>
      <c r="AO16" s="59">
        <f t="shared" si="36"/>
        <v>196.65158751478987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5.5909090909090908</v>
      </c>
      <c r="BD16" s="12">
        <f>IF('Données projet'!$A$88&gt;35,BD15+BC16-BL15,IF(A16&lt;'Données projet'!$A$88,$BA$205^A16,IF(A16='Données projet'!$A$88,'Données projet'!$B$88,BD15+BC16-BL15)))</f>
        <v>17.17686607257264</v>
      </c>
      <c r="BE16" s="13">
        <f>BD16*VLOOKUP('Données projet'!$B$11,Paramètres!$A$1:$I$89,3,0)*VLOOKUP('Données projet'!$B$11,Paramètres!$A$1:$I$89,5,0)</f>
        <v>10.27176591139844</v>
      </c>
      <c r="BF16" s="13">
        <f t="shared" si="37"/>
        <v>3.609455460548272</v>
      </c>
      <c r="BG16" s="20">
        <f t="shared" si="7"/>
        <v>24.176460556140523</v>
      </c>
      <c r="BH16" s="59">
        <f t="shared" si="8"/>
        <v>317.50979388947383</v>
      </c>
      <c r="BI16" s="59">
        <f ca="1">AVERAGE(OFFSET($BH$3,0,0,'Données projet'!$E$11+1,1))-AVERAGE(OFFSET($H$3,0,0,'Données projet'!$E$11+1,1))</f>
        <v>257.96727373333601</v>
      </c>
      <c r="BJ16" s="59">
        <f t="shared" si="38"/>
        <v>194.52809733694494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347.85914950897904</v>
      </c>
      <c r="S17" s="59">
        <f ca="1">AVERAGE(OFFSET($R$3,0,0,'Données projet'!$E$9+1,1))-AVERAGE(OFFSET($H$3,0,0,'Données projet'!$E$9+1,1))</f>
        <v>355.23615781077405</v>
      </c>
      <c r="T17" s="59">
        <f t="shared" si="34"/>
        <v>448.84541017639367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16.192198303817896</v>
      </c>
      <c r="AK17" s="13">
        <f t="shared" si="35"/>
        <v>5.3962825594761723</v>
      </c>
      <c r="AL17" s="20">
        <f t="shared" si="4"/>
        <v>37.599937503570509</v>
      </c>
      <c r="AM17" s="59">
        <f t="shared" si="5"/>
        <v>330.93327083690383</v>
      </c>
      <c r="AN17" s="59">
        <f ca="1">AVERAGE(OFFSET($AM$3,0,0,'Données projet'!$E$10+1,1))-AVERAGE(OFFSET($H$3,0,0,'Données projet'!$E$10+1,1))</f>
        <v>402.38496642820587</v>
      </c>
      <c r="AO17" s="59">
        <f t="shared" si="36"/>
        <v>196.65158751478987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5.5909090909090908</v>
      </c>
      <c r="BD17" s="12">
        <f>IF('Données projet'!$A$88&gt;35,BD16+BC17-BL16,IF(A17&lt;'Données projet'!$A$88,$BA$205^A17,IF(A17='Données projet'!$A$88,'Données projet'!$B$88,BD16+BC17-BL16)))</f>
        <v>21.376648512419013</v>
      </c>
      <c r="BE17" s="13">
        <f>BD17*VLOOKUP('Données projet'!$B$11,Paramètres!$A$1:$I$89,3,0)*VLOOKUP('Données projet'!$B$11,Paramètres!$A$1:$I$89,5,0)</f>
        <v>12.783235810426572</v>
      </c>
      <c r="BF17" s="13">
        <f t="shared" si="37"/>
        <v>4.3790497183898731</v>
      </c>
      <c r="BG17" s="20">
        <f t="shared" si="7"/>
        <v>29.890980629355308</v>
      </c>
      <c r="BH17" s="59">
        <f t="shared" si="8"/>
        <v>323.2243139626886</v>
      </c>
      <c r="BI17" s="59">
        <f ca="1">AVERAGE(OFFSET($BH$3,0,0,'Données projet'!$E$11+1,1))-AVERAGE(OFFSET($H$3,0,0,'Données projet'!$E$11+1,1))</f>
        <v>257.96727373333601</v>
      </c>
      <c r="BJ17" s="59">
        <f t="shared" si="38"/>
        <v>194.52809733694494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364.07236896556145</v>
      </c>
      <c r="S18" s="59">
        <f ca="1">AVERAGE(OFFSET($R$3,0,0,'Données projet'!$E$9+1,1))-AVERAGE(OFFSET($H$3,0,0,'Données projet'!$E$9+1,1))</f>
        <v>355.23615781077405</v>
      </c>
      <c r="T18" s="59">
        <f t="shared" si="34"/>
        <v>448.84541017639367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20.856367383230236</v>
      </c>
      <c r="AK18" s="13">
        <f t="shared" si="35"/>
        <v>6.7488744993944465</v>
      </c>
      <c r="AL18" s="20">
        <f t="shared" si="4"/>
        <v>48.079129612237985</v>
      </c>
      <c r="AM18" s="59">
        <f t="shared" si="5"/>
        <v>341.41246294557129</v>
      </c>
      <c r="AN18" s="59">
        <f ca="1">AVERAGE(OFFSET($AM$3,0,0,'Données projet'!$E$10+1,1))-AVERAGE(OFFSET($H$3,0,0,'Données projet'!$E$10+1,1))</f>
        <v>402.38496642820587</v>
      </c>
      <c r="AO18" s="59">
        <f t="shared" si="36"/>
        <v>196.65158751478987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5.5909090909090908</v>
      </c>
      <c r="BD18" s="12">
        <f>IF('Données projet'!$A$88&gt;35,BD17+BC18-BL17,IF(A18&lt;'Données projet'!$A$88,$BA$205^A18,IF(A18='Données projet'!$A$88,'Données projet'!$B$88,BD17+BC18-BL17)))</f>
        <v>26.603287217402478</v>
      </c>
      <c r="BE18" s="13">
        <f>BD18*VLOOKUP('Données projet'!$B$11,Paramètres!$A$1:$I$89,3,0)*VLOOKUP('Données projet'!$B$11,Paramètres!$A$1:$I$89,5,0)</f>
        <v>15.908765756006684</v>
      </c>
      <c r="BF18" s="13">
        <f t="shared" si="37"/>
        <v>5.312733913945455</v>
      </c>
      <c r="BG18" s="20">
        <f t="shared" si="7"/>
        <v>36.960778591833304</v>
      </c>
      <c r="BH18" s="59">
        <f t="shared" si="8"/>
        <v>330.29411192516659</v>
      </c>
      <c r="BI18" s="59">
        <f ca="1">AVERAGE(OFFSET($BH$3,0,0,'Données projet'!$E$11+1,1))-AVERAGE(OFFSET($H$3,0,0,'Données projet'!$E$11+1,1))</f>
        <v>257.96727373333601</v>
      </c>
      <c r="BJ18" s="59">
        <f t="shared" si="38"/>
        <v>194.52809733694494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385.1226576119281</v>
      </c>
      <c r="S19" s="59">
        <f ca="1">AVERAGE(OFFSET($R$3,0,0,'Données projet'!$E$9+1,1))-AVERAGE(OFFSET($H$3,0,0,'Données projet'!$E$9+1,1))</f>
        <v>355.23615781077405</v>
      </c>
      <c r="T19" s="59">
        <f t="shared" si="34"/>
        <v>448.84541017639367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26.864052197391008</v>
      </c>
      <c r="AK19" s="13">
        <f t="shared" si="35"/>
        <v>8.4404970471001413</v>
      </c>
      <c r="AL19" s="20">
        <f t="shared" si="4"/>
        <v>61.488756600822086</v>
      </c>
      <c r="AM19" s="59">
        <f t="shared" si="5"/>
        <v>354.82208993415543</v>
      </c>
      <c r="AN19" s="59">
        <f ca="1">AVERAGE(OFFSET($AM$3,0,0,'Données projet'!$E$10+1,1))-AVERAGE(OFFSET($H$3,0,0,'Données projet'!$E$10+1,1))</f>
        <v>402.38496642820587</v>
      </c>
      <c r="AO19" s="59">
        <f t="shared" si="36"/>
        <v>196.65158751478987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5.5909090909090908</v>
      </c>
      <c r="BD19" s="12">
        <f>IF('Données projet'!$A$88&gt;35,BD18+BC19-BL18,IF(A19&lt;'Données projet'!$A$88,$BA$205^A19,IF(A19='Données projet'!$A$88,'Données projet'!$B$88,BD18+BC19-BL18)))</f>
        <v>33.107850856996748</v>
      </c>
      <c r="BE19" s="13">
        <f>BD19*VLOOKUP('Données projet'!$B$11,Paramètres!$A$1:$I$89,3,0)*VLOOKUP('Données projet'!$B$11,Paramètres!$A$1:$I$89,5,0)</f>
        <v>19.798494812484059</v>
      </c>
      <c r="BF19" s="13">
        <f t="shared" si="37"/>
        <v>6.4454946747588586</v>
      </c>
      <c r="BG19" s="20">
        <f t="shared" si="7"/>
        <v>45.70828169028141</v>
      </c>
      <c r="BH19" s="59">
        <f t="shared" si="8"/>
        <v>339.04161502361472</v>
      </c>
      <c r="BI19" s="59">
        <f ca="1">AVERAGE(OFFSET($BH$3,0,0,'Données projet'!$E$11+1,1))-AVERAGE(OFFSET($H$3,0,0,'Données projet'!$E$11+1,1))</f>
        <v>257.96727373333601</v>
      </c>
      <c r="BJ19" s="59">
        <f t="shared" si="38"/>
        <v>194.52809733694494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412.45754349889535</v>
      </c>
      <c r="S20" s="59">
        <f ca="1">AVERAGE(OFFSET($R$3,0,0,'Données projet'!$E$9+1,1))-AVERAGE(OFFSET($H$3,0,0,'Données projet'!$E$9+1,1))</f>
        <v>355.23615781077405</v>
      </c>
      <c r="T20" s="59">
        <f t="shared" si="34"/>
        <v>448.84541017639367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34.602252981236802</v>
      </c>
      <c r="AK20" s="13">
        <f t="shared" si="35"/>
        <v>10.556129086190376</v>
      </c>
      <c r="AL20" s="20">
        <f t="shared" si="4"/>
        <v>78.650848767435647</v>
      </c>
      <c r="AM20" s="59">
        <f t="shared" si="5"/>
        <v>371.98418210076898</v>
      </c>
      <c r="AN20" s="59">
        <f ca="1">AVERAGE(OFFSET($AM$3,0,0,'Données projet'!$E$10+1,1))-AVERAGE(OFFSET($H$3,0,0,'Données projet'!$E$10+1,1))</f>
        <v>402.38496642820587</v>
      </c>
      <c r="AO20" s="59">
        <f t="shared" si="36"/>
        <v>196.65158751478987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5.5909090909090908</v>
      </c>
      <c r="BD20" s="12">
        <f>IF('Données projet'!$A$88&gt;35,BD19+BC20-BL19,IF(A20&lt;'Données projet'!$A$88,$BA$205^A20,IF(A20='Données projet'!$A$88,'Données projet'!$B$88,BD19+BC20-BL19)))</f>
        <v>41.202794955809431</v>
      </c>
      <c r="BE20" s="13">
        <f>BD20*VLOOKUP('Données projet'!$B$11,Paramètres!$A$1:$I$89,3,0)*VLOOKUP('Données projet'!$B$11,Paramètres!$A$1:$I$89,5,0)</f>
        <v>24.639271383574041</v>
      </c>
      <c r="BF20" s="13">
        <f t="shared" si="37"/>
        <v>7.8197783429910519</v>
      </c>
      <c r="BG20" s="20">
        <f t="shared" si="7"/>
        <v>56.532844940434195</v>
      </c>
      <c r="BH20" s="59">
        <f t="shared" si="8"/>
        <v>349.8661782737675</v>
      </c>
      <c r="BI20" s="59">
        <f ca="1">AVERAGE(OFFSET($BH$3,0,0,'Données projet'!$E$11+1,1))-AVERAGE(OFFSET($H$3,0,0,'Données projet'!$E$11+1,1))</f>
        <v>257.96727373333601</v>
      </c>
      <c r="BJ20" s="59">
        <f t="shared" si="38"/>
        <v>194.52809733694494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447.95895542222519</v>
      </c>
      <c r="S21" s="59">
        <f ca="1">AVERAGE(OFFSET($R$3,0,0,'Données projet'!$E$9+1,1))-AVERAGE(OFFSET($H$3,0,0,'Données projet'!$E$9+1,1))</f>
        <v>355.23615781077405</v>
      </c>
      <c r="T21" s="59">
        <f t="shared" si="34"/>
        <v>448.84541017639367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44.569445539336513</v>
      </c>
      <c r="AK21" s="13">
        <f t="shared" si="35"/>
        <v>13.202049673437019</v>
      </c>
      <c r="AL21" s="20">
        <f t="shared" si="4"/>
        <v>100.61868749558056</v>
      </c>
      <c r="AM21" s="59">
        <f t="shared" si="5"/>
        <v>393.95202082891387</v>
      </c>
      <c r="AN21" s="59">
        <f ca="1">AVERAGE(OFFSET($AM$3,0,0,'Données projet'!$E$10+1,1))-AVERAGE(OFFSET($H$3,0,0,'Données projet'!$E$10+1,1))</f>
        <v>402.38496642820587</v>
      </c>
      <c r="AO21" s="59">
        <f t="shared" si="36"/>
        <v>196.65158751478987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5.5909090909090908</v>
      </c>
      <c r="BD21" s="12">
        <f>IF('Données projet'!$A$88&gt;35,BD20+BC21-BL20,IF(A21&lt;'Données projet'!$A$88,$BA$205^A21,IF(A21='Données projet'!$A$88,'Données projet'!$B$88,BD20+BC21-BL20)))</f>
        <v>51.276971117915458</v>
      </c>
      <c r="BE21" s="13">
        <f>BD21*VLOOKUP('Données projet'!$B$11,Paramètres!$A$1:$I$89,3,0)*VLOOKUP('Données projet'!$B$11,Paramètres!$A$1:$I$89,5,0)</f>
        <v>30.663628728513448</v>
      </c>
      <c r="BF21" s="13">
        <f t="shared" si="37"/>
        <v>9.4870815071768995</v>
      </c>
      <c r="BG21" s="20">
        <f t="shared" si="7"/>
        <v>69.929153660494023</v>
      </c>
      <c r="BH21" s="59">
        <f t="shared" si="8"/>
        <v>363.26248699382734</v>
      </c>
      <c r="BI21" s="59">
        <f ca="1">AVERAGE(OFFSET($BH$3,0,0,'Données projet'!$E$11+1,1))-AVERAGE(OFFSET($H$3,0,0,'Données projet'!$E$11+1,1))</f>
        <v>257.96727373333601</v>
      </c>
      <c r="BJ21" s="59">
        <f t="shared" si="38"/>
        <v>194.52809733694494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494.07391930065342</v>
      </c>
      <c r="S22" s="59">
        <f ca="1">AVERAGE(OFFSET($R$3,0,0,'Données projet'!$E$9+1,1))-AVERAGE(OFFSET($H$3,0,0,'Données projet'!$E$9+1,1))</f>
        <v>355.23615781077405</v>
      </c>
      <c r="T22" s="59">
        <f t="shared" si="34"/>
        <v>448.84541017639367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0.33</v>
      </c>
      <c r="Y22" s="16">
        <f>IF(ISNA(VLOOKUP(A22,'Données projet'!$A$35:$I$55,7,0)),0%,VLOOKUP(A22,'Données projet'!$A$35:$I$55,7,0))</f>
        <v>0.4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57.407691827495569</v>
      </c>
      <c r="AK22" s="13">
        <f t="shared" si="35"/>
        <v>16.511176981334152</v>
      </c>
      <c r="AL22" s="20">
        <f t="shared" si="4"/>
        <v>128.7420298420451</v>
      </c>
      <c r="AM22" s="59">
        <f t="shared" si="5"/>
        <v>422.07536317537841</v>
      </c>
      <c r="AN22" s="59">
        <f ca="1">AVERAGE(OFFSET($AM$3,0,0,'Données projet'!$E$10+1,1))-AVERAGE(OFFSET($H$3,0,0,'Données projet'!$E$10+1,1))</f>
        <v>402.38496642820587</v>
      </c>
      <c r="AO22" s="59">
        <f t="shared" si="36"/>
        <v>196.65158751478987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5.5909090909090908</v>
      </c>
      <c r="BD22" s="12">
        <f>IF('Données projet'!$A$88&gt;35,BD21+BC22-BL21,IF(A22&lt;'Données projet'!$A$88,$BA$205^A22,IF(A22='Données projet'!$A$88,'Données projet'!$B$88,BD21+BC22-BL21)))</f>
        <v>63.814306040343304</v>
      </c>
      <c r="BE22" s="13">
        <f>BD22*VLOOKUP('Données projet'!$B$11,Paramètres!$A$1:$I$89,3,0)*VLOOKUP('Données projet'!$B$11,Paramètres!$A$1:$I$89,5,0)</f>
        <v>38.160955012125299</v>
      </c>
      <c r="BF22" s="13">
        <f t="shared" si="37"/>
        <v>11.509880661066306</v>
      </c>
      <c r="BG22" s="20">
        <f t="shared" si="7"/>
        <v>86.510038797475374</v>
      </c>
      <c r="BH22" s="59">
        <f t="shared" si="8"/>
        <v>379.84337213080869</v>
      </c>
      <c r="BI22" s="59">
        <f ca="1">AVERAGE(OFFSET($BH$3,0,0,'Données projet'!$E$11+1,1))-AVERAGE(OFFSET($H$3,0,0,'Données projet'!$E$11+1,1))</f>
        <v>257.96727373333601</v>
      </c>
      <c r="BJ22" s="59">
        <f t="shared" si="38"/>
        <v>194.52809733694494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528.84537536099572</v>
      </c>
      <c r="S23" s="59">
        <f ca="1">AVERAGE(OFFSET($R$3,0,0,'Données projet'!$E$9+1,1))-AVERAGE(OFFSET($H$3,0,0,'Données projet'!$E$9+1,1))</f>
        <v>355.23615781077405</v>
      </c>
      <c r="T23" s="59">
        <f t="shared" si="34"/>
        <v>448.84541017639367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73.944000000000003</v>
      </c>
      <c r="AK23" s="13">
        <f t="shared" si="35"/>
        <v>20.649745460165708</v>
      </c>
      <c r="AL23" s="20">
        <f t="shared" si="4"/>
        <v>164.75077334312192</v>
      </c>
      <c r="AM23" s="59">
        <f t="shared" si="5"/>
        <v>458.08410667645524</v>
      </c>
      <c r="AN23" s="59">
        <f ca="1">AVERAGE(OFFSET($AM$3,0,0,'Données projet'!$E$10+1,1))-AVERAGE(OFFSET($H$3,0,0,'Données projet'!$E$10+1,1))</f>
        <v>402.38496642820587</v>
      </c>
      <c r="AO23" s="59">
        <f t="shared" si="36"/>
        <v>196.65158751478987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0.55000000000000004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5.5909090909090908</v>
      </c>
      <c r="BD23" s="12">
        <f>IF('Données projet'!$A$88&gt;35,BD22+BC23-BL22,IF(A23&lt;'Données projet'!$A$88,$BA$205^A23,IF(A23='Données projet'!$A$88,'Données projet'!$B$88,BD22+BC23-BL22)))</f>
        <v>79.417047587426694</v>
      </c>
      <c r="BE23" s="13">
        <f>BD23*VLOOKUP('Données projet'!$B$11,Paramètres!$A$1:$I$89,3,0)*VLOOKUP('Données projet'!$B$11,Paramètres!$A$1:$I$89,5,0)</f>
        <v>47.49139445728116</v>
      </c>
      <c r="BF23" s="13">
        <f t="shared" si="37"/>
        <v>13.96397329692701</v>
      </c>
      <c r="BG23" s="20">
        <f t="shared" si="7"/>
        <v>107.03476550524589</v>
      </c>
      <c r="BH23" s="59">
        <f t="shared" si="8"/>
        <v>400.36809883857921</v>
      </c>
      <c r="BI23" s="59">
        <f ca="1">AVERAGE(OFFSET($BH$3,0,0,'Données projet'!$E$11+1,1))-AVERAGE(OFFSET($H$3,0,0,'Données projet'!$E$11+1,1))</f>
        <v>257.96727373333601</v>
      </c>
      <c r="BJ23" s="59">
        <f t="shared" si="38"/>
        <v>194.52809733694494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563.4995651481911</v>
      </c>
      <c r="S24" s="59">
        <f ca="1">AVERAGE(OFFSET($R$3,0,0,'Données projet'!$E$9+1,1))-AVERAGE(OFFSET($H$3,0,0,'Données projet'!$E$9+1,1))</f>
        <v>355.23615781077405</v>
      </c>
      <c r="T24" s="59">
        <f t="shared" si="34"/>
        <v>448.84541017639367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9.1999999999999993</v>
      </c>
      <c r="AI24" s="13">
        <f>IF('Données projet'!$A$62&gt;35,AI23+AH24-AQ23,IF(A24&lt;'Données projet'!$A$62,$AF$205^A24,IF(A24='Données projet'!$A$62,'Données projet'!$B$62,AI23+AH24-AQ23)))</f>
        <v>167.2</v>
      </c>
      <c r="AJ24" s="13">
        <f>AI24*VLOOKUP('Données projet'!$B$10,Paramètres!$A$1:$I$89,3,0)*VLOOKUP('Données projet'!$B$10,Paramètres!$A$1:$I$89,5,0)</f>
        <v>78.249599999999987</v>
      </c>
      <c r="AK24" s="13">
        <f t="shared" si="35"/>
        <v>21.708652740239781</v>
      </c>
      <c r="AL24" s="20">
        <f t="shared" si="4"/>
        <v>174.09395685591758</v>
      </c>
      <c r="AM24" s="59">
        <f t="shared" si="5"/>
        <v>467.42729018925093</v>
      </c>
      <c r="AN24" s="59">
        <f ca="1">AVERAGE(OFFSET($AM$3,0,0,'Données projet'!$E$10+1,1))-AVERAGE(OFFSET($H$3,0,0,'Données projet'!$E$10+1,1))</f>
        <v>402.38496642820587</v>
      </c>
      <c r="AO24" s="59">
        <f t="shared" si="36"/>
        <v>196.65158751478987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5.5909090909090908</v>
      </c>
      <c r="BD24" s="12">
        <f>IF('Données projet'!$A$88&gt;35,BD23+BC24-BL23,IF(A24&lt;'Données projet'!$A$88,$BA$205^A24,IF(A24='Données projet'!$A$88,'Données projet'!$B$88,BD23+BC24-BL23)))</f>
        <v>98.834694582689295</v>
      </c>
      <c r="BE24" s="13">
        <f>BD24*VLOOKUP('Données projet'!$B$11,Paramètres!$A$1:$I$89,3,0)*VLOOKUP('Données projet'!$B$11,Paramètres!$A$1:$I$89,5,0)</f>
        <v>59.103147360448204</v>
      </c>
      <c r="BF24" s="13">
        <f t="shared" si="37"/>
        <v>16.94131815778756</v>
      </c>
      <c r="BG24" s="20">
        <f t="shared" si="7"/>
        <v>132.44411077759398</v>
      </c>
      <c r="BH24" s="59">
        <f t="shared" si="8"/>
        <v>425.77744411092726</v>
      </c>
      <c r="BI24" s="59">
        <f ca="1">AVERAGE(OFFSET($BH$3,0,0,'Données projet'!$E$11+1,1))-AVERAGE(OFFSET($H$3,0,0,'Données projet'!$E$11+1,1))</f>
        <v>257.96727373333601</v>
      </c>
      <c r="BJ24" s="59">
        <f t="shared" si="38"/>
        <v>194.52809733694494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598.05364786280813</v>
      </c>
      <c r="S25" s="59">
        <f ca="1">AVERAGE(OFFSET($R$3,0,0,'Données projet'!$E$9+1,1))-AVERAGE(OFFSET($H$3,0,0,'Données projet'!$E$9+1,1))</f>
        <v>355.23615781077405</v>
      </c>
      <c r="T25" s="59">
        <f t="shared" si="34"/>
        <v>448.84541017639367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9.1999999999999993</v>
      </c>
      <c r="AI25" s="13">
        <f>IF('Données projet'!$A$62&gt;35,AI24+AH25-AQ24,IF(A25&lt;'Données projet'!$A$62,$AF$205^A25,IF(A25='Données projet'!$A$62,'Données projet'!$B$62,AI24+AH25-AQ24)))</f>
        <v>176.39999999999998</v>
      </c>
      <c r="AJ25" s="13">
        <f>AI25*VLOOKUP('Données projet'!$B$10,Paramètres!$A$1:$I$89,3,0)*VLOOKUP('Données projet'!$B$10,Paramètres!$A$1:$I$89,5,0)</f>
        <v>82.555199999999985</v>
      </c>
      <c r="AK25" s="13">
        <f t="shared" si="35"/>
        <v>22.760796016854769</v>
      </c>
      <c r="AL25" s="20">
        <f t="shared" si="4"/>
        <v>183.42535972935536</v>
      </c>
      <c r="AM25" s="59">
        <f t="shared" si="5"/>
        <v>476.75869306268868</v>
      </c>
      <c r="AN25" s="59">
        <f ca="1">AVERAGE(OFFSET($AM$3,0,0,'Données projet'!$E$10+1,1))-AVERAGE(OFFSET($H$3,0,0,'Données projet'!$E$10+1,1))</f>
        <v>402.38496642820587</v>
      </c>
      <c r="AO25" s="59">
        <f t="shared" si="36"/>
        <v>196.65158751478987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>
        <f>VLOOKUP(A25,'Données projet'!$A$87:$I$107,2,0)</f>
        <v>123</v>
      </c>
      <c r="BB25" s="12">
        <f>VLOOKUP(A25,'Données projet'!$A$87:$I$107,9,0)</f>
        <v>5.5909090909090908</v>
      </c>
      <c r="BC25" s="12">
        <f t="array" ref="BC25">INDEX(BB:BB,MIN(IF(ISNUMBER(BB25:BB221),ROW(BB25:BB221),"")))</f>
        <v>5.5909090909090908</v>
      </c>
      <c r="BD25" s="12">
        <f>IF('Données projet'!$A$88&gt;35,BD24+BC25-BL24,IF(A25&lt;'Données projet'!$A$88,$BA$205^A25,IF(A25='Données projet'!$A$88,'Données projet'!$B$88,BD24+BC25-BL24)))</f>
        <v>123</v>
      </c>
      <c r="BE25" s="13">
        <f>BD25*VLOOKUP('Données projet'!$B$11,Paramètres!$A$1:$I$89,3,0)*VLOOKUP('Données projet'!$B$11,Paramètres!$A$1:$I$89,5,0)</f>
        <v>73.554000000000016</v>
      </c>
      <c r="BF25" s="13">
        <f t="shared" si="37"/>
        <v>20.553481077376691</v>
      </c>
      <c r="BG25" s="20">
        <f t="shared" si="7"/>
        <v>163.90386287643108</v>
      </c>
      <c r="BH25" s="59">
        <f t="shared" si="8"/>
        <v>457.23719620976442</v>
      </c>
      <c r="BI25" s="59">
        <f ca="1">AVERAGE(OFFSET($BH$3,0,0,'Données projet'!$E$11+1,1))-AVERAGE(OFFSET($H$3,0,0,'Données projet'!$E$11+1,1))</f>
        <v>257.96727373333601</v>
      </c>
      <c r="BJ25" s="59">
        <f t="shared" si="38"/>
        <v>194.52809733694494</v>
      </c>
      <c r="BK25" s="15">
        <f>IF(ISNA(VLOOKUP(A25,'Données projet'!$A$87:$I$107,3,0)),0,VLOOKUP(A25,'Données projet'!$A$87:$I$107,3,0))</f>
        <v>1</v>
      </c>
      <c r="BL25" s="15">
        <f>IF(ISNA(VLOOKUP(A25,'Données projet'!$A$87:$I$107,4,0)),0,VLOOKUP(A25,'Données projet'!$A$87:$I$107,4,0))</f>
        <v>16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0.27</v>
      </c>
      <c r="BO25" s="16">
        <f>IF(ISNA(VLOOKUP(A25,'Données projet'!$A$87:$I$107,7,0)),0%,VLOOKUP(A25,'Données projet'!$A$87:$I$107,7,0))</f>
        <v>0.4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3.41350017220471</v>
      </c>
      <c r="BR25" s="21">
        <f>EXP(-LN(2)/2)*BR24+(1-EXP(-LN(2)/2))/(LN(2)/2)*BL25*BO25*VLOOKUP('Données projet'!$B$11,Paramètres!$A$1:$I$89,3,0)*0.475*44/12</f>
        <v>4.3332794490932907</v>
      </c>
      <c r="BS25" s="22">
        <f t="shared" si="9"/>
        <v>7.7467796212980007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632.52056549583176</v>
      </c>
      <c r="S26" s="59">
        <f ca="1">AVERAGE(OFFSET($R$3,0,0,'Données projet'!$E$9+1,1))-AVERAGE(OFFSET($H$3,0,0,'Données projet'!$E$9+1,1))</f>
        <v>355.23615781077405</v>
      </c>
      <c r="T26" s="59">
        <f t="shared" si="34"/>
        <v>448.84541017639367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9.1999999999999993</v>
      </c>
      <c r="AI26" s="13">
        <f>IF('Données projet'!$A$62&gt;35,AI25+AH26-AQ25,IF(A26&lt;'Données projet'!$A$62,$AF$205^A26,IF(A26='Données projet'!$A$62,'Données projet'!$B$62,AI25+AH26-AQ25)))</f>
        <v>185.59999999999997</v>
      </c>
      <c r="AJ26" s="13">
        <f>AI26*VLOOKUP('Données projet'!$B$10,Paramètres!$A$1:$I$89,3,0)*VLOOKUP('Données projet'!$B$10,Paramètres!$A$1:$I$89,5,0)</f>
        <v>86.860799999999983</v>
      </c>
      <c r="AK26" s="13">
        <f t="shared" si="35"/>
        <v>23.806568296036275</v>
      </c>
      <c r="AL26" s="20">
        <f t="shared" si="4"/>
        <v>192.7456664489298</v>
      </c>
      <c r="AM26" s="59">
        <f t="shared" si="5"/>
        <v>486.07899978226311</v>
      </c>
      <c r="AN26" s="59">
        <f ca="1">AVERAGE(OFFSET($AM$3,0,0,'Données projet'!$E$10+1,1))-AVERAGE(OFFSET($H$3,0,0,'Données projet'!$E$10+1,1))</f>
        <v>402.38496642820587</v>
      </c>
      <c r="AO26" s="59">
        <f t="shared" si="36"/>
        <v>196.65158751478987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12.333333333333334</v>
      </c>
      <c r="BD26" s="12">
        <f>IF('Données projet'!$A$88&gt;35,BD25+BC26-BL25,IF(A26&lt;'Données projet'!$A$88,$BA$205^A26,IF(A26='Données projet'!$A$88,'Données projet'!$B$88,BD25+BC26-BL25)))</f>
        <v>119.33333333333334</v>
      </c>
      <c r="BE26" s="13">
        <f>BD26*VLOOKUP('Données projet'!$B$11,Paramètres!$A$1:$I$89,3,0)*VLOOKUP('Données projet'!$B$11,Paramètres!$A$1:$I$89,5,0)</f>
        <v>71.361333333333349</v>
      </c>
      <c r="BF26" s="13">
        <f t="shared" si="37"/>
        <v>20.011144716858571</v>
      </c>
      <c r="BG26" s="20">
        <f t="shared" si="7"/>
        <v>159.14039927075092</v>
      </c>
      <c r="BH26" s="59">
        <f t="shared" si="8"/>
        <v>452.47373260408426</v>
      </c>
      <c r="BI26" s="59">
        <f ca="1">AVERAGE(OFFSET($BH$3,0,0,'Données projet'!$E$11+1,1))-AVERAGE(OFFSET($H$3,0,0,'Données projet'!$E$11+1,1))</f>
        <v>257.96727373333601</v>
      </c>
      <c r="BJ26" s="59">
        <f t="shared" si="38"/>
        <v>194.52809733694494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3.3201578304876</v>
      </c>
      <c r="BR26" s="21">
        <f>EXP(-LN(2)/2)*BR25+(1-EXP(-LN(2)/2))/(LN(2)/2)*BL26*BO26*VLOOKUP('Données projet'!$B$11,Paramètres!$A$1:$I$89,3,0)*0.475*44/12</f>
        <v>3.064091283230173</v>
      </c>
      <c r="BS26" s="22">
        <f t="shared" si="9"/>
        <v>6.3842491137177735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666.91041254463369</v>
      </c>
      <c r="S27" s="59">
        <f ca="1">AVERAGE(OFFSET($R$3,0,0,'Données projet'!$E$9+1,1))-AVERAGE(OFFSET($H$3,0,0,'Données projet'!$E$9+1,1))</f>
        <v>355.23615781077405</v>
      </c>
      <c r="T27" s="59">
        <f t="shared" si="34"/>
        <v>448.84541017639367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9.1999999999999993</v>
      </c>
      <c r="AI27" s="13">
        <f>IF('Données projet'!$A$62&gt;35,AI26+AH27-AQ26,IF(A27&lt;'Données projet'!$A$62,$AF$205^A27,IF(A27='Données projet'!$A$62,'Données projet'!$B$62,AI26+AH27-AQ26)))</f>
        <v>194.79999999999995</v>
      </c>
      <c r="AJ27" s="13">
        <f>AI27*VLOOKUP('Données projet'!$B$10,Paramètres!$A$1:$I$89,3,0)*VLOOKUP('Données projet'!$B$10,Paramètres!$A$1:$I$89,5,0)</f>
        <v>91.166399999999982</v>
      </c>
      <c r="AK27" s="13">
        <f t="shared" si="35"/>
        <v>24.846321420979159</v>
      </c>
      <c r="AL27" s="20">
        <f t="shared" si="4"/>
        <v>202.05548980820535</v>
      </c>
      <c r="AM27" s="59">
        <f t="shared" si="5"/>
        <v>495.38882314153864</v>
      </c>
      <c r="AN27" s="59">
        <f ca="1">AVERAGE(OFFSET($AM$3,0,0,'Données projet'!$E$10+1,1))-AVERAGE(OFFSET($H$3,0,0,'Données projet'!$E$10+1,1))</f>
        <v>402.38496642820587</v>
      </c>
      <c r="AO27" s="59">
        <f t="shared" si="36"/>
        <v>196.65158751478987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12.333333333333334</v>
      </c>
      <c r="BD27" s="12">
        <f>IF('Données projet'!$A$88&gt;35,BD26+BC27-BL26,IF(A27&lt;'Données projet'!$A$88,$BA$205^A27,IF(A27='Données projet'!$A$88,'Données projet'!$B$88,BD26+BC27-BL26)))</f>
        <v>131.66666666666669</v>
      </c>
      <c r="BE27" s="13">
        <f>BD27*VLOOKUP('Données projet'!$B$11,Paramètres!$A$1:$I$89,3,0)*VLOOKUP('Données projet'!$B$11,Paramètres!$A$1:$I$89,5,0)</f>
        <v>78.736666666666679</v>
      </c>
      <c r="BF27" s="13">
        <f t="shared" si="37"/>
        <v>21.828006984037064</v>
      </c>
      <c r="BG27" s="20">
        <f t="shared" si="7"/>
        <v>175.15013994164235</v>
      </c>
      <c r="BH27" s="59">
        <f t="shared" si="8"/>
        <v>468.48347327497567</v>
      </c>
      <c r="BI27" s="59">
        <f ca="1">AVERAGE(OFFSET($BH$3,0,0,'Données projet'!$E$11+1,1))-AVERAGE(OFFSET($H$3,0,0,'Données projet'!$E$11+1,1))</f>
        <v>257.96727373333601</v>
      </c>
      <c r="BJ27" s="59">
        <f t="shared" si="38"/>
        <v>194.52809733694494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3.2293679400134048</v>
      </c>
      <c r="BR27" s="21">
        <f>EXP(-LN(2)/2)*BR26+(1-EXP(-LN(2)/2))/(LN(2)/2)*BL27*BO27*VLOOKUP('Données projet'!$B$11,Paramètres!$A$1:$I$89,3,0)*0.475*44/12</f>
        <v>2.1666397245466458</v>
      </c>
      <c r="BS27" s="22">
        <f t="shared" si="9"/>
        <v>5.3960076645600505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701.23127282801488</v>
      </c>
      <c r="S28" s="59">
        <f ca="1">AVERAGE(OFFSET($R$3,0,0,'Données projet'!$E$9+1,1))-AVERAGE(OFFSET($H$3,0,0,'Données projet'!$E$9+1,1))</f>
        <v>355.23615781077405</v>
      </c>
      <c r="T28" s="59">
        <f t="shared" si="34"/>
        <v>448.84541017639367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0.33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13.162382457495875</v>
      </c>
      <c r="AB28" s="21">
        <f>EXP(-LN(2)/2)*AB27+(1-EXP(-LN(2)/2))/(LN(2)/2)*V28*Y28*VLOOKUP('Données projet'!$B$9,Paramètres!$A$1:$I$89,3,0)*0.475*44/12</f>
        <v>13.67102565325356</v>
      </c>
      <c r="AC28" s="22">
        <f t="shared" si="3"/>
        <v>26.833408110749435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9.1999999999999993</v>
      </c>
      <c r="AI28" s="13">
        <f>IF('Données projet'!$A$62&gt;35,AI27+AH28-AQ27,IF(A28&lt;'Données projet'!$A$62,$AF$205^A28,IF(A28='Données projet'!$A$62,'Données projet'!$B$62,AI27+AH28-AQ27)))</f>
        <v>203.99999999999994</v>
      </c>
      <c r="AJ28" s="13">
        <f>AI28*VLOOKUP('Données projet'!$B$10,Paramètres!$A$1:$I$89,3,0)*VLOOKUP('Données projet'!$B$10,Paramètres!$A$1:$I$89,5,0)</f>
        <v>95.47199999999998</v>
      </c>
      <c r="AK28" s="13">
        <f t="shared" si="35"/>
        <v>25.880372123231144</v>
      </c>
      <c r="AL28" s="20">
        <f t="shared" si="4"/>
        <v>211.35538144796087</v>
      </c>
      <c r="AM28" s="59">
        <f t="shared" si="5"/>
        <v>504.68871478129415</v>
      </c>
      <c r="AN28" s="59">
        <f ca="1">AVERAGE(OFFSET($AM$3,0,0,'Données projet'!$E$10+1,1))-AVERAGE(OFFSET($H$3,0,0,'Données projet'!$E$10+1,1))</f>
        <v>402.38496642820587</v>
      </c>
      <c r="AO28" s="59">
        <f t="shared" si="36"/>
        <v>196.65158751478987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144</v>
      </c>
      <c r="BB28" s="12">
        <f>VLOOKUP(A28,'Données projet'!$A$87:$I$107,9,0)</f>
        <v>12.333333333333334</v>
      </c>
      <c r="BC28" s="12">
        <f t="array" ref="BC28">INDEX(BB:BB,MIN(IF(ISNUMBER(BB28:BB224),ROW(BB28:BB224),"")))</f>
        <v>12.333333333333334</v>
      </c>
      <c r="BD28" s="12">
        <f>IF('Données projet'!$A$88&gt;35,BD27+BC28-BL27,IF(A28&lt;'Données projet'!$A$88,$BA$205^A28,IF(A28='Données projet'!$A$88,'Données projet'!$B$88,BD27+BC28-BL27)))</f>
        <v>144.00000000000003</v>
      </c>
      <c r="BE28" s="13">
        <f>BD28*VLOOKUP('Données projet'!$B$11,Paramètres!$A$1:$I$89,3,0)*VLOOKUP('Données projet'!$B$11,Paramètres!$A$1:$I$89,5,0)</f>
        <v>86.112000000000009</v>
      </c>
      <c r="BF28" s="13">
        <f t="shared" si="37"/>
        <v>23.625136642852297</v>
      </c>
      <c r="BG28" s="20">
        <f t="shared" si="7"/>
        <v>191.12551298630106</v>
      </c>
      <c r="BH28" s="59">
        <f t="shared" si="8"/>
        <v>484.4588463196344</v>
      </c>
      <c r="BI28" s="59">
        <f ca="1">AVERAGE(OFFSET($BH$3,0,0,'Données projet'!$E$11+1,1))-AVERAGE(OFFSET($H$3,0,0,'Données projet'!$E$11+1,1))</f>
        <v>257.96727373333601</v>
      </c>
      <c r="BJ28" s="59">
        <f t="shared" si="38"/>
        <v>194.52809733694494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0.27</v>
      </c>
      <c r="BO28" s="16">
        <f>IF(ISNA(VLOOKUP(A28,'Données projet'!$A$87:$I$107,7,0)),0%,VLOOKUP(A28,'Données projet'!$A$87:$I$107,7,0))</f>
        <v>0.4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6.7679046368361639</v>
      </c>
      <c r="BR28" s="21">
        <f>EXP(-LN(2)/2)*BR27+(1-EXP(-LN(2)/2))/(LN(2)/2)*BL28*BO28*VLOOKUP('Données projet'!$B$11,Paramètres!$A$1:$I$89,3,0)*0.475*44/12</f>
        <v>6.1361550562767073</v>
      </c>
      <c r="BS28" s="22">
        <f t="shared" si="9"/>
        <v>12.90405969311287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670.28592187226661</v>
      </c>
      <c r="S29" s="59">
        <f ca="1">AVERAGE(OFFSET($R$3,0,0,'Données projet'!$E$9+1,1))-AVERAGE(OFFSET($H$3,0,0,'Données projet'!$E$9+1,1))</f>
        <v>355.23615781077405</v>
      </c>
      <c r="T29" s="59">
        <f t="shared" si="34"/>
        <v>448.84541017639367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12.802456417016041</v>
      </c>
      <c r="AB29" s="21">
        <f>EXP(-LN(2)/2)*AB28+(1-EXP(-LN(2)/2))/(LN(2)/2)*V29*Y29*VLOOKUP('Données projet'!$B$9,Paramètres!$A$1:$I$89,3,0)*0.475*44/12</f>
        <v>9.6668749451908429</v>
      </c>
      <c r="AC29" s="22">
        <f t="shared" si="3"/>
        <v>22.469331362206884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213.19999999999993</v>
      </c>
      <c r="AJ29" s="13">
        <f>AI29*VLOOKUP('Données projet'!$B$10,Paramètres!$A$1:$I$89,3,0)*VLOOKUP('Données projet'!$B$10,Paramètres!$A$1:$I$89,5,0)</f>
        <v>99.777599999999964</v>
      </c>
      <c r="AK29" s="13">
        <f t="shared" si="35"/>
        <v>26.909006951444532</v>
      </c>
      <c r="AL29" s="20">
        <f t="shared" si="4"/>
        <v>220.64584044043249</v>
      </c>
      <c r="AM29" s="59">
        <f t="shared" si="5"/>
        <v>513.97917377376575</v>
      </c>
      <c r="AN29" s="59">
        <f ca="1">AVERAGE(OFFSET($AM$3,0,0,'Données projet'!$E$10+1,1))-AVERAGE(OFFSET($H$3,0,0,'Données projet'!$E$10+1,1))</f>
        <v>402.38496642820587</v>
      </c>
      <c r="AO29" s="59">
        <f t="shared" si="36"/>
        <v>196.65158751478987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13.4</v>
      </c>
      <c r="BD29" s="12">
        <f>IF('Données projet'!$A$88&gt;35,BD28+BC29-BL28,IF(A29&lt;'Données projet'!$A$88,$BA$205^A29,IF(A29='Données projet'!$A$88,'Données projet'!$B$88,BD28+BC29-BL28)))</f>
        <v>140.40000000000003</v>
      </c>
      <c r="BE29" s="13">
        <f>BD29*VLOOKUP('Données projet'!$B$11,Paramètres!$A$1:$I$89,3,0)*VLOOKUP('Données projet'!$B$11,Paramètres!$A$1:$I$89,5,0)</f>
        <v>83.959200000000024</v>
      </c>
      <c r="BF29" s="13">
        <f t="shared" si="37"/>
        <v>23.102490880810642</v>
      </c>
      <c r="BG29" s="20">
        <f t="shared" si="7"/>
        <v>186.46577828407854</v>
      </c>
      <c r="BH29" s="59">
        <f t="shared" si="8"/>
        <v>479.79911161741188</v>
      </c>
      <c r="BI29" s="59">
        <f ca="1">AVERAGE(OFFSET($BH$3,0,0,'Données projet'!$E$11+1,1))-AVERAGE(OFFSET($H$3,0,0,'Données projet'!$E$11+1,1))</f>
        <v>257.96727373333601</v>
      </c>
      <c r="BJ29" s="59">
        <f t="shared" si="38"/>
        <v>194.52809733694494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6.5828359286332425</v>
      </c>
      <c r="BR29" s="21">
        <f>EXP(-LN(2)/2)*BR28+(1-EXP(-LN(2)/2))/(LN(2)/2)*BL29*BO29*VLOOKUP('Données projet'!$B$11,Paramètres!$A$1:$I$89,3,0)*0.475*44/12</f>
        <v>4.338916850705381</v>
      </c>
      <c r="BS29" s="22">
        <f t="shared" si="9"/>
        <v>10.921752779338624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703.60952841764924</v>
      </c>
      <c r="S30" s="59">
        <f ca="1">AVERAGE(OFFSET($R$3,0,0,'Données projet'!$E$9+1,1))-AVERAGE(OFFSET($H$3,0,0,'Données projet'!$E$9+1,1))</f>
        <v>355.23615781077405</v>
      </c>
      <c r="T30" s="59">
        <f t="shared" si="34"/>
        <v>448.84541017639367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12.452372573040815</v>
      </c>
      <c r="AB30" s="21">
        <f>EXP(-LN(2)/2)*AB29+(1-EXP(-LN(2)/2))/(LN(2)/2)*V30*Y30*VLOOKUP('Données projet'!$B$9,Paramètres!$A$1:$I$89,3,0)*0.475*44/12</f>
        <v>6.8355128266267808</v>
      </c>
      <c r="AC30" s="22">
        <f t="shared" si="3"/>
        <v>19.287885399667594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222.39999999999992</v>
      </c>
      <c r="AJ30" s="13">
        <f>AI30*VLOOKUP('Données projet'!$B$10,Paramètres!$A$1:$I$89,3,0)*VLOOKUP('Données projet'!$B$10,Paramètres!$A$1:$I$89,5,0)</f>
        <v>104.08319999999996</v>
      </c>
      <c r="AK30" s="13">
        <f t="shared" si="35"/>
        <v>27.932486325387405</v>
      </c>
      <c r="AL30" s="20">
        <f t="shared" si="4"/>
        <v>229.92732035004965</v>
      </c>
      <c r="AM30" s="59">
        <f t="shared" si="5"/>
        <v>523.260653683383</v>
      </c>
      <c r="AN30" s="59">
        <f ca="1">AVERAGE(OFFSET($AM$3,0,0,'Données projet'!$E$10+1,1))-AVERAGE(OFFSET($H$3,0,0,'Données projet'!$E$10+1,1))</f>
        <v>402.38496642820587</v>
      </c>
      <c r="AO30" s="59">
        <f t="shared" si="36"/>
        <v>196.65158751478987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13.4</v>
      </c>
      <c r="BD30" s="12">
        <f>IF('Données projet'!$A$88&gt;35,BD29+BC30-BL29,IF(A30&lt;'Données projet'!$A$88,$BA$205^A30,IF(A30='Données projet'!$A$88,'Données projet'!$B$88,BD29+BC30-BL29)))</f>
        <v>153.80000000000004</v>
      </c>
      <c r="BE30" s="13">
        <f>BD30*VLOOKUP('Données projet'!$B$11,Paramètres!$A$1:$I$89,3,0)*VLOOKUP('Données projet'!$B$11,Paramètres!$A$1:$I$89,5,0)</f>
        <v>91.972400000000022</v>
      </c>
      <c r="BF30" s="13">
        <f t="shared" si="37"/>
        <v>25.040318527820091</v>
      </c>
      <c r="BG30" s="20">
        <f t="shared" si="7"/>
        <v>203.79715143595334</v>
      </c>
      <c r="BH30" s="59">
        <f t="shared" si="8"/>
        <v>497.13048476928668</v>
      </c>
      <c r="BI30" s="59">
        <f ca="1">AVERAGE(OFFSET($BH$3,0,0,'Données projet'!$E$11+1,1))-AVERAGE(OFFSET($H$3,0,0,'Données projet'!$E$11+1,1))</f>
        <v>257.96727373333601</v>
      </c>
      <c r="BJ30" s="59">
        <f t="shared" si="38"/>
        <v>194.52809733694494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6.4028279339884699</v>
      </c>
      <c r="BR30" s="21">
        <f>EXP(-LN(2)/2)*BR29+(1-EXP(-LN(2)/2))/(LN(2)/2)*BL30*BO30*VLOOKUP('Données projet'!$B$11,Paramètres!$A$1:$I$89,3,0)*0.475*44/12</f>
        <v>3.0680775281383541</v>
      </c>
      <c r="BS30" s="22">
        <f t="shared" si="9"/>
        <v>9.470905462126824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736.87470971578341</v>
      </c>
      <c r="S31" s="59">
        <f ca="1">AVERAGE(OFFSET($R$3,0,0,'Données projet'!$E$9+1,1))-AVERAGE(OFFSET($H$3,0,0,'Données projet'!$E$9+1,1))</f>
        <v>355.23615781077405</v>
      </c>
      <c r="T31" s="59">
        <f t="shared" si="34"/>
        <v>448.84541017639367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12.111861790189201</v>
      </c>
      <c r="AB31" s="21">
        <f>EXP(-LN(2)/2)*AB30+(1-EXP(-LN(2)/2))/(LN(2)/2)*V31*Y31*VLOOKUP('Données projet'!$B$9,Paramètres!$A$1:$I$89,3,0)*0.475*44/12</f>
        <v>4.8334374725954223</v>
      </c>
      <c r="AC31" s="22">
        <f t="shared" si="3"/>
        <v>16.945299262784623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231.59999999999991</v>
      </c>
      <c r="AJ31" s="13">
        <f>AI31*VLOOKUP('Données projet'!$B$10,Paramètres!$A$1:$I$89,3,0)*VLOOKUP('Données projet'!$B$10,Paramètres!$A$1:$I$89,5,0)</f>
        <v>108.38879999999996</v>
      </c>
      <c r="AK31" s="13">
        <f t="shared" si="35"/>
        <v>28.95104790024919</v>
      </c>
      <c r="AL31" s="20">
        <f t="shared" si="4"/>
        <v>239.20023509293392</v>
      </c>
      <c r="AM31" s="59">
        <f t="shared" si="5"/>
        <v>532.53356842626727</v>
      </c>
      <c r="AN31" s="59">
        <f ca="1">AVERAGE(OFFSET($AM$3,0,0,'Données projet'!$E$10+1,1))-AVERAGE(OFFSET($H$3,0,0,'Données projet'!$E$10+1,1))</f>
        <v>402.38496642820587</v>
      </c>
      <c r="AO31" s="59">
        <f t="shared" si="36"/>
        <v>196.65158751478987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13.4</v>
      </c>
      <c r="BD31" s="12">
        <f>IF('Données projet'!$A$88&gt;35,BD30+BC31-BL30,IF(A31&lt;'Données projet'!$A$88,$BA$205^A31,IF(A31='Données projet'!$A$88,'Données projet'!$B$88,BD30+BC31-BL30)))</f>
        <v>167.20000000000005</v>
      </c>
      <c r="BE31" s="13">
        <f>BD31*VLOOKUP('Données projet'!$B$11,Paramètres!$A$1:$I$89,3,0)*VLOOKUP('Données projet'!$B$11,Paramètres!$A$1:$I$89,5,0)</f>
        <v>99.985600000000034</v>
      </c>
      <c r="BF31" s="13">
        <f t="shared" si="37"/>
        <v>26.958566918169435</v>
      </c>
      <c r="BG31" s="20">
        <f t="shared" si="7"/>
        <v>221.09442404914515</v>
      </c>
      <c r="BH31" s="59">
        <f t="shared" si="8"/>
        <v>514.42775738247849</v>
      </c>
      <c r="BI31" s="59">
        <f ca="1">AVERAGE(OFFSET($BH$3,0,0,'Données projet'!$E$11+1,1))-AVERAGE(OFFSET($H$3,0,0,'Données projet'!$E$11+1,1))</f>
        <v>257.96727373333601</v>
      </c>
      <c r="BJ31" s="59">
        <f t="shared" si="38"/>
        <v>194.52809733694494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6.2277422674234684</v>
      </c>
      <c r="BR31" s="21">
        <f>EXP(-LN(2)/2)*BR30+(1-EXP(-LN(2)/2))/(LN(2)/2)*BL31*BO31*VLOOKUP('Données projet'!$B$11,Paramètres!$A$1:$I$89,3,0)*0.475*44/12</f>
        <v>2.169458425352691</v>
      </c>
      <c r="BS31" s="22">
        <f t="shared" si="9"/>
        <v>8.3972006927761598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770.08645729957652</v>
      </c>
      <c r="S32" s="59">
        <f ca="1">AVERAGE(OFFSET($R$3,0,0,'Données projet'!$E$9+1,1))-AVERAGE(OFFSET($H$3,0,0,'Données projet'!$E$9+1,1))</f>
        <v>355.23615781077405</v>
      </c>
      <c r="T32" s="59">
        <f t="shared" si="34"/>
        <v>448.84541017639367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11.780662292601347</v>
      </c>
      <c r="AB32" s="21">
        <f>EXP(-LN(2)/2)*AB31+(1-EXP(-LN(2)/2))/(LN(2)/2)*V32*Y32*VLOOKUP('Données projet'!$B$9,Paramètres!$A$1:$I$89,3,0)*0.475*44/12</f>
        <v>3.4177564133133909</v>
      </c>
      <c r="AC32" s="22">
        <f t="shared" si="3"/>
        <v>15.198418705914738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240.7999999999999</v>
      </c>
      <c r="AJ32" s="13">
        <f>AI32*VLOOKUP('Données projet'!$B$10,Paramètres!$A$1:$I$89,3,0)*VLOOKUP('Données projet'!$B$10,Paramètres!$A$1:$I$89,5,0)</f>
        <v>112.69439999999994</v>
      </c>
      <c r="AK32" s="13">
        <f t="shared" si="35"/>
        <v>29.964909381330607</v>
      </c>
      <c r="AL32" s="20">
        <f t="shared" si="4"/>
        <v>248.46496383915073</v>
      </c>
      <c r="AM32" s="59">
        <f t="shared" si="5"/>
        <v>541.79829717248401</v>
      </c>
      <c r="AN32" s="59">
        <f ca="1">AVERAGE(OFFSET($AM$3,0,0,'Données projet'!$E$10+1,1))-AVERAGE(OFFSET($H$3,0,0,'Données projet'!$E$10+1,1))</f>
        <v>402.38496642820587</v>
      </c>
      <c r="AO32" s="59">
        <f t="shared" si="36"/>
        <v>196.65158751478987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13.4</v>
      </c>
      <c r="BD32" s="12">
        <f>IF('Données projet'!$A$88&gt;35,BD31+BC32-BL31,IF(A32&lt;'Données projet'!$A$88,$BA$205^A32,IF(A32='Données projet'!$A$88,'Données projet'!$B$88,BD31+BC32-BL31)))</f>
        <v>180.60000000000005</v>
      </c>
      <c r="BE32" s="13">
        <f>BD32*VLOOKUP('Données projet'!$B$11,Paramètres!$A$1:$I$89,3,0)*VLOOKUP('Données projet'!$B$11,Paramètres!$A$1:$I$89,5,0)</f>
        <v>107.99880000000003</v>
      </c>
      <c r="BF32" s="13">
        <f t="shared" si="37"/>
        <v>28.85898360070161</v>
      </c>
      <c r="BG32" s="20">
        <f t="shared" si="7"/>
        <v>238.36063977122203</v>
      </c>
      <c r="BH32" s="59">
        <f t="shared" si="8"/>
        <v>531.69397310455531</v>
      </c>
      <c r="BI32" s="59">
        <f ca="1">AVERAGE(OFFSET($BH$3,0,0,'Données projet'!$E$11+1,1))-AVERAGE(OFFSET($H$3,0,0,'Données projet'!$E$11+1,1))</f>
        <v>257.96727373333601</v>
      </c>
      <c r="BJ32" s="59">
        <f t="shared" si="38"/>
        <v>194.52809733694494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6.0574443276180414</v>
      </c>
      <c r="BR32" s="21">
        <f>EXP(-LN(2)/2)*BR31+(1-EXP(-LN(2)/2))/(LN(2)/2)*BL32*BO32*VLOOKUP('Données projet'!$B$11,Paramètres!$A$1:$I$89,3,0)*0.475*44/12</f>
        <v>1.5340387640691773</v>
      </c>
      <c r="BS32" s="22">
        <f t="shared" si="9"/>
        <v>7.5914830916872189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355.23615781077405</v>
      </c>
      <c r="T33" s="59">
        <f t="shared" si="34"/>
        <v>448.84541017639367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0.33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24.620901920187933</v>
      </c>
      <c r="AB33" s="21">
        <f>EXP(-LN(2)/2)*AB32+(1-EXP(-LN(2)/2))/(LN(2)/2)*V33*Y33*VLOOKUP('Données projet'!$B$9,Paramètres!$A$1:$I$89,3,0)*0.475*44/12</f>
        <v>16.087744389551272</v>
      </c>
      <c r="AC33" s="22">
        <f t="shared" si="3"/>
        <v>40.708646309739208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250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249.99999999999989</v>
      </c>
      <c r="AJ33" s="13">
        <f>AI33*VLOOKUP('Données projet'!$B$10,Paramètres!$A$1:$I$89,3,0)*VLOOKUP('Données projet'!$B$10,Paramètres!$A$1:$I$89,5,0)</f>
        <v>116.99999999999994</v>
      </c>
      <c r="AK33" s="13">
        <f t="shared" si="35"/>
        <v>30.974270896484118</v>
      </c>
      <c r="AL33" s="20">
        <f t="shared" si="4"/>
        <v>257.72185514470976</v>
      </c>
      <c r="AM33" s="59">
        <f t="shared" si="5"/>
        <v>551.05518847804308</v>
      </c>
      <c r="AN33" s="59">
        <f ca="1">AVERAGE(OFFSET($AM$3,0,0,'Données projet'!$E$10+1,1))-AVERAGE(OFFSET($H$3,0,0,'Données projet'!$E$10+1,1))</f>
        <v>402.38496642820587</v>
      </c>
      <c r="AO33" s="59">
        <f t="shared" si="36"/>
        <v>196.65158751478987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67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22.787587200315858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22.787587200315858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194</v>
      </c>
      <c r="BB33" s="12">
        <f>VLOOKUP(A33,'Données projet'!$A$87:$I$107,9,0)</f>
        <v>13.4</v>
      </c>
      <c r="BC33" s="12">
        <f t="array" ref="BC33">INDEX(BB:BB,MIN(IF(ISNUMBER(BB33:BB229),ROW(BB33:BB229),"")))</f>
        <v>13.4</v>
      </c>
      <c r="BD33" s="12">
        <f>IF('Données projet'!$A$88&gt;35,BD32+BC33-BL32,IF(A33&lt;'Données projet'!$A$88,$BA$205^A33,IF(A33='Données projet'!$A$88,'Données projet'!$B$88,BD32+BC33-BL32)))</f>
        <v>194.00000000000006</v>
      </c>
      <c r="BE33" s="13">
        <f>BD33*VLOOKUP('Données projet'!$B$11,Paramètres!$A$1:$I$89,3,0)*VLOOKUP('Données projet'!$B$11,Paramètres!$A$1:$I$89,5,0)</f>
        <v>116.01200000000003</v>
      </c>
      <c r="BF33" s="13">
        <f t="shared" si="37"/>
        <v>30.743042086238173</v>
      </c>
      <c r="BG33" s="20">
        <f t="shared" si="7"/>
        <v>255.59836496686489</v>
      </c>
      <c r="BH33" s="59">
        <f t="shared" si="8"/>
        <v>548.93169830019815</v>
      </c>
      <c r="BI33" s="59">
        <f ca="1">AVERAGE(OFFSET($BH$3,0,0,'Données projet'!$E$11+1,1))-AVERAGE(OFFSET($H$3,0,0,'Données projet'!$E$11+1,1))</f>
        <v>257.96727373333601</v>
      </c>
      <c r="BJ33" s="59">
        <f t="shared" si="38"/>
        <v>194.52809733694494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34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0.27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13.145491059867183</v>
      </c>
      <c r="BR33" s="21">
        <f>EXP(-LN(2)/2)*BR32+(1-EXP(-LN(2)/2))/(LN(2)/2)*BL33*BO33*VLOOKUP('Données projet'!$B$11,Paramètres!$A$1:$I$89,3,0)*0.475*44/12</f>
        <v>10.292948041999587</v>
      </c>
      <c r="BS33" s="22">
        <f t="shared" si="9"/>
        <v>23.43843910186677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355.23615781077405</v>
      </c>
      <c r="T34" s="59">
        <f t="shared" si="34"/>
        <v>448.84541017639367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23.947642062423434</v>
      </c>
      <c r="AB34" s="21">
        <f>EXP(-LN(2)/2)*AB33+(1-EXP(-LN(2)/2))/(LN(2)/2)*V34*Y34*VLOOKUP('Données projet'!$B$9,Paramètres!$A$1:$I$89,3,0)*0.475*44/12</f>
        <v>11.37575315184754</v>
      </c>
      <c r="AC34" s="22">
        <f t="shared" si="3"/>
        <v>35.323395214270974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16.7</v>
      </c>
      <c r="AI34" s="13">
        <f>IF('Données projet'!$A$62&gt;35,AI33+AH34-AQ33,IF(A34&lt;'Données projet'!$A$62,$AF$205^A34,IF(A34='Données projet'!$A$62,'Données projet'!$B$62,AI33+AH34-AQ33)))</f>
        <v>199.69999999999987</v>
      </c>
      <c r="AJ34" s="13">
        <f>AI34*VLOOKUP('Données projet'!$B$10,Paramètres!$A$1:$I$89,3,0)*VLOOKUP('Données projet'!$B$10,Paramètres!$A$1:$I$89,5,0)</f>
        <v>93.459599999999938</v>
      </c>
      <c r="AK34" s="13">
        <f t="shared" si="35"/>
        <v>25.397756714588024</v>
      </c>
      <c r="AL34" s="20">
        <f t="shared" si="4"/>
        <v>207.00989627790736</v>
      </c>
      <c r="AM34" s="59">
        <f t="shared" si="5"/>
        <v>500.34322961124064</v>
      </c>
      <c r="AN34" s="59">
        <f ca="1">AVERAGE(OFFSET($AM$3,0,0,'Données projet'!$E$10+1,1))-AVERAGE(OFFSET($H$3,0,0,'Données projet'!$E$10+1,1))</f>
        <v>402.38496642820587</v>
      </c>
      <c r="AO34" s="59">
        <f t="shared" si="36"/>
        <v>196.65158751478987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22.164459429976091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22.164459429976091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14.6</v>
      </c>
      <c r="BD34" s="12">
        <f>IF('Données projet'!$A$88&gt;35,BD33+BC34-BL33,IF(A34&lt;'Données projet'!$A$88,$BA$205^A34,IF(A34='Données projet'!$A$88,'Données projet'!$B$88,BD33+BC34-BL33)))</f>
        <v>174.60000000000005</v>
      </c>
      <c r="BE34" s="13">
        <f>BD34*VLOOKUP('Données projet'!$B$11,Paramètres!$A$1:$I$89,3,0)*VLOOKUP('Données projet'!$B$11,Paramètres!$A$1:$I$89,5,0)</f>
        <v>104.41080000000004</v>
      </c>
      <c r="BF34" s="13">
        <f t="shared" si="37"/>
        <v>28.010155571424168</v>
      </c>
      <c r="BG34" s="20">
        <f t="shared" si="7"/>
        <v>230.63316428689714</v>
      </c>
      <c r="BH34" s="59">
        <f t="shared" si="8"/>
        <v>523.96649762023048</v>
      </c>
      <c r="BI34" s="59">
        <f ca="1">AVERAGE(OFFSET($BH$3,0,0,'Données projet'!$E$11+1,1))-AVERAGE(OFFSET($H$3,0,0,'Données projet'!$E$11+1,1))</f>
        <v>257.96727373333601</v>
      </c>
      <c r="BJ34" s="59">
        <f t="shared" si="38"/>
        <v>194.52809733694494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12.786026915543784</v>
      </c>
      <c r="BR34" s="21">
        <f>EXP(-LN(2)/2)*BR33+(1-EXP(-LN(2)/2))/(LN(2)/2)*BL34*BO34*VLOOKUP('Données projet'!$B$11,Paramètres!$A$1:$I$89,3,0)*0.475*44/12</f>
        <v>7.2782133588987055</v>
      </c>
      <c r="BS34" s="22">
        <f t="shared" si="9"/>
        <v>20.06424027444249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355.23615781077405</v>
      </c>
      <c r="T35" s="59">
        <f t="shared" si="34"/>
        <v>448.84541017639367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23.292792530874703</v>
      </c>
      <c r="AB35" s="21">
        <f>EXP(-LN(2)/2)*AB34+(1-EXP(-LN(2)/2))/(LN(2)/2)*V35*Y35*VLOOKUP('Données projet'!$B$9,Paramètres!$A$1:$I$89,3,0)*0.475*44/12</f>
        <v>8.0438721947756378</v>
      </c>
      <c r="AC35" s="22">
        <f t="shared" si="3"/>
        <v>31.336664725650341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16.7</v>
      </c>
      <c r="AI35" s="13">
        <f>IF('Données projet'!$A$62&gt;35,AI34+AH35-AQ34,IF(A35&lt;'Données projet'!$A$62,$AF$205^A35,IF(A35='Données projet'!$A$62,'Données projet'!$B$62,AI34+AH35-AQ34)))</f>
        <v>216.39999999999986</v>
      </c>
      <c r="AJ35" s="13">
        <f>AI35*VLOOKUP('Données projet'!$B$10,Paramètres!$A$1:$I$89,3,0)*VLOOKUP('Données projet'!$B$10,Paramètres!$A$1:$I$89,5,0)</f>
        <v>101.27519999999994</v>
      </c>
      <c r="AK35" s="13">
        <f t="shared" si="35"/>
        <v>27.265571957289534</v>
      </c>
      <c r="AL35" s="20">
        <f t="shared" si="4"/>
        <v>223.8751778256125</v>
      </c>
      <c r="AM35" s="59">
        <f t="shared" si="5"/>
        <v>517.20851115894584</v>
      </c>
      <c r="AN35" s="59">
        <f ca="1">AVERAGE(OFFSET($AM$3,0,0,'Données projet'!$E$10+1,1))-AVERAGE(OFFSET($H$3,0,0,'Données projet'!$E$10+1,1))</f>
        <v>402.38496642820587</v>
      </c>
      <c r="AO35" s="59">
        <f t="shared" si="36"/>
        <v>196.65158751478987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21.558371121285131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21.558371121285131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14.6</v>
      </c>
      <c r="BD35" s="12">
        <f>IF('Données projet'!$A$88&gt;35,BD34+BC35-BL34,IF(A35&lt;'Données projet'!$A$88,$BA$205^A35,IF(A35='Données projet'!$A$88,'Données projet'!$B$88,BD34+BC35-BL34)))</f>
        <v>189.20000000000005</v>
      </c>
      <c r="BE35" s="13">
        <f>BD35*VLOOKUP('Données projet'!$B$11,Paramètres!$A$1:$I$89,3,0)*VLOOKUP('Données projet'!$B$11,Paramètres!$A$1:$I$89,5,0)</f>
        <v>113.14160000000004</v>
      </c>
      <c r="BF35" s="13">
        <f t="shared" si="37"/>
        <v>30.069952587742019</v>
      </c>
      <c r="BG35" s="20">
        <f t="shared" si="7"/>
        <v>249.42678742365072</v>
      </c>
      <c r="BH35" s="59">
        <f t="shared" si="8"/>
        <v>542.76012075698407</v>
      </c>
      <c r="BI35" s="59">
        <f ca="1">AVERAGE(OFFSET($BH$3,0,0,'Données projet'!$E$11+1,1))-AVERAGE(OFFSET($H$3,0,0,'Données projet'!$E$11+1,1))</f>
        <v>257.96727373333601</v>
      </c>
      <c r="BJ35" s="59">
        <f t="shared" si="38"/>
        <v>194.52809733694494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12.436392337150307</v>
      </c>
      <c r="BR35" s="21">
        <f>EXP(-LN(2)/2)*BR34+(1-EXP(-LN(2)/2))/(LN(2)/2)*BL35*BO35*VLOOKUP('Données projet'!$B$11,Paramètres!$A$1:$I$89,3,0)*0.475*44/12</f>
        <v>5.1464740209997943</v>
      </c>
      <c r="BS35" s="22">
        <f t="shared" si="9"/>
        <v>17.582866358150103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355.23615781077405</v>
      </c>
      <c r="T36" s="59">
        <f t="shared" si="34"/>
        <v>448.84541017639367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22.655849894203211</v>
      </c>
      <c r="AB36" s="21">
        <f>EXP(-LN(2)/2)*AB35+(1-EXP(-LN(2)/2))/(LN(2)/2)*V36*Y36*VLOOKUP('Données projet'!$B$9,Paramètres!$A$1:$I$89,3,0)*0.475*44/12</f>
        <v>5.687876575923771</v>
      </c>
      <c r="AC36" s="22">
        <f t="shared" si="3"/>
        <v>28.343726470126981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16.7</v>
      </c>
      <c r="AI36" s="13">
        <f>IF('Données projet'!$A$62&gt;35,AI35+AH36-AQ35,IF(A36&lt;'Données projet'!$A$62,$AF$205^A36,IF(A36='Données projet'!$A$62,'Données projet'!$B$62,AI35+AH36-AQ35)))</f>
        <v>233.09999999999985</v>
      </c>
      <c r="AJ36" s="13">
        <f>AI36*VLOOKUP('Données projet'!$B$10,Paramètres!$A$1:$I$89,3,0)*VLOOKUP('Données projet'!$B$10,Paramètres!$A$1:$I$89,5,0)</f>
        <v>109.09079999999993</v>
      </c>
      <c r="AK36" s="13">
        <f t="shared" si="35"/>
        <v>29.116666594885835</v>
      </c>
      <c r="AL36" s="20">
        <f t="shared" si="4"/>
        <v>240.7113376527594</v>
      </c>
      <c r="AM36" s="59">
        <f t="shared" si="5"/>
        <v>534.04467098609268</v>
      </c>
      <c r="AN36" s="59">
        <f ca="1">AVERAGE(OFFSET($AM$3,0,0,'Données projet'!$E$10+1,1))-AVERAGE(OFFSET($H$3,0,0,'Données projet'!$E$10+1,1))</f>
        <v>402.38496642820587</v>
      </c>
      <c r="AO36" s="59">
        <f t="shared" si="36"/>
        <v>196.65158751478987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20.968856329268124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20.968856329268124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14.6</v>
      </c>
      <c r="BD36" s="12">
        <f>IF('Données projet'!$A$88&gt;35,BD35+BC36-BL35,IF(A36&lt;'Données projet'!$A$88,$BA$205^A36,IF(A36='Données projet'!$A$88,'Données projet'!$B$88,BD35+BC36-BL35)))</f>
        <v>203.80000000000004</v>
      </c>
      <c r="BE36" s="13">
        <f>BD36*VLOOKUP('Données projet'!$B$11,Paramètres!$A$1:$I$89,3,0)*VLOOKUP('Données projet'!$B$11,Paramètres!$A$1:$I$89,5,0)</f>
        <v>121.87240000000003</v>
      </c>
      <c r="BF36" s="13">
        <f t="shared" si="37"/>
        <v>32.111311550408985</v>
      </c>
      <c r="BG36" s="20">
        <f t="shared" si="7"/>
        <v>268.1882976169623</v>
      </c>
      <c r="BH36" s="59">
        <f t="shared" si="8"/>
        <v>561.52163095029562</v>
      </c>
      <c r="BI36" s="59">
        <f ca="1">AVERAGE(OFFSET($BH$3,0,0,'Données projet'!$E$11+1,1))-AVERAGE(OFFSET($H$3,0,0,'Données projet'!$E$11+1,1))</f>
        <v>257.96727373333601</v>
      </c>
      <c r="BJ36" s="59">
        <f t="shared" si="38"/>
        <v>194.52809733694494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12.096318534689482</v>
      </c>
      <c r="BR36" s="21">
        <f>EXP(-LN(2)/2)*BR35+(1-EXP(-LN(2)/2))/(LN(2)/2)*BL36*BO36*VLOOKUP('Données projet'!$B$11,Paramètres!$A$1:$I$89,3,0)*0.475*44/12</f>
        <v>3.6391066794493532</v>
      </c>
      <c r="BS36" s="22">
        <f t="shared" si="9"/>
        <v>15.735425214138836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355.23615781077405</v>
      </c>
      <c r="T37" s="59">
        <f t="shared" si="34"/>
        <v>448.84541017639367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22.03632448742686</v>
      </c>
      <c r="AB37" s="21">
        <f>EXP(-LN(2)/2)*AB36+(1-EXP(-LN(2)/2))/(LN(2)/2)*V37*Y37*VLOOKUP('Données projet'!$B$9,Paramètres!$A$1:$I$89,3,0)*0.475*44/12</f>
        <v>4.0219360973878198</v>
      </c>
      <c r="AC37" s="22">
        <f t="shared" si="3"/>
        <v>26.058260584814679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16.7</v>
      </c>
      <c r="AI37" s="13">
        <f>IF('Données projet'!$A$62&gt;35,AI36+AH37-AQ36,IF(A37&lt;'Données projet'!$A$62,$AF$205^A37,IF(A37='Données projet'!$A$62,'Données projet'!$B$62,AI36+AH37-AQ36)))</f>
        <v>249.79999999999984</v>
      </c>
      <c r="AJ37" s="13">
        <f>AI37*VLOOKUP('Données projet'!$B$10,Paramètres!$A$1:$I$89,3,0)*VLOOKUP('Données projet'!$B$10,Paramètres!$A$1:$I$89,5,0)</f>
        <v>116.90639999999992</v>
      </c>
      <c r="AK37" s="13">
        <f t="shared" si="35"/>
        <v>30.952374784133685</v>
      </c>
      <c r="AL37" s="20">
        <f t="shared" si="4"/>
        <v>257.52069941569931</v>
      </c>
      <c r="AM37" s="59">
        <f t="shared" si="5"/>
        <v>550.85403274903263</v>
      </c>
      <c r="AN37" s="59">
        <f ca="1">AVERAGE(OFFSET($AM$3,0,0,'Données projet'!$E$10+1,1))-AVERAGE(OFFSET($H$3,0,0,'Données projet'!$E$10+1,1))</f>
        <v>402.38496642820587</v>
      </c>
      <c r="AO37" s="59">
        <f t="shared" si="36"/>
        <v>196.65158751478987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20.395461850240057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20.395461850240057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14.6</v>
      </c>
      <c r="BD37" s="12">
        <f>IF('Données projet'!$A$88&gt;35,BD36+BC37-BL36,IF(A37&lt;'Données projet'!$A$88,$BA$205^A37,IF(A37='Données projet'!$A$88,'Données projet'!$B$88,BD36+BC37-BL36)))</f>
        <v>218.40000000000003</v>
      </c>
      <c r="BE37" s="13">
        <f>BD37*VLOOKUP('Données projet'!$B$11,Paramètres!$A$1:$I$89,3,0)*VLOOKUP('Données projet'!$B$11,Paramètres!$A$1:$I$89,5,0)</f>
        <v>130.60320000000004</v>
      </c>
      <c r="BF37" s="13">
        <f t="shared" si="37"/>
        <v>34.135703567016428</v>
      </c>
      <c r="BG37" s="20">
        <f t="shared" si="7"/>
        <v>286.92025704588701</v>
      </c>
      <c r="BH37" s="59">
        <f t="shared" si="8"/>
        <v>580.25359037922033</v>
      </c>
      <c r="BI37" s="59">
        <f ca="1">AVERAGE(OFFSET($BH$3,0,0,'Données projet'!$E$11+1,1))-AVERAGE(OFFSET($H$3,0,0,'Données projet'!$E$11+1,1))</f>
        <v>257.96727373333601</v>
      </c>
      <c r="BJ37" s="59">
        <f t="shared" si="38"/>
        <v>194.52809733694494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11.765544068240652</v>
      </c>
      <c r="BR37" s="21">
        <f>EXP(-LN(2)/2)*BR36+(1-EXP(-LN(2)/2))/(LN(2)/2)*BL37*BO37*VLOOKUP('Données projet'!$B$11,Paramètres!$A$1:$I$89,3,0)*0.475*44/12</f>
        <v>2.5732370104998976</v>
      </c>
      <c r="BS37" s="22">
        <f t="shared" si="9"/>
        <v>14.338781078740549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355.23615781077405</v>
      </c>
      <c r="T38" s="59">
        <f t="shared" si="34"/>
        <v>448.84541017639367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0.11000000000000001</v>
      </c>
      <c r="X38" s="16">
        <f>IF(ISNA(VLOOKUP(A38,'Données projet'!$A$35:$I$55,6,0)),0%,VLOOKUP(A38,'Données projet'!$A$35:$I$55,6,0)*VLOOKUP('Données projet'!$B$9,Paramètres!$A$1:$I$89,7,0))</f>
        <v>0.22000000000000003</v>
      </c>
      <c r="Y38" s="16">
        <f>IF(ISNA(VLOOKUP(A38,'Données projet'!$A$35:$I$55,7,0)),0%,VLOOKUP(A38,'Données projet'!$A$35:$I$55,7,0))</f>
        <v>0.4</v>
      </c>
      <c r="Z38" s="21">
        <f>EXP(-LN(2)/35)*Z37+(1-EXP(-LN(2)/35))/(LN(2)/35)*V38*W38*VLOOKUP('Données projet'!$B$9,Paramètres!$A$1:$I$89,3,0)*0.475*44/12</f>
        <v>5.6283609371834364</v>
      </c>
      <c r="AA38" s="21">
        <f>EXP(-LN(2)/25)*AA37+(1-EXP(-LN(2)/25))/(LN(2)/25)*Calculateur!V38*Calculateur!X38*VLOOKUP('Données projet'!$B$9,Paramètres!$A$1:$I$89,3,0)*0.475*44/12</f>
        <v>32.646139906678428</v>
      </c>
      <c r="AB38" s="21">
        <f>EXP(-LN(2)/2)*AB37+(1-EXP(-LN(2)/2))/(LN(2)/2)*V38*Y38*VLOOKUP('Données projet'!$B$9,Paramètres!$A$1:$I$89,3,0)*0.475*44/12</f>
        <v>20.312471067119212</v>
      </c>
      <c r="AC38" s="22">
        <f t="shared" si="3"/>
        <v>58.586971910981077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16.7</v>
      </c>
      <c r="AI38" s="13">
        <f>IF('Données projet'!$A$62&gt;35,AI37+AH38-AQ37,IF(A38&lt;'Données projet'!$A$62,$AF$205^A38,IF(A38='Données projet'!$A$62,'Données projet'!$B$62,AI37+AH38-AQ37)))</f>
        <v>266.49999999999983</v>
      </c>
      <c r="AJ38" s="13">
        <f>AI38*VLOOKUP('Données projet'!$B$10,Paramètres!$A$1:$I$89,3,0)*VLOOKUP('Données projet'!$B$10,Paramètres!$A$1:$I$89,5,0)</f>
        <v>124.72199999999992</v>
      </c>
      <c r="AK38" s="13">
        <f t="shared" si="35"/>
        <v>32.773842203085991</v>
      </c>
      <c r="AL38" s="20">
        <f t="shared" si="4"/>
        <v>274.30525850370799</v>
      </c>
      <c r="AM38" s="59">
        <f t="shared" si="5"/>
        <v>567.6385918370413</v>
      </c>
      <c r="AN38" s="59">
        <f ca="1">AVERAGE(OFFSET($AM$3,0,0,'Données projet'!$E$10+1,1))-AVERAGE(OFFSET($H$3,0,0,'Données projet'!$E$10+1,1))</f>
        <v>402.38496642820587</v>
      </c>
      <c r="AO38" s="59">
        <f t="shared" si="36"/>
        <v>196.65158751478987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19.837746873394519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19.837746873394519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233</v>
      </c>
      <c r="BB38" s="12">
        <f>VLOOKUP(A38,'Données projet'!$A$87:$I$107,9,0)</f>
        <v>14.6</v>
      </c>
      <c r="BC38" s="12">
        <f t="array" ref="BC38">INDEX(BB:BB,MIN(IF(ISNUMBER(BB38:BB234),ROW(BB38:BB234),"")))</f>
        <v>14.6</v>
      </c>
      <c r="BD38" s="12">
        <f>IF('Données projet'!$A$88&gt;35,BD37+BC38-BL37,IF(A38&lt;'Données projet'!$A$88,$BA$205^A38,IF(A38='Données projet'!$A$88,'Données projet'!$B$88,BD37+BC38-BL37)))</f>
        <v>233.00000000000003</v>
      </c>
      <c r="BE38" s="13">
        <f>BD38*VLOOKUP('Données projet'!$B$11,Paramètres!$A$1:$I$89,3,0)*VLOOKUP('Données projet'!$B$11,Paramètres!$A$1:$I$89,5,0)</f>
        <v>139.33400000000003</v>
      </c>
      <c r="BF38" s="13">
        <f t="shared" si="37"/>
        <v>36.144391930570897</v>
      </c>
      <c r="BG38" s="20">
        <f t="shared" si="7"/>
        <v>305.62486594574438</v>
      </c>
      <c r="BH38" s="59">
        <f t="shared" si="8"/>
        <v>598.95819927907769</v>
      </c>
      <c r="BI38" s="59">
        <f ca="1">AVERAGE(OFFSET($BH$3,0,0,'Données projet'!$E$11+1,1))-AVERAGE(OFFSET($H$3,0,0,'Données projet'!$E$11+1,1))</f>
        <v>257.96727373333601</v>
      </c>
      <c r="BJ38" s="59">
        <f t="shared" si="38"/>
        <v>194.52809733694494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41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0.27</v>
      </c>
      <c r="BO38" s="16">
        <f>IF(ISNA(VLOOKUP(A38,'Données projet'!$A$87:$I$107,7,0)),0%,VLOOKUP(A38,'Données projet'!$A$87:$I$107,7,0))</f>
        <v>0.4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20.190908838246109</v>
      </c>
      <c r="BR38" s="21">
        <f>EXP(-LN(2)/2)*BR37+(1-EXP(-LN(2)/2))/(LN(2)/2)*BL38*BO38*VLOOKUP('Données projet'!$B$11,Paramètres!$A$1:$I$89,3,0)*0.475*44/12</f>
        <v>12.923581928026236</v>
      </c>
      <c r="BS38" s="22">
        <f t="shared" si="9"/>
        <v>33.114490766272347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355.23615781077405</v>
      </c>
      <c r="T39" s="59">
        <f t="shared" si="34"/>
        <v>448.84541017639367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5.5179922121664644</v>
      </c>
      <c r="AA39" s="21">
        <f>EXP(-LN(2)/25)*AA38+(1-EXP(-LN(2)/25))/(LN(2)/25)*Calculateur!V39*Calculateur!X39*VLOOKUP('Données projet'!$B$9,Paramètres!$A$1:$I$89,3,0)*0.475*44/12</f>
        <v>31.753429494144424</v>
      </c>
      <c r="AB39" s="21">
        <f>EXP(-LN(2)/2)*AB38+(1-EXP(-LN(2)/2))/(LN(2)/2)*V39*Y39*VLOOKUP('Données projet'!$B$9,Paramètres!$A$1:$I$89,3,0)*0.475*44/12</f>
        <v>14.363086034215543</v>
      </c>
      <c r="AC39" s="22">
        <f t="shared" si="3"/>
        <v>51.634507740526431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16.7</v>
      </c>
      <c r="AI39" s="13">
        <f>IF('Données projet'!$A$62&gt;35,AI38+AH39-AQ38,IF(A39&lt;'Données projet'!$A$62,$AF$205^A39,IF(A39='Données projet'!$A$62,'Données projet'!$B$62,AI38+AH39-AQ38)))</f>
        <v>283.19999999999982</v>
      </c>
      <c r="AJ39" s="13">
        <f>AI39*VLOOKUP('Données projet'!$B$10,Paramètres!$A$1:$I$89,3,0)*VLOOKUP('Données projet'!$B$10,Paramètres!$A$1:$I$89,5,0)</f>
        <v>132.53759999999991</v>
      </c>
      <c r="AK39" s="13">
        <f t="shared" si="35"/>
        <v>34.582062828129274</v>
      </c>
      <c r="AL39" s="20">
        <f t="shared" si="4"/>
        <v>291.06674609232499</v>
      </c>
      <c r="AM39" s="59">
        <f t="shared" si="5"/>
        <v>584.4000794256583</v>
      </c>
      <c r="AN39" s="59">
        <f ca="1">AVERAGE(OFFSET($AM$3,0,0,'Données projet'!$E$10+1,1))-AVERAGE(OFFSET($H$3,0,0,'Données projet'!$E$10+1,1))</f>
        <v>402.38496642820587</v>
      </c>
      <c r="AO39" s="59">
        <f t="shared" si="36"/>
        <v>196.65158751478987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19.295282641919776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19.295282641919776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14.4</v>
      </c>
      <c r="BD39" s="12">
        <f>IF('Données projet'!$A$88&gt;35,BD38+BC39-BL38,IF(A39&lt;'Données projet'!$A$88,$BA$205^A39,IF(A39='Données projet'!$A$88,'Données projet'!$B$88,BD38+BC39-BL38)))</f>
        <v>206.40000000000003</v>
      </c>
      <c r="BE39" s="13">
        <f>BD39*VLOOKUP('Données projet'!$B$11,Paramètres!$A$1:$I$89,3,0)*VLOOKUP('Données projet'!$B$11,Paramètres!$A$1:$I$89,5,0)</f>
        <v>123.42720000000003</v>
      </c>
      <c r="BF39" s="13">
        <f t="shared" si="37"/>
        <v>32.473022671122074</v>
      </c>
      <c r="BG39" s="20">
        <f t="shared" si="7"/>
        <v>271.5262211522043</v>
      </c>
      <c r="BH39" s="59">
        <f t="shared" si="8"/>
        <v>564.85955448553761</v>
      </c>
      <c r="BI39" s="59">
        <f ca="1">AVERAGE(OFFSET($BH$3,0,0,'Données projet'!$E$11+1,1))-AVERAGE(OFFSET($H$3,0,0,'Données projet'!$E$11+1,1))</f>
        <v>257.96727373333601</v>
      </c>
      <c r="BJ39" s="59">
        <f t="shared" si="38"/>
        <v>194.52809733694494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19.638787374270521</v>
      </c>
      <c r="BR39" s="21">
        <f>EXP(-LN(2)/2)*BR38+(1-EXP(-LN(2)/2))/(LN(2)/2)*BL39*BO39*VLOOKUP('Données projet'!$B$11,Paramètres!$A$1:$I$89,3,0)*0.475*44/12</f>
        <v>9.1383524185272673</v>
      </c>
      <c r="BS39" s="22">
        <f t="shared" si="9"/>
        <v>28.77713979279779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355.23615781077405</v>
      </c>
      <c r="T40" s="59">
        <f t="shared" si="34"/>
        <v>448.84541017639367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5.4097877505287997</v>
      </c>
      <c r="AA40" s="21">
        <f>EXP(-LN(2)/25)*AA39+(1-EXP(-LN(2)/25))/(LN(2)/25)*Calculateur!V40*Calculateur!X40*VLOOKUP('Données projet'!$B$9,Paramètres!$A$1:$I$89,3,0)*0.475*44/12</f>
        <v>30.885130294786762</v>
      </c>
      <c r="AB40" s="21">
        <f>EXP(-LN(2)/2)*AB39+(1-EXP(-LN(2)/2))/(LN(2)/2)*V40*Y40*VLOOKUP('Données projet'!$B$9,Paramètres!$A$1:$I$89,3,0)*0.475*44/12</f>
        <v>10.156235533559608</v>
      </c>
      <c r="AC40" s="22">
        <f t="shared" si="3"/>
        <v>46.451153578875171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16.7</v>
      </c>
      <c r="AI40" s="13">
        <f>IF('Données projet'!$A$62&gt;35,AI39+AH40-AQ39,IF(A40&lt;'Données projet'!$A$62,$AF$205^A40,IF(A40='Données projet'!$A$62,'Données projet'!$B$62,AI39+AH40-AQ39)))</f>
        <v>299.89999999999981</v>
      </c>
      <c r="AJ40" s="13">
        <f>AI40*VLOOKUP('Données projet'!$B$10,Paramètres!$A$1:$I$89,3,0)*VLOOKUP('Données projet'!$B$10,Paramètres!$A$1:$I$89,5,0)</f>
        <v>140.3531999999999</v>
      </c>
      <c r="AK40" s="13">
        <f t="shared" si="35"/>
        <v>36.377906785847173</v>
      </c>
      <c r="AL40" s="20">
        <f t="shared" si="4"/>
        <v>307.80667765201696</v>
      </c>
      <c r="AM40" s="59">
        <f t="shared" si="5"/>
        <v>601.14001098535027</v>
      </c>
      <c r="AN40" s="59">
        <f ca="1">AVERAGE(OFFSET($AM$3,0,0,'Données projet'!$E$10+1,1))-AVERAGE(OFFSET($H$3,0,0,'Données projet'!$E$10+1,1))</f>
        <v>402.38496642820587</v>
      </c>
      <c r="AO40" s="59">
        <f t="shared" si="36"/>
        <v>196.65158751478987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18.767652123381666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18.767652123381666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14.4</v>
      </c>
      <c r="BD40" s="12">
        <f>IF('Données projet'!$A$88&gt;35,BD39+BC40-BL39,IF(A40&lt;'Données projet'!$A$88,$BA$205^A40,IF(A40='Données projet'!$A$88,'Données projet'!$B$88,BD39+BC40-BL39)))</f>
        <v>220.80000000000004</v>
      </c>
      <c r="BE40" s="13">
        <f>BD40*VLOOKUP('Données projet'!$B$11,Paramètres!$A$1:$I$89,3,0)*VLOOKUP('Données projet'!$B$11,Paramètres!$A$1:$I$89,5,0)</f>
        <v>132.03840000000005</v>
      </c>
      <c r="BF40" s="13">
        <f t="shared" si="37"/>
        <v>34.466946374534373</v>
      </c>
      <c r="BG40" s="20">
        <f t="shared" si="7"/>
        <v>289.99681160231415</v>
      </c>
      <c r="BH40" s="59">
        <f t="shared" si="8"/>
        <v>583.33014493564747</v>
      </c>
      <c r="BI40" s="59">
        <f ca="1">AVERAGE(OFFSET($BH$3,0,0,'Données projet'!$E$11+1,1))-AVERAGE(OFFSET($H$3,0,0,'Données projet'!$E$11+1,1))</f>
        <v>257.96727373333601</v>
      </c>
      <c r="BJ40" s="59">
        <f t="shared" si="38"/>
        <v>194.52809733694494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19.101763700762152</v>
      </c>
      <c r="BR40" s="21">
        <f>EXP(-LN(2)/2)*BR39+(1-EXP(-LN(2)/2))/(LN(2)/2)*BL40*BO40*VLOOKUP('Données projet'!$B$11,Paramètres!$A$1:$I$89,3,0)*0.475*44/12</f>
        <v>6.4617909640131179</v>
      </c>
      <c r="BS40" s="22">
        <f t="shared" si="9"/>
        <v>25.563554664775271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355.23615781077405</v>
      </c>
      <c r="T41" s="59">
        <f t="shared" si="34"/>
        <v>448.84541017639367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5.3037051123856447</v>
      </c>
      <c r="AA41" s="21">
        <f>EXP(-LN(2)/25)*AA40+(1-EXP(-LN(2)/25))/(LN(2)/25)*Calculateur!V41*Calculateur!X41*VLOOKUP('Données projet'!$B$9,Paramètres!$A$1:$I$89,3,0)*0.475*44/12</f>
        <v>30.040574782697405</v>
      </c>
      <c r="AB41" s="21">
        <f>EXP(-LN(2)/2)*AB40+(1-EXP(-LN(2)/2))/(LN(2)/2)*V41*Y41*VLOOKUP('Données projet'!$B$9,Paramètres!$A$1:$I$89,3,0)*0.475*44/12</f>
        <v>7.1815430171077725</v>
      </c>
      <c r="AC41" s="22">
        <f t="shared" si="3"/>
        <v>42.525822912190819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16.7</v>
      </c>
      <c r="AI41" s="13">
        <f>IF('Données projet'!$A$62&gt;35,AI40+AH41-AQ40,IF(A41&lt;'Données projet'!$A$62,$AF$205^A41,IF(A41='Données projet'!$A$62,'Données projet'!$B$62,AI40+AH41-AQ40)))</f>
        <v>316.5999999999998</v>
      </c>
      <c r="AJ41" s="13">
        <f>AI41*VLOOKUP('Données projet'!$B$10,Paramètres!$A$1:$I$89,3,0)*VLOOKUP('Données projet'!$B$10,Paramètres!$A$1:$I$89,5,0)</f>
        <v>148.16879999999992</v>
      </c>
      <c r="AK41" s="13">
        <f t="shared" si="35"/>
        <v>38.162141823236617</v>
      </c>
      <c r="AL41" s="20">
        <f t="shared" si="4"/>
        <v>324.52639034213695</v>
      </c>
      <c r="AM41" s="59">
        <f t="shared" si="5"/>
        <v>617.85972367547026</v>
      </c>
      <c r="AN41" s="59">
        <f ca="1">AVERAGE(OFFSET($AM$3,0,0,'Données projet'!$E$10+1,1))-AVERAGE(OFFSET($H$3,0,0,'Données projet'!$E$10+1,1))</f>
        <v>402.38496642820587</v>
      </c>
      <c r="AO41" s="59">
        <f t="shared" si="36"/>
        <v>196.65158751478987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18.254449689119863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18.254449689119863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14.4</v>
      </c>
      <c r="BD41" s="12">
        <f>IF('Données projet'!$A$88&gt;35,BD40+BC41-BL40,IF(A41&lt;'Données projet'!$A$88,$BA$205^A41,IF(A41='Données projet'!$A$88,'Données projet'!$B$88,BD40+BC41-BL40)))</f>
        <v>235.20000000000005</v>
      </c>
      <c r="BE41" s="13">
        <f>BD41*VLOOKUP('Données projet'!$B$11,Paramètres!$A$1:$I$89,3,0)*VLOOKUP('Données projet'!$B$11,Paramètres!$A$1:$I$89,5,0)</f>
        <v>140.64960000000002</v>
      </c>
      <c r="BF41" s="13">
        <f t="shared" si="37"/>
        <v>36.445779615258601</v>
      </c>
      <c r="BG41" s="20">
        <f t="shared" si="7"/>
        <v>308.44111949657542</v>
      </c>
      <c r="BH41" s="59">
        <f t="shared" si="8"/>
        <v>601.7744528299088</v>
      </c>
      <c r="BI41" s="59">
        <f ca="1">AVERAGE(OFFSET($BH$3,0,0,'Données projet'!$E$11+1,1))-AVERAGE(OFFSET($H$3,0,0,'Données projet'!$E$11+1,1))</f>
        <v>257.96727373333601</v>
      </c>
      <c r="BJ41" s="59">
        <f t="shared" si="38"/>
        <v>194.52809733694494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18.579424967846716</v>
      </c>
      <c r="BR41" s="21">
        <f>EXP(-LN(2)/2)*BR40+(1-EXP(-LN(2)/2))/(LN(2)/2)*BL41*BO41*VLOOKUP('Données projet'!$B$11,Paramètres!$A$1:$I$89,3,0)*0.475*44/12</f>
        <v>4.5691762092636337</v>
      </c>
      <c r="BS41" s="22">
        <f t="shared" si="9"/>
        <v>23.148601177110351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355.23615781077405</v>
      </c>
      <c r="T42" s="59">
        <f t="shared" si="34"/>
        <v>448.84541017639367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5.1997026900724572</v>
      </c>
      <c r="AA42" s="21">
        <f>EXP(-LN(2)/25)*AA41+(1-EXP(-LN(2)/25))/(LN(2)/25)*Calculateur!V42*Calculateur!X42*VLOOKUP('Données projet'!$B$9,Paramètres!$A$1:$I$89,3,0)*0.475*44/12</f>
        <v>29.219113685499376</v>
      </c>
      <c r="AB42" s="21">
        <f>EXP(-LN(2)/2)*AB41+(1-EXP(-LN(2)/2))/(LN(2)/2)*V42*Y42*VLOOKUP('Données projet'!$B$9,Paramètres!$A$1:$I$89,3,0)*0.475*44/12</f>
        <v>5.0781177667798048</v>
      </c>
      <c r="AC42" s="22">
        <f t="shared" si="3"/>
        <v>39.496934142351641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16.7</v>
      </c>
      <c r="AI42" s="13">
        <f>IF('Données projet'!$A$62&gt;35,AI41+AH42-AQ41,IF(A42&lt;'Données projet'!$A$62,$AF$205^A42,IF(A42='Données projet'!$A$62,'Données projet'!$B$62,AI41+AH42-AQ41)))</f>
        <v>333.29999999999978</v>
      </c>
      <c r="AJ42" s="13">
        <f>AI42*VLOOKUP('Données projet'!$B$10,Paramètres!$A$1:$I$89,3,0)*VLOOKUP('Données projet'!$B$10,Paramètres!$A$1:$I$89,5,0)</f>
        <v>155.98439999999988</v>
      </c>
      <c r="AK42" s="13">
        <f t="shared" si="35"/>
        <v>39.935450118629277</v>
      </c>
      <c r="AL42" s="20">
        <f t="shared" si="4"/>
        <v>341.22707228994574</v>
      </c>
      <c r="AM42" s="59">
        <f t="shared" si="5"/>
        <v>634.56040562327905</v>
      </c>
      <c r="AN42" s="59">
        <f ca="1">AVERAGE(OFFSET($AM$3,0,0,'Données projet'!$E$10+1,1))-AVERAGE(OFFSET($H$3,0,0,'Données projet'!$E$10+1,1))</f>
        <v>402.38496642820587</v>
      </c>
      <c r="AO42" s="59">
        <f t="shared" si="36"/>
        <v>196.65158751478987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17.755280802411093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17.755280802411093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14.4</v>
      </c>
      <c r="BD42" s="12">
        <f>IF('Données projet'!$A$88&gt;35,BD41+BC42-BL41,IF(A42&lt;'Données projet'!$A$88,$BA$205^A42,IF(A42='Données projet'!$A$88,'Données projet'!$B$88,BD41+BC42-BL41)))</f>
        <v>249.60000000000005</v>
      </c>
      <c r="BE42" s="13">
        <f>BD42*VLOOKUP('Données projet'!$B$11,Paramètres!$A$1:$I$89,3,0)*VLOOKUP('Données projet'!$B$11,Paramètres!$A$1:$I$89,5,0)</f>
        <v>149.26080000000005</v>
      </c>
      <c r="BF42" s="13">
        <f t="shared" si="37"/>
        <v>38.410551499792909</v>
      </c>
      <c r="BG42" s="20">
        <f t="shared" si="7"/>
        <v>326.86093719547273</v>
      </c>
      <c r="BH42" s="59">
        <f t="shared" si="8"/>
        <v>620.1942705288061</v>
      </c>
      <c r="BI42" s="59">
        <f ca="1">AVERAGE(OFFSET($BH$3,0,0,'Données projet'!$E$11+1,1))-AVERAGE(OFFSET($H$3,0,0,'Données projet'!$E$11+1,1))</f>
        <v>257.96727373333601</v>
      </c>
      <c r="BJ42" s="59">
        <f t="shared" si="38"/>
        <v>194.52809733694494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18.071369615051452</v>
      </c>
      <c r="BR42" s="21">
        <f>EXP(-LN(2)/2)*BR41+(1-EXP(-LN(2)/2))/(LN(2)/2)*BL42*BO42*VLOOKUP('Données projet'!$B$11,Paramètres!$A$1:$I$89,3,0)*0.475*44/12</f>
        <v>3.230895482006559</v>
      </c>
      <c r="BS42" s="22">
        <f t="shared" si="9"/>
        <v>21.302265097058012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355.23615781077405</v>
      </c>
      <c r="T43" s="59">
        <f t="shared" si="34"/>
        <v>448.84541017639367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0.22000000000000003</v>
      </c>
      <c r="X43" s="16">
        <f>IF(ISNA(VLOOKUP(A43,'Données projet'!$A$35:$I$55,6,0)),0%,VLOOKUP(A43,'Données projet'!$A$35:$I$55,6,0)*VLOOKUP('Données projet'!$B$9,Paramètres!$A$1:$I$89,7,0))</f>
        <v>0.16500000000000001</v>
      </c>
      <c r="Y43" s="16">
        <f>IF(ISNA(VLOOKUP(A43,'Données projet'!$A$35:$I$55,7,0)),0%,VLOOKUP(A43,'Données projet'!$A$35:$I$55,7,0))</f>
        <v>0.3</v>
      </c>
      <c r="Z43" s="21">
        <f>EXP(-LN(2)/35)*Z42+(1-EXP(-LN(2)/35))/(LN(2)/35)*V43*W43*VLOOKUP('Données projet'!$B$9,Paramètres!$A$1:$I$89,3,0)*0.475*44/12</f>
        <v>16.843884256382353</v>
      </c>
      <c r="AA43" s="21">
        <f>EXP(-LN(2)/25)*AA42+(1-EXP(-LN(2)/25))/(LN(2)/25)*Calculateur!V43*Calculateur!X43*VLOOKUP('Données projet'!$B$9,Paramètres!$A$1:$I$89,3,0)*0.475*44/12</f>
        <v>37.195037123533574</v>
      </c>
      <c r="AB43" s="21">
        <f>EXP(-LN(2)/2)*AB42+(1-EXP(-LN(2)/2))/(LN(2)/2)*V43*Y43*VLOOKUP('Données projet'!$B$9,Paramètres!$A$1:$I$89,3,0)*0.475*44/12</f>
        <v>17.261797161807444</v>
      </c>
      <c r="AC43" s="22">
        <f t="shared" si="3"/>
        <v>71.30071854172337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350</v>
      </c>
      <c r="AG43" s="12">
        <f>VLOOKUP(A43,'Données projet'!$A$61:$I$81,9,0)</f>
        <v>16.7</v>
      </c>
      <c r="AH43" s="12">
        <f t="array" ref="AH43">INDEX(AG:AG,MIN(IF(ISNUMBER(AG43:AG239),ROW(AG43:AG239),"")))</f>
        <v>16.7</v>
      </c>
      <c r="AI43" s="13">
        <f>IF('Données projet'!$A$62&gt;35,AI42+AH43-AQ42,IF(A43&lt;'Données projet'!$A$62,$AF$205^A43,IF(A43='Données projet'!$A$62,'Données projet'!$B$62,AI42+AH43-AQ42)))</f>
        <v>349.99999999999977</v>
      </c>
      <c r="AJ43" s="13">
        <f>AI43*VLOOKUP('Données projet'!$B$10,Paramètres!$A$1:$I$89,3,0)*VLOOKUP('Données projet'!$B$10,Paramètres!$A$1:$I$89,5,0)</f>
        <v>163.7999999999999</v>
      </c>
      <c r="AK43" s="13">
        <f t="shared" si="35"/>
        <v>41.698441627605291</v>
      </c>
      <c r="AL43" s="20">
        <f t="shared" si="4"/>
        <v>357.90978583474566</v>
      </c>
      <c r="AM43" s="59">
        <f t="shared" si="5"/>
        <v>651.24311916807892</v>
      </c>
      <c r="AN43" s="59">
        <f ca="1">AVERAGE(OFFSET($AM$3,0,0,'Données projet'!$E$10+1,1))-AVERAGE(OFFSET($H$3,0,0,'Données projet'!$E$10+1,1))</f>
        <v>402.38496642820587</v>
      </c>
      <c r="AO43" s="59">
        <f t="shared" si="36"/>
        <v>196.65158751478987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0.55000000000000004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41.077688640862661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41.077688640862661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264</v>
      </c>
      <c r="BB43" s="12">
        <f>VLOOKUP(A43,'Données projet'!$A$87:$I$107,9,0)</f>
        <v>14.4</v>
      </c>
      <c r="BC43" s="12">
        <f t="array" ref="BC43">INDEX(BB:BB,MIN(IF(ISNUMBER(BB43:BB239),ROW(BB43:BB239),"")))</f>
        <v>14.4</v>
      </c>
      <c r="BD43" s="12">
        <f>IF('Données projet'!$A$88&gt;35,BD42+BC43-BL42,IF(A43&lt;'Données projet'!$A$88,$BA$205^A43,IF(A43='Données projet'!$A$88,'Données projet'!$B$88,BD42+BC43-BL42)))</f>
        <v>264.00000000000006</v>
      </c>
      <c r="BE43" s="13">
        <f>BD43*VLOOKUP('Données projet'!$B$11,Paramètres!$A$1:$I$89,3,0)*VLOOKUP('Données projet'!$B$11,Paramètres!$A$1:$I$89,5,0)</f>
        <v>157.87200000000004</v>
      </c>
      <c r="BF43" s="13">
        <f t="shared" si="37"/>
        <v>40.362165684361159</v>
      </c>
      <c r="BG43" s="20">
        <f t="shared" si="7"/>
        <v>345.25783856692902</v>
      </c>
      <c r="BH43" s="59">
        <f t="shared" si="8"/>
        <v>638.59117190026234</v>
      </c>
      <c r="BI43" s="59">
        <f ca="1">AVERAGE(OFFSET($BH$3,0,0,'Données projet'!$E$11+1,1))-AVERAGE(OFFSET($H$3,0,0,'Données projet'!$E$11+1,1))</f>
        <v>257.96727373333601</v>
      </c>
      <c r="BJ43" s="59">
        <f t="shared" si="38"/>
        <v>194.52809733694494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41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0.27</v>
      </c>
      <c r="BO43" s="16">
        <f>IF(ISNA(VLOOKUP(A43,'Données projet'!$A$87:$I$107,7,0)),0%,VLOOKUP(A43,'Données projet'!$A$87:$I$107,7,0))</f>
        <v>0.4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26.324301253870416</v>
      </c>
      <c r="BR43" s="21">
        <f>EXP(-LN(2)/2)*BR42+(1-EXP(-LN(2)/2))/(LN(2)/2)*BL43*BO43*VLOOKUP('Données projet'!$B$11,Paramètres!$A$1:$I$89,3,0)*0.475*44/12</f>
        <v>13.388616692933375</v>
      </c>
      <c r="BS43" s="22">
        <f t="shared" si="9"/>
        <v>39.712917946803792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355.23615781077405</v>
      </c>
      <c r="T44" s="59">
        <f t="shared" si="34"/>
        <v>448.84541017639367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16.513585959869641</v>
      </c>
      <c r="AA44" s="21">
        <f>EXP(-LN(2)/25)*AA43+(1-EXP(-LN(2)/25))/(LN(2)/25)*Calculateur!V44*Calculateur!X44*VLOOKUP('Données projet'!$B$9,Paramètres!$A$1:$I$89,3,0)*0.475*44/12</f>
        <v>36.177936877388554</v>
      </c>
      <c r="AB44" s="21">
        <f>EXP(-LN(2)/2)*AB43+(1-EXP(-LN(2)/2))/(LN(2)/2)*V44*Y44*VLOOKUP('Données projet'!$B$9,Paramètres!$A$1:$I$89,3,0)*0.475*44/12</f>
        <v>12.205933828580743</v>
      </c>
      <c r="AC44" s="22">
        <f t="shared" si="3"/>
        <v>64.897456665838931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18.5</v>
      </c>
      <c r="AI44" s="13">
        <f>IF('Données projet'!$A$62&gt;35,AI43+AH44-AQ43,IF(A44&lt;'Données projet'!$A$62,$AF$205^A44,IF(A44='Données projet'!$A$62,'Données projet'!$B$62,AI43+AH44-AQ43)))</f>
        <v>298.49999999999977</v>
      </c>
      <c r="AJ44" s="13">
        <f>AI44*VLOOKUP('Données projet'!$B$10,Paramètres!$A$1:$I$89,3,0)*VLOOKUP('Données projet'!$B$10,Paramètres!$A$1:$I$89,5,0)</f>
        <v>139.69799999999989</v>
      </c>
      <c r="AK44" s="13">
        <f t="shared" si="35"/>
        <v>36.227812843101347</v>
      </c>
      <c r="AL44" s="20">
        <f t="shared" si="4"/>
        <v>306.40412403506804</v>
      </c>
      <c r="AM44" s="59">
        <f t="shared" si="5"/>
        <v>599.73745736840135</v>
      </c>
      <c r="AN44" s="59">
        <f ca="1">AVERAGE(OFFSET($AM$3,0,0,'Données projet'!$E$10+1,1))-AVERAGE(OFFSET($H$3,0,0,'Données projet'!$E$10+1,1))</f>
        <v>402.38496642820587</v>
      </c>
      <c r="AO44" s="59">
        <f t="shared" si="36"/>
        <v>196.65158751478987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39.954417084796511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39.954417084796511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19</v>
      </c>
      <c r="BD44" s="12">
        <f>IF('Données projet'!$A$88&gt;35,BD43+BC44-BL43,IF(A44&lt;'Données projet'!$A$88,$BA$205^A44,IF(A44='Données projet'!$A$88,'Données projet'!$B$88,BD43+BC44-BL43)))</f>
        <v>242.00000000000006</v>
      </c>
      <c r="BE44" s="13">
        <f>BD44*VLOOKUP('Données projet'!$B$11,Paramètres!$A$1:$I$89,3,0)*VLOOKUP('Données projet'!$B$11,Paramètres!$A$1:$I$89,5,0)</f>
        <v>144.71600000000007</v>
      </c>
      <c r="BF44" s="13">
        <f t="shared" si="37"/>
        <v>37.375282885096105</v>
      </c>
      <c r="BG44" s="20">
        <f t="shared" si="7"/>
        <v>317.14231769154247</v>
      </c>
      <c r="BH44" s="59">
        <f t="shared" si="8"/>
        <v>610.47565102487579</v>
      </c>
      <c r="BI44" s="59">
        <f ca="1">AVERAGE(OFFSET($BH$3,0,0,'Données projet'!$E$11+1,1))-AVERAGE(OFFSET($H$3,0,0,'Données projet'!$E$11+1,1))</f>
        <v>257.96727373333601</v>
      </c>
      <c r="BJ44" s="59">
        <f t="shared" si="38"/>
        <v>194.52809733694494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25.604461851748493</v>
      </c>
      <c r="BR44" s="21">
        <f>EXP(-LN(2)/2)*BR43+(1-EXP(-LN(2)/2))/(LN(2)/2)*BL44*BO44*VLOOKUP('Données projet'!$B$11,Paramètres!$A$1:$I$89,3,0)*0.475*44/12</f>
        <v>9.4671816542805978</v>
      </c>
      <c r="BS44" s="22">
        <f t="shared" si="9"/>
        <v>35.071643506029091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355.23615781077405</v>
      </c>
      <c r="T45" s="59">
        <f t="shared" si="34"/>
        <v>448.84541017639367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16.189764611489476</v>
      </c>
      <c r="AA45" s="21">
        <f>EXP(-LN(2)/25)*AA44+(1-EXP(-LN(2)/25))/(LN(2)/25)*Calculateur!V45*Calculateur!X45*VLOOKUP('Données projet'!$B$9,Paramètres!$A$1:$I$89,3,0)*0.475*44/12</f>
        <v>35.188649290961351</v>
      </c>
      <c r="AB45" s="21">
        <f>EXP(-LN(2)/2)*AB44+(1-EXP(-LN(2)/2))/(LN(2)/2)*V45*Y45*VLOOKUP('Données projet'!$B$9,Paramètres!$A$1:$I$89,3,0)*0.475*44/12</f>
        <v>8.6308985809037235</v>
      </c>
      <c r="AC45" s="22">
        <f t="shared" si="3"/>
        <v>60.009312483354556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18.5</v>
      </c>
      <c r="AI45" s="13">
        <f>IF('Données projet'!$A$62&gt;35,AI44+AH45-AQ44,IF(A45&lt;'Données projet'!$A$62,$AF$205^A45,IF(A45='Données projet'!$A$62,'Données projet'!$B$62,AI44+AH45-AQ44)))</f>
        <v>316.99999999999977</v>
      </c>
      <c r="AJ45" s="13">
        <f>AI45*VLOOKUP('Données projet'!$B$10,Paramètres!$A$1:$I$89,3,0)*VLOOKUP('Données projet'!$B$10,Paramètres!$A$1:$I$89,5,0)</f>
        <v>148.35599999999991</v>
      </c>
      <c r="AK45" s="13">
        <f t="shared" si="35"/>
        <v>38.20474143182858</v>
      </c>
      <c r="AL45" s="20">
        <f t="shared" si="4"/>
        <v>324.92662466043458</v>
      </c>
      <c r="AM45" s="59">
        <f t="shared" si="5"/>
        <v>618.2599579937679</v>
      </c>
      <c r="AN45" s="59">
        <f ca="1">AVERAGE(OFFSET($AM$3,0,0,'Données projet'!$E$10+1,1))-AVERAGE(OFFSET($H$3,0,0,'Données projet'!$E$10+1,1))</f>
        <v>402.38496642820587</v>
      </c>
      <c r="AO45" s="59">
        <f t="shared" si="36"/>
        <v>196.65158751478987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38.861861448501273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38.861861448501273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19</v>
      </c>
      <c r="BD45" s="12">
        <f>IF('Données projet'!$A$88&gt;35,BD44+BC45-BL44,IF(A45&lt;'Données projet'!$A$88,$BA$205^A45,IF(A45='Données projet'!$A$88,'Données projet'!$B$88,BD44+BC45-BL44)))</f>
        <v>261.00000000000006</v>
      </c>
      <c r="BE45" s="13">
        <f>BD45*VLOOKUP('Données projet'!$B$11,Paramètres!$A$1:$I$89,3,0)*VLOOKUP('Données projet'!$B$11,Paramètres!$A$1:$I$89,5,0)</f>
        <v>156.07800000000003</v>
      </c>
      <c r="BF45" s="13">
        <f t="shared" si="37"/>
        <v>39.956623674978466</v>
      </c>
      <c r="BG45" s="20">
        <f t="shared" si="7"/>
        <v>341.42696956725422</v>
      </c>
      <c r="BH45" s="59">
        <f t="shared" si="8"/>
        <v>634.76030290058748</v>
      </c>
      <c r="BI45" s="59">
        <f ca="1">AVERAGE(OFFSET($BH$3,0,0,'Données projet'!$E$11+1,1))-AVERAGE(OFFSET($H$3,0,0,'Données projet'!$E$11+1,1))</f>
        <v>257.96727373333601</v>
      </c>
      <c r="BJ45" s="59">
        <f t="shared" si="38"/>
        <v>194.52809733694494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24.9043064959323</v>
      </c>
      <c r="BR45" s="21">
        <f>EXP(-LN(2)/2)*BR44+(1-EXP(-LN(2)/2))/(LN(2)/2)*BL45*BO45*VLOOKUP('Données projet'!$B$11,Paramètres!$A$1:$I$89,3,0)*0.475*44/12</f>
        <v>6.6943083464666877</v>
      </c>
      <c r="BS45" s="22">
        <f t="shared" si="9"/>
        <v>31.598614842398987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355.23615781077405</v>
      </c>
      <c r="T46" s="59">
        <f t="shared" si="34"/>
        <v>448.84541017639367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15.872293202239527</v>
      </c>
      <c r="AA46" s="21">
        <f>EXP(-LN(2)/25)*AA45+(1-EXP(-LN(2)/25))/(LN(2)/25)*Calculateur!V46*Calculateur!X46*VLOOKUP('Données projet'!$B$9,Paramètres!$A$1:$I$89,3,0)*0.475*44/12</f>
        <v>34.22641382560937</v>
      </c>
      <c r="AB46" s="21">
        <f>EXP(-LN(2)/2)*AB45+(1-EXP(-LN(2)/2))/(LN(2)/2)*V46*Y46*VLOOKUP('Données projet'!$B$9,Paramètres!$A$1:$I$89,3,0)*0.475*44/12</f>
        <v>6.1029669142903735</v>
      </c>
      <c r="AC46" s="22">
        <f t="shared" si="3"/>
        <v>56.201673942139266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18.5</v>
      </c>
      <c r="AI46" s="13">
        <f>IF('Données projet'!$A$62&gt;35,AI45+AH46-AQ45,IF(A46&lt;'Données projet'!$A$62,$AF$205^A46,IF(A46='Données projet'!$A$62,'Données projet'!$B$62,AI45+AH46-AQ45)))</f>
        <v>335.49999999999977</v>
      </c>
      <c r="AJ46" s="13">
        <f>AI46*VLOOKUP('Données projet'!$B$10,Paramètres!$A$1:$I$89,3,0)*VLOOKUP('Données projet'!$B$10,Paramètres!$A$1:$I$89,5,0)</f>
        <v>157.0139999999999</v>
      </c>
      <c r="AK46" s="13">
        <f t="shared" si="35"/>
        <v>40.168278112836148</v>
      </c>
      <c r="AL46" s="20">
        <f t="shared" si="4"/>
        <v>343.42580104652279</v>
      </c>
      <c r="AM46" s="59">
        <f t="shared" si="5"/>
        <v>636.75913437985605</v>
      </c>
      <c r="AN46" s="59">
        <f ca="1">AVERAGE(OFFSET($AM$3,0,0,'Données projet'!$E$10+1,1))-AVERAGE(OFFSET($H$3,0,0,'Données projet'!$E$10+1,1))</f>
        <v>402.38496642820587</v>
      </c>
      <c r="AO46" s="59">
        <f t="shared" si="36"/>
        <v>196.65158751478987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37.799181803535532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37.799181803535532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19</v>
      </c>
      <c r="BD46" s="12">
        <f>IF('Données projet'!$A$88&gt;35,BD45+BC46-BL45,IF(A46&lt;'Données projet'!$A$88,$BA$205^A46,IF(A46='Données projet'!$A$88,'Données projet'!$B$88,BD45+BC46-BL45)))</f>
        <v>280.00000000000006</v>
      </c>
      <c r="BE46" s="13">
        <f>BD46*VLOOKUP('Données projet'!$B$11,Paramètres!$A$1:$I$89,3,0)*VLOOKUP('Données projet'!$B$11,Paramètres!$A$1:$I$89,5,0)</f>
        <v>167.44000000000005</v>
      </c>
      <c r="BF46" s="13">
        <f t="shared" si="37"/>
        <v>42.516163405082935</v>
      </c>
      <c r="BG46" s="20">
        <f t="shared" si="7"/>
        <v>365.67365126385283</v>
      </c>
      <c r="BH46" s="59">
        <f t="shared" si="8"/>
        <v>659.00698459718615</v>
      </c>
      <c r="BI46" s="59">
        <f ca="1">AVERAGE(OFFSET($BH$3,0,0,'Données projet'!$E$11+1,1))-AVERAGE(OFFSET($H$3,0,0,'Données projet'!$E$11+1,1))</f>
        <v>257.96727373333601</v>
      </c>
      <c r="BJ46" s="59">
        <f t="shared" si="38"/>
        <v>194.52809733694494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24.22329692514047</v>
      </c>
      <c r="BR46" s="21">
        <f>EXP(-LN(2)/2)*BR45+(1-EXP(-LN(2)/2))/(LN(2)/2)*BL46*BO46*VLOOKUP('Données projet'!$B$11,Paramètres!$A$1:$I$89,3,0)*0.475*44/12</f>
        <v>4.7335908271402989</v>
      </c>
      <c r="BS46" s="22">
        <f t="shared" si="9"/>
        <v>28.956887752280771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355.23615781077405</v>
      </c>
      <c r="T47" s="59">
        <f t="shared" si="34"/>
        <v>448.84541017639367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15.56104721368653</v>
      </c>
      <c r="AA47" s="21">
        <f>EXP(-LN(2)/25)*AA46+(1-EXP(-LN(2)/25))/(LN(2)/25)*Calculateur!V47*Calculateur!X47*VLOOKUP('Données projet'!$B$9,Paramètres!$A$1:$I$89,3,0)*0.475*44/12</f>
        <v>33.290490739659205</v>
      </c>
      <c r="AB47" s="21">
        <f>EXP(-LN(2)/2)*AB46+(1-EXP(-LN(2)/2))/(LN(2)/2)*V47*Y47*VLOOKUP('Données projet'!$B$9,Paramètres!$A$1:$I$89,3,0)*0.475*44/12</f>
        <v>4.3154492904518627</v>
      </c>
      <c r="AC47" s="22">
        <f t="shared" si="3"/>
        <v>53.166987243797593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18.5</v>
      </c>
      <c r="AI47" s="13">
        <f>IF('Données projet'!$A$62&gt;35,AI46+AH47-AQ46,IF(A47&lt;'Données projet'!$A$62,$AF$205^A47,IF(A47='Données projet'!$A$62,'Données projet'!$B$62,AI46+AH47-AQ46)))</f>
        <v>353.99999999999977</v>
      </c>
      <c r="AJ47" s="13">
        <f>AI47*VLOOKUP('Données projet'!$B$10,Paramètres!$A$1:$I$89,3,0)*VLOOKUP('Données projet'!$B$10,Paramètres!$A$1:$I$89,5,0)</f>
        <v>165.67199999999988</v>
      </c>
      <c r="AK47" s="13">
        <f t="shared" si="35"/>
        <v>42.119245508815517</v>
      </c>
      <c r="AL47" s="20">
        <f t="shared" si="4"/>
        <v>361.90308592785345</v>
      </c>
      <c r="AM47" s="59">
        <f t="shared" si="5"/>
        <v>655.23641926118671</v>
      </c>
      <c r="AN47" s="59">
        <f ca="1">AVERAGE(OFFSET($AM$3,0,0,'Données projet'!$E$10+1,1))-AVERAGE(OFFSET($H$3,0,0,'Données projet'!$E$10+1,1))</f>
        <v>402.38496642820587</v>
      </c>
      <c r="AO47" s="59">
        <f t="shared" si="36"/>
        <v>196.65158751478987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36.76556118934527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36.76556118934527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19</v>
      </c>
      <c r="BD47" s="12">
        <f>IF('Données projet'!$A$88&gt;35,BD46+BC47-BL46,IF(A47&lt;'Données projet'!$A$88,$BA$205^A47,IF(A47='Données projet'!$A$88,'Données projet'!$B$88,BD46+BC47-BL46)))</f>
        <v>299.00000000000006</v>
      </c>
      <c r="BE47" s="13">
        <f>BD47*VLOOKUP('Données projet'!$B$11,Paramètres!$A$1:$I$89,3,0)*VLOOKUP('Données projet'!$B$11,Paramètres!$A$1:$I$89,5,0)</f>
        <v>178.80200000000002</v>
      </c>
      <c r="BF47" s="13">
        <f t="shared" si="37"/>
        <v>45.055549739375941</v>
      </c>
      <c r="BG47" s="20">
        <f t="shared" si="7"/>
        <v>389.88523246274644</v>
      </c>
      <c r="BH47" s="59">
        <f t="shared" si="8"/>
        <v>683.2185657960797</v>
      </c>
      <c r="BI47" s="59">
        <f ca="1">AVERAGE(OFFSET($BH$3,0,0,'Données projet'!$E$11+1,1))-AVERAGE(OFFSET($H$3,0,0,'Données projet'!$E$11+1,1))</f>
        <v>257.96727373333601</v>
      </c>
      <c r="BJ47" s="59">
        <f t="shared" si="38"/>
        <v>194.52809733694494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23.560909596874684</v>
      </c>
      <c r="BR47" s="21">
        <f>EXP(-LN(2)/2)*BR46+(1-EXP(-LN(2)/2))/(LN(2)/2)*BL47*BO47*VLOOKUP('Données projet'!$B$11,Paramètres!$A$1:$I$89,3,0)*0.475*44/12</f>
        <v>3.3471541732333439</v>
      </c>
      <c r="BS47" s="22">
        <f t="shared" si="9"/>
        <v>26.908063770108029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355.23615781077405</v>
      </c>
      <c r="T48" s="59">
        <f t="shared" si="34"/>
        <v>448.84541017639367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0.27500000000000002</v>
      </c>
      <c r="X48" s="16">
        <f>IF(ISNA(VLOOKUP(A48,'Données projet'!$A$35:$I$55,6,0)),0%,VLOOKUP(A48,'Données projet'!$A$35:$I$55,6,0)*VLOOKUP('Données projet'!$B$9,Paramètres!$A$1:$I$89,7,0))</f>
        <v>0.16500000000000001</v>
      </c>
      <c r="Y48" s="16">
        <f>IF(ISNA(VLOOKUP(A48,'Données projet'!$A$35:$I$55,7,0)),0%,VLOOKUP(A48,'Données projet'!$A$35:$I$55,7,0))</f>
        <v>0.2</v>
      </c>
      <c r="Z48" s="21">
        <f>EXP(-LN(2)/35)*Z47+(1-EXP(-LN(2)/35))/(LN(2)/35)*V48*W48*VLOOKUP('Données projet'!$B$9,Paramètres!$A$1:$I$89,3,0)*0.475*44/12</f>
        <v>28.715028549349011</v>
      </c>
      <c r="AA48" s="21">
        <f>EXP(-LN(2)/25)*AA47+(1-EXP(-LN(2)/25))/(LN(2)/25)*Calculateur!V48*Calculateur!X48*VLOOKUP('Données projet'!$B$9,Paramètres!$A$1:$I$89,3,0)*0.475*44/12</f>
        <v>40.423838688182109</v>
      </c>
      <c r="AB48" s="21">
        <f>EXP(-LN(2)/2)*AB47+(1-EXP(-LN(2)/2))/(LN(2)/2)*V48*Y48*VLOOKUP('Données projet'!$B$9,Paramètres!$A$1:$I$89,3,0)*0.475*44/12</f>
        <v>11.405999134133474</v>
      </c>
      <c r="AC48" s="22">
        <f t="shared" si="3"/>
        <v>80.544866371664597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18.5</v>
      </c>
      <c r="AI48" s="13">
        <f>IF('Données projet'!$A$62&gt;35,AI47+AH48-AQ47,IF(A48&lt;'Données projet'!$A$62,$AF$205^A48,IF(A48='Données projet'!$A$62,'Données projet'!$B$62,AI47+AH48-AQ47)))</f>
        <v>372.49999999999977</v>
      </c>
      <c r="AJ48" s="13">
        <f>AI48*VLOOKUP('Données projet'!$B$10,Paramètres!$A$1:$I$89,3,0)*VLOOKUP('Données projet'!$B$10,Paramètres!$A$1:$I$89,5,0)</f>
        <v>174.3299999999999</v>
      </c>
      <c r="AK48" s="13">
        <f t="shared" si="35"/>
        <v>44.058375405899369</v>
      </c>
      <c r="AL48" s="20">
        <f t="shared" si="4"/>
        <v>380.35975383194119</v>
      </c>
      <c r="AM48" s="59">
        <f t="shared" si="5"/>
        <v>673.69308716527451</v>
      </c>
      <c r="AN48" s="59">
        <f ca="1">AVERAGE(OFFSET($AM$3,0,0,'Données projet'!$E$10+1,1))-AVERAGE(OFFSET($H$3,0,0,'Données projet'!$E$10+1,1))</f>
        <v>402.38496642820587</v>
      </c>
      <c r="AO48" s="59">
        <f t="shared" si="36"/>
        <v>196.65158751478987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35.760204985205789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35.760204985205789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318</v>
      </c>
      <c r="BB48" s="12">
        <f>VLOOKUP(A48,'Données projet'!$A$87:$I$107,9,0)</f>
        <v>19</v>
      </c>
      <c r="BC48" s="12">
        <f t="array" ref="BC48">INDEX(BB:BB,MIN(IF(ISNUMBER(BB48:BB244),ROW(BB48:BB244),"")))</f>
        <v>19</v>
      </c>
      <c r="BD48" s="12">
        <f>IF('Données projet'!$A$88&gt;35,BD47+BC48-BL47,IF(A48&lt;'Données projet'!$A$88,$BA$205^A48,IF(A48='Données projet'!$A$88,'Données projet'!$B$88,BD47+BC48-BL47)))</f>
        <v>318.00000000000006</v>
      </c>
      <c r="BE48" s="13">
        <f>BD48*VLOOKUP('Données projet'!$B$11,Paramètres!$A$1:$I$89,3,0)*VLOOKUP('Données projet'!$B$11,Paramètres!$A$1:$I$89,5,0)</f>
        <v>190.16400000000004</v>
      </c>
      <c r="BF48" s="13">
        <f t="shared" si="37"/>
        <v>47.576209101852911</v>
      </c>
      <c r="BG48" s="20">
        <f t="shared" si="7"/>
        <v>414.06419751906054</v>
      </c>
      <c r="BH48" s="59">
        <f t="shared" si="8"/>
        <v>707.39753085239386</v>
      </c>
      <c r="BI48" s="59">
        <f ca="1">AVERAGE(OFFSET($BH$3,0,0,'Données projet'!$E$11+1,1))-AVERAGE(OFFSET($H$3,0,0,'Données projet'!$E$11+1,1))</f>
        <v>257.96727373333601</v>
      </c>
      <c r="BJ48" s="59">
        <f t="shared" si="38"/>
        <v>194.52809733694494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53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0.27</v>
      </c>
      <c r="BO48" s="16">
        <f>IF(ISNA(VLOOKUP(A48,'Données projet'!$A$87:$I$107,7,0)),0%,VLOOKUP(A48,'Données projet'!$A$87:$I$107,7,0))</f>
        <v>0.4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34.223854605361858</v>
      </c>
      <c r="BR48" s="21">
        <f>EXP(-LN(2)/2)*BR47+(1-EXP(-LN(2)/2))/(LN(2)/2)*BL48*BO48*VLOOKUP('Données projet'!$B$11,Paramètres!$A$1:$I$89,3,0)*0.475*44/12</f>
        <v>16.720783588691674</v>
      </c>
      <c r="BS48" s="22">
        <f t="shared" si="9"/>
        <v>50.944638194053532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355.23615781077405</v>
      </c>
      <c r="T49" s="59">
        <f t="shared" si="34"/>
        <v>448.84541017639367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28.151944353934283</v>
      </c>
      <c r="AA49" s="21">
        <f>EXP(-LN(2)/25)*AA48+(1-EXP(-LN(2)/25))/(LN(2)/25)*Calculateur!V49*Calculateur!X49*VLOOKUP('Données projet'!$B$9,Paramètres!$A$1:$I$89,3,0)*0.475*44/12</f>
        <v>39.31844669345648</v>
      </c>
      <c r="AB49" s="21">
        <f>EXP(-LN(2)/2)*AB48+(1-EXP(-LN(2)/2))/(LN(2)/2)*V49*Y49*VLOOKUP('Données projet'!$B$9,Paramètres!$A$1:$I$89,3,0)*0.475*44/12</f>
        <v>8.0652593339536693</v>
      </c>
      <c r="AC49" s="22">
        <f t="shared" si="3"/>
        <v>75.535650381344425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18.5</v>
      </c>
      <c r="AI49" s="13">
        <f>IF('Données projet'!$A$62&gt;35,AI48+AH49-AQ48,IF(A49&lt;'Données projet'!$A$62,$AF$205^A49,IF(A49='Données projet'!$A$62,'Données projet'!$B$62,AI48+AH49-AQ48)))</f>
        <v>390.99999999999977</v>
      </c>
      <c r="AJ49" s="13">
        <f>AI49*VLOOKUP('Données projet'!$B$10,Paramètres!$A$1:$I$89,3,0)*VLOOKUP('Données projet'!$B$10,Paramètres!$A$1:$I$89,5,0)</f>
        <v>182.98799999999989</v>
      </c>
      <c r="AK49" s="13">
        <f t="shared" si="35"/>
        <v>45.986322796524831</v>
      </c>
      <c r="AL49" s="20">
        <f t="shared" si="4"/>
        <v>398.79694553728058</v>
      </c>
      <c r="AM49" s="59">
        <f t="shared" si="5"/>
        <v>692.13027887061389</v>
      </c>
      <c r="AN49" s="59">
        <f ca="1">AVERAGE(OFFSET($AM$3,0,0,'Données projet'!$E$10+1,1))-AVERAGE(OFFSET($H$3,0,0,'Données projet'!$E$10+1,1))</f>
        <v>402.38496642820587</v>
      </c>
      <c r="AO49" s="59">
        <f t="shared" si="36"/>
        <v>196.65158751478987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34.782340299337889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34.782340299337889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17.399999999999999</v>
      </c>
      <c r="BD49" s="12">
        <f>IF('Données projet'!$A$88&gt;35,BD48+BC49-BL48,IF(A49&lt;'Données projet'!$A$88,$BA$205^A49,IF(A49='Données projet'!$A$88,'Données projet'!$B$88,BD48+BC49-BL48)))</f>
        <v>282.40000000000003</v>
      </c>
      <c r="BE49" s="13">
        <f>BD49*VLOOKUP('Données projet'!$B$11,Paramètres!$A$1:$I$89,3,0)*VLOOKUP('Données projet'!$B$11,Paramètres!$A$1:$I$89,5,0)</f>
        <v>168.87520000000004</v>
      </c>
      <c r="BF49" s="13">
        <f t="shared" si="37"/>
        <v>42.838008554673955</v>
      </c>
      <c r="BG49" s="20">
        <f t="shared" si="7"/>
        <v>368.73383823272388</v>
      </c>
      <c r="BH49" s="59">
        <f t="shared" si="8"/>
        <v>662.06717156605714</v>
      </c>
      <c r="BI49" s="59">
        <f ca="1">AVERAGE(OFFSET($BH$3,0,0,'Données projet'!$E$11+1,1))-AVERAGE(OFFSET($H$3,0,0,'Données projet'!$E$11+1,1))</f>
        <v>257.96727373333601</v>
      </c>
      <c r="BJ49" s="59">
        <f t="shared" si="38"/>
        <v>194.52809733694494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33.288001501423942</v>
      </c>
      <c r="BR49" s="21">
        <f>EXP(-LN(2)/2)*BR48+(1-EXP(-LN(2)/2))/(LN(2)/2)*BL49*BO49*VLOOKUP('Données projet'!$B$11,Paramètres!$A$1:$I$89,3,0)*0.475*44/12</f>
        <v>11.82337946231662</v>
      </c>
      <c r="BS49" s="22">
        <f t="shared" si="9"/>
        <v>45.111380963740558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355.23615781077405</v>
      </c>
      <c r="T50" s="59">
        <f t="shared" si="34"/>
        <v>448.84541017639367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27.599901896144193</v>
      </c>
      <c r="AA50" s="21">
        <f>EXP(-LN(2)/25)*AA49+(1-EXP(-LN(2)/25))/(LN(2)/25)*Calculateur!V50*Calculateur!X50*VLOOKUP('Données projet'!$B$9,Paramètres!$A$1:$I$89,3,0)*0.475*44/12</f>
        <v>38.243281700956665</v>
      </c>
      <c r="AB50" s="21">
        <f>EXP(-LN(2)/2)*AB49+(1-EXP(-LN(2)/2))/(LN(2)/2)*V50*Y50*VLOOKUP('Données projet'!$B$9,Paramètres!$A$1:$I$89,3,0)*0.475*44/12</f>
        <v>5.7029995670667377</v>
      </c>
      <c r="AC50" s="22">
        <f t="shared" si="3"/>
        <v>71.546183164167601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18.5</v>
      </c>
      <c r="AI50" s="13">
        <f>IF('Données projet'!$A$62&gt;35,AI49+AH50-AQ49,IF(A50&lt;'Données projet'!$A$62,$AF$205^A50,IF(A50='Données projet'!$A$62,'Données projet'!$B$62,AI49+AH50-AQ49)))</f>
        <v>409.49999999999977</v>
      </c>
      <c r="AJ50" s="13">
        <f>AI50*VLOOKUP('Données projet'!$B$10,Paramètres!$A$1:$I$89,3,0)*VLOOKUP('Données projet'!$B$10,Paramètres!$A$1:$I$89,5,0)</f>
        <v>191.64599999999987</v>
      </c>
      <c r="AK50" s="13">
        <f t="shared" si="35"/>
        <v>47.903677189291592</v>
      </c>
      <c r="AL50" s="20">
        <f t="shared" si="4"/>
        <v>417.21568777134934</v>
      </c>
      <c r="AM50" s="59">
        <f t="shared" si="5"/>
        <v>710.54902110468265</v>
      </c>
      <c r="AN50" s="59">
        <f ca="1">AVERAGE(OFFSET($AM$3,0,0,'Données projet'!$E$10+1,1))-AVERAGE(OFFSET($H$3,0,0,'Données projet'!$E$10+1,1))</f>
        <v>402.38496642820587</v>
      </c>
      <c r="AO50" s="59">
        <f t="shared" si="36"/>
        <v>196.65158751478987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33.831215374728714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33.831215374728714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17.399999999999999</v>
      </c>
      <c r="BD50" s="12">
        <f>IF('Données projet'!$A$88&gt;35,BD49+BC50-BL49,IF(A50&lt;'Données projet'!$A$88,$BA$205^A50,IF(A50='Données projet'!$A$88,'Données projet'!$B$88,BD49+BC50-BL49)))</f>
        <v>299.8</v>
      </c>
      <c r="BE50" s="13">
        <f>BD50*VLOOKUP('Données projet'!$B$11,Paramètres!$A$1:$I$89,3,0)*VLOOKUP('Données projet'!$B$11,Paramètres!$A$1:$I$89,5,0)</f>
        <v>179.28040000000001</v>
      </c>
      <c r="BF50" s="13">
        <f t="shared" si="37"/>
        <v>45.162051118824294</v>
      </c>
      <c r="BG50" s="20">
        <f t="shared" si="7"/>
        <v>390.90393569861902</v>
      </c>
      <c r="BH50" s="59">
        <f t="shared" si="8"/>
        <v>684.23726903195234</v>
      </c>
      <c r="BI50" s="59">
        <f ca="1">AVERAGE(OFFSET($BH$3,0,0,'Données projet'!$E$11+1,1))-AVERAGE(OFFSET($H$3,0,0,'Données projet'!$E$11+1,1))</f>
        <v>257.96727373333601</v>
      </c>
      <c r="BJ50" s="59">
        <f t="shared" si="38"/>
        <v>194.52809733694494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32.377739349827586</v>
      </c>
      <c r="BR50" s="21">
        <f>EXP(-LN(2)/2)*BR49+(1-EXP(-LN(2)/2))/(LN(2)/2)*BL50*BO50*VLOOKUP('Données projet'!$B$11,Paramètres!$A$1:$I$89,3,0)*0.475*44/12</f>
        <v>8.3603917943458388</v>
      </c>
      <c r="BS50" s="22">
        <f t="shared" si="9"/>
        <v>40.738131144173423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355.23615781077405</v>
      </c>
      <c r="T51" s="59">
        <f t="shared" si="34"/>
        <v>448.84541017639367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27.058684654238714</v>
      </c>
      <c r="AA51" s="21">
        <f>EXP(-LN(2)/25)*AA50+(1-EXP(-LN(2)/25))/(LN(2)/25)*Calculateur!V51*Calculateur!X51*VLOOKUP('Données projet'!$B$9,Paramètres!$A$1:$I$89,3,0)*0.475*44/12</f>
        <v>37.197517151717229</v>
      </c>
      <c r="AB51" s="21">
        <f>EXP(-LN(2)/2)*AB50+(1-EXP(-LN(2)/2))/(LN(2)/2)*V51*Y51*VLOOKUP('Données projet'!$B$9,Paramètres!$A$1:$I$89,3,0)*0.475*44/12</f>
        <v>4.0326296669768356</v>
      </c>
      <c r="AC51" s="22">
        <f t="shared" si="3"/>
        <v>68.28883147293277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18.5</v>
      </c>
      <c r="AI51" s="13">
        <f>IF('Données projet'!$A$62&gt;35,AI50+AH51-AQ50,IF(A51&lt;'Données projet'!$A$62,$AF$205^A51,IF(A51='Données projet'!$A$62,'Données projet'!$B$62,AI50+AH51-AQ50)))</f>
        <v>427.99999999999977</v>
      </c>
      <c r="AJ51" s="13">
        <f>AI51*VLOOKUP('Données projet'!$B$10,Paramètres!$A$1:$I$89,3,0)*VLOOKUP('Données projet'!$B$10,Paramètres!$A$1:$I$89,5,0)</f>
        <v>200.30399999999989</v>
      </c>
      <c r="AK51" s="13">
        <f t="shared" si="35"/>
        <v>49.810971817279096</v>
      </c>
      <c r="AL51" s="20">
        <f t="shared" si="4"/>
        <v>435.61690924842759</v>
      </c>
      <c r="AM51" s="59">
        <f t="shared" si="5"/>
        <v>728.9502425817609</v>
      </c>
      <c r="AN51" s="59">
        <f ca="1">AVERAGE(OFFSET($AM$3,0,0,'Données projet'!$E$10+1,1))-AVERAGE(OFFSET($H$3,0,0,'Données projet'!$E$10+1,1))</f>
        <v>402.38496642820587</v>
      </c>
      <c r="AO51" s="59">
        <f t="shared" si="36"/>
        <v>196.65158751478987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32.90609901120046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32.90609901120046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17.399999999999999</v>
      </c>
      <c r="BD51" s="12">
        <f>IF('Données projet'!$A$88&gt;35,BD50+BC51-BL50,IF(A51&lt;'Données projet'!$A$88,$BA$205^A51,IF(A51='Données projet'!$A$88,'Données projet'!$B$88,BD50+BC51-BL50)))</f>
        <v>317.2</v>
      </c>
      <c r="BE51" s="13">
        <f>BD51*VLOOKUP('Données projet'!$B$11,Paramètres!$A$1:$I$89,3,0)*VLOOKUP('Données projet'!$B$11,Paramètres!$A$1:$I$89,5,0)</f>
        <v>189.68560000000002</v>
      </c>
      <c r="BF51" s="13">
        <f t="shared" si="37"/>
        <v>47.470436776872745</v>
      </c>
      <c r="BG51" s="20">
        <f t="shared" si="7"/>
        <v>413.04676405305344</v>
      </c>
      <c r="BH51" s="59">
        <f t="shared" si="8"/>
        <v>706.38009738638675</v>
      </c>
      <c r="BI51" s="59">
        <f ca="1">AVERAGE(OFFSET($BH$3,0,0,'Données projet'!$E$11+1,1))-AVERAGE(OFFSET($H$3,0,0,'Données projet'!$E$11+1,1))</f>
        <v>257.96727373333601</v>
      </c>
      <c r="BJ51" s="59">
        <f t="shared" si="38"/>
        <v>194.52809733694494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31.492368364635237</v>
      </c>
      <c r="BR51" s="21">
        <f>EXP(-LN(2)/2)*BR50+(1-EXP(-LN(2)/2))/(LN(2)/2)*BL51*BO51*VLOOKUP('Données projet'!$B$11,Paramètres!$A$1:$I$89,3,0)*0.475*44/12</f>
        <v>5.9116897311583108</v>
      </c>
      <c r="BS51" s="22">
        <f t="shared" si="9"/>
        <v>37.404058095793545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355.23615781077405</v>
      </c>
      <c r="T52" s="59">
        <f t="shared" si="34"/>
        <v>448.84541017639367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26.528080352337081</v>
      </c>
      <c r="AA52" s="21">
        <f>EXP(-LN(2)/25)*AA51+(1-EXP(-LN(2)/25))/(LN(2)/25)*Calculateur!V52*Calculateur!X52*VLOOKUP('Données projet'!$B$9,Paramètres!$A$1:$I$89,3,0)*0.475*44/12</f>
        <v>36.180349089071107</v>
      </c>
      <c r="AB52" s="21">
        <f>EXP(-LN(2)/2)*AB51+(1-EXP(-LN(2)/2))/(LN(2)/2)*V52*Y52*VLOOKUP('Données projet'!$B$9,Paramètres!$A$1:$I$89,3,0)*0.475*44/12</f>
        <v>2.8514997835333693</v>
      </c>
      <c r="AC52" s="22">
        <f t="shared" si="3"/>
        <v>65.559929224941556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18.5</v>
      </c>
      <c r="AI52" s="13">
        <f>IF('Données projet'!$A$62&gt;35,AI51+AH52-AQ51,IF(A52&lt;'Données projet'!$A$62,$AF$205^A52,IF(A52='Données projet'!$A$62,'Données projet'!$B$62,AI51+AH52-AQ51)))</f>
        <v>446.49999999999977</v>
      </c>
      <c r="AJ52" s="13">
        <f>AI52*VLOOKUP('Données projet'!$B$10,Paramètres!$A$1:$I$89,3,0)*VLOOKUP('Données projet'!$B$10,Paramètres!$A$1:$I$89,5,0)</f>
        <v>208.9619999999999</v>
      </c>
      <c r="AK52" s="13">
        <f t="shared" si="35"/>
        <v>51.708691209356381</v>
      </c>
      <c r="AL52" s="20">
        <f t="shared" si="4"/>
        <v>454.00145385629548</v>
      </c>
      <c r="AM52" s="59">
        <f t="shared" si="5"/>
        <v>747.33478718962874</v>
      </c>
      <c r="AN52" s="59">
        <f ca="1">AVERAGE(OFFSET($AM$3,0,0,'Données projet'!$E$10+1,1))-AVERAGE(OFFSET($H$3,0,0,'Données projet'!$E$10+1,1))</f>
        <v>402.38496642820587</v>
      </c>
      <c r="AO52" s="59">
        <f t="shared" si="36"/>
        <v>196.65158751478987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32.006280003282647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32.006280003282647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17.399999999999999</v>
      </c>
      <c r="BD52" s="12">
        <f>IF('Données projet'!$A$88&gt;35,BD51+BC52-BL51,IF(A52&lt;'Données projet'!$A$88,$BA$205^A52,IF(A52='Données projet'!$A$88,'Données projet'!$B$88,BD51+BC52-BL51)))</f>
        <v>334.59999999999997</v>
      </c>
      <c r="BE52" s="13">
        <f>BD52*VLOOKUP('Données projet'!$B$11,Paramètres!$A$1:$I$89,3,0)*VLOOKUP('Données projet'!$B$11,Paramètres!$A$1:$I$89,5,0)</f>
        <v>200.0908</v>
      </c>
      <c r="BF52" s="13">
        <f t="shared" si="37"/>
        <v>49.764122289960234</v>
      </c>
      <c r="BG52" s="20">
        <f t="shared" si="7"/>
        <v>435.16398965501406</v>
      </c>
      <c r="BH52" s="59">
        <f t="shared" si="8"/>
        <v>728.49732298834738</v>
      </c>
      <c r="BI52" s="59">
        <f ca="1">AVERAGE(OFFSET($BH$3,0,0,'Données projet'!$E$11+1,1))-AVERAGE(OFFSET($H$3,0,0,'Données projet'!$E$11+1,1))</f>
        <v>257.96727373333601</v>
      </c>
      <c r="BJ52" s="59">
        <f t="shared" si="38"/>
        <v>194.52809733694494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30.63120789559261</v>
      </c>
      <c r="BR52" s="21">
        <f>EXP(-LN(2)/2)*BR51+(1-EXP(-LN(2)/2))/(LN(2)/2)*BL52*BO52*VLOOKUP('Données projet'!$B$11,Paramètres!$A$1:$I$89,3,0)*0.475*44/12</f>
        <v>4.1801958971729203</v>
      </c>
      <c r="BS52" s="22">
        <f t="shared" si="9"/>
        <v>34.811403792765532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355.23615781077405</v>
      </c>
      <c r="T53" s="59">
        <f t="shared" si="34"/>
        <v>448.84541017639367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0.27500000000000002</v>
      </c>
      <c r="X53" s="16">
        <f>IF(ISNA(VLOOKUP(A53,'Données projet'!$A$35:$I$55,6,0)),0%,VLOOKUP(A53,'Données projet'!$A$35:$I$55,6,0)*VLOOKUP('Données projet'!$B$9,Paramètres!$A$1:$I$89,7,0))</f>
        <v>0.16500000000000001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35.796334680956349</v>
      </c>
      <c r="AA53" s="21">
        <f>EXP(-LN(2)/25)*AA52+(1-EXP(-LN(2)/25))/(LN(2)/25)*Calculateur!V53*Calculateur!X53*VLOOKUP('Données projet'!$B$9,Paramètres!$A$1:$I$89,3,0)*0.475*44/12</f>
        <v>41.040943299475643</v>
      </c>
      <c r="AB53" s="21">
        <f>EXP(-LN(2)/2)*AB52+(1-EXP(-LN(2)/2))/(LN(2)/2)*V53*Y53*VLOOKUP('Données projet'!$B$9,Paramètres!$A$1:$I$89,3,0)*0.475*44/12</f>
        <v>8.0923262349344451</v>
      </c>
      <c r="AC53" s="22">
        <f t="shared" si="3"/>
        <v>84.929604215366439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465</v>
      </c>
      <c r="AG53" s="12">
        <f>VLOOKUP(A53,'Données projet'!$A$61:$I$81,9,0)</f>
        <v>18.5</v>
      </c>
      <c r="AH53" s="12">
        <f t="array" ref="AH53">INDEX(AG:AG,MIN(IF(ISNUMBER(AG53:AG249),ROW(AG53:AG249),"")))</f>
        <v>18.5</v>
      </c>
      <c r="AI53" s="13">
        <f>IF('Données projet'!$A$62&gt;35,AI52+AH53-AQ52,IF(A53&lt;'Données projet'!$A$62,$AF$205^A53,IF(A53='Données projet'!$A$62,'Données projet'!$B$62,AI52+AH53-AQ52)))</f>
        <v>464.99999999999977</v>
      </c>
      <c r="AJ53" s="13">
        <f>AI53*VLOOKUP('Données projet'!$B$10,Paramètres!$A$1:$I$89,3,0)*VLOOKUP('Données projet'!$B$10,Paramètres!$A$1:$I$89,5,0)</f>
        <v>217.61999999999989</v>
      </c>
      <c r="AK53" s="13">
        <f t="shared" si="35"/>
        <v>53.597277471320048</v>
      </c>
      <c r="AL53" s="20">
        <f t="shared" si="4"/>
        <v>472.37009159588223</v>
      </c>
      <c r="AM53" s="59">
        <f t="shared" si="5"/>
        <v>765.70342492921554</v>
      </c>
      <c r="AN53" s="59">
        <f ca="1">AVERAGE(OFFSET($AM$3,0,0,'Données projet'!$E$10+1,1))-AVERAGE(OFFSET($H$3,0,0,'Données projet'!$E$10+1,1))</f>
        <v>402.38496642820587</v>
      </c>
      <c r="AO53" s="59">
        <f t="shared" si="36"/>
        <v>196.65158751478987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75</v>
      </c>
      <c r="AR53" s="16">
        <f>IF(ISNA(VLOOKUP(A53,'Données projet'!$A$61:$I$81,5,0)),0%,VLOOKUP(A53,'Données projet'!$A$61:$I$81,5,0)*VLOOKUP('Données projet'!$B$10,Paramètres!$A$1:$I$89,7,0))</f>
        <v>0.16500000000000001</v>
      </c>
      <c r="AS53" s="16">
        <f>IF(ISNA(VLOOKUP(A53,'Données projet'!$A$61:$I$81,6,0)),0%,VLOOKUP(A53,'Données projet'!$A$61:$I$81,6,0)*VLOOKUP('Données projet'!$B$10,Paramètres!$A$1:$I$89,7,0))</f>
        <v>0.38500000000000001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7.6827980436780976</v>
      </c>
      <c r="AV53" s="21">
        <f>EXP(-LN(2)/25)*AV52+(1-EXP(-LN(2)/25))/(LN(2)/25)*Calculateur!AQ53*Calculateur!AS53*VLOOKUP('Données projet'!$B$10,Paramètres!$A$1:$I$89,3,0)*0.475*44/12</f>
        <v>48.987011787733124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56.669809831411222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352</v>
      </c>
      <c r="BB53" s="12">
        <f>VLOOKUP(A53,'Données projet'!$A$87:$I$107,9,0)</f>
        <v>17.399999999999999</v>
      </c>
      <c r="BC53" s="12">
        <f t="array" ref="BC53">INDEX(BB:BB,MIN(IF(ISNUMBER(BB53:BB249),ROW(BB53:BB249),"")))</f>
        <v>17.399999999999999</v>
      </c>
      <c r="BD53" s="12">
        <f>IF('Données projet'!$A$88&gt;35,BD52+BC53-BL52,IF(A53&lt;'Données projet'!$A$88,$BA$205^A53,IF(A53='Données projet'!$A$88,'Données projet'!$B$88,BD52+BC53-BL52)))</f>
        <v>351.99999999999994</v>
      </c>
      <c r="BE53" s="13">
        <f>BD53*VLOOKUP('Données projet'!$B$11,Paramètres!$A$1:$I$89,3,0)*VLOOKUP('Données projet'!$B$11,Paramètres!$A$1:$I$89,5,0)</f>
        <v>210.49599999999998</v>
      </c>
      <c r="BF53" s="13">
        <f t="shared" si="37"/>
        <v>52.043959291168463</v>
      </c>
      <c r="BG53" s="20">
        <f t="shared" si="7"/>
        <v>457.25709576545165</v>
      </c>
      <c r="BH53" s="59">
        <f t="shared" si="8"/>
        <v>750.59042909878497</v>
      </c>
      <c r="BI53" s="59">
        <f ca="1">AVERAGE(OFFSET($BH$3,0,0,'Données projet'!$E$11+1,1))-AVERAGE(OFFSET($H$3,0,0,'Données projet'!$E$11+1,1))</f>
        <v>257.96727373333601</v>
      </c>
      <c r="BJ53" s="59">
        <f t="shared" si="38"/>
        <v>194.52809733694494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53</v>
      </c>
      <c r="BM53" s="16">
        <f>IF(ISNA(VLOOKUP(A53,'Données projet'!$A$87:$I$107,5,0)),0%,VLOOKUP(A53,'Données projet'!$A$87:$I$107,5,0)*VLOOKUP('Données projet'!$B$11,Paramètres!$A$1:$I$89,7,0))</f>
        <v>9.0000000000000011E-2</v>
      </c>
      <c r="BN53" s="16">
        <f>IF(ISNA(VLOOKUP(A53,'Données projet'!$A$87:$I$107,6,0)),0%,VLOOKUP(A53,'Données projet'!$A$87:$I$107,6,0)*VLOOKUP('Données projet'!$B$11,Paramètres!$A$1:$I$89,7,0))</f>
        <v>0.18000000000000002</v>
      </c>
      <c r="BO53" s="16">
        <f>IF(ISNA(VLOOKUP(A53,'Données projet'!$A$87:$I$107,7,0)),0%,VLOOKUP(A53,'Données projet'!$A$87:$I$107,7,0))</f>
        <v>0.4</v>
      </c>
      <c r="BP53" s="21">
        <f>EXP(-LN(2)/35)*BP52+(1-EXP(-LN(2)/35))/(LN(2)/35)*BL53*BM53*VLOOKUP('Données projet'!$B$11,Paramètres!$A$1:$I$89,3,0)*0.475*44/12</f>
        <v>3.7839720465630715</v>
      </c>
      <c r="BQ53" s="21">
        <f>EXP(-LN(2)/25)*BQ52+(1-EXP(-LN(2)/25))/(LN(2)/25)*Calculateur!BL53*Calculateur!BN53*VLOOKUP('Données projet'!$B$11,Paramètres!$A$1:$I$89,3,0)*0.475*44/12</f>
        <v>37.331742118481152</v>
      </c>
      <c r="BR53" s="21">
        <f>EXP(-LN(2)/2)*BR52+(1-EXP(-LN(2)/2))/(LN(2)/2)*BL53*BO53*VLOOKUP('Données projet'!$B$11,Paramètres!$A$1:$I$89,3,0)*0.475*44/12</f>
        <v>17.309833040700681</v>
      </c>
      <c r="BS53" s="22">
        <f t="shared" si="9"/>
        <v>58.425547205744905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355.23615781077405</v>
      </c>
      <c r="T54" s="59">
        <f t="shared" si="34"/>
        <v>448.84541017639367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35.094390391471059</v>
      </c>
      <c r="AA54" s="21">
        <f>EXP(-LN(2)/25)*AA53+(1-EXP(-LN(2)/25))/(LN(2)/25)*Calculateur!V54*Calculateur!X54*VLOOKUP('Données projet'!$B$9,Paramètres!$A$1:$I$89,3,0)*0.475*44/12</f>
        <v>39.918676546702073</v>
      </c>
      <c r="AB54" s="21">
        <f>EXP(-LN(2)/2)*AB53+(1-EXP(-LN(2)/2))/(LN(2)/2)*V54*Y54*VLOOKUP('Données projet'!$B$9,Paramètres!$A$1:$I$89,3,0)*0.475*44/12</f>
        <v>5.7221387562959487</v>
      </c>
      <c r="AC54" s="22">
        <f t="shared" si="3"/>
        <v>80.735205694469073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21</v>
      </c>
      <c r="AI54" s="13">
        <f>IF('Données projet'!$A$62&gt;35,AI53+AH54-AQ53,IF(A54&lt;'Données projet'!$A$62,$AF$205^A54,IF(A54='Données projet'!$A$62,'Données projet'!$B$62,AI53+AH54-AQ53)))</f>
        <v>410.99999999999977</v>
      </c>
      <c r="AJ54" s="13">
        <f>AI54*VLOOKUP('Données projet'!$B$10,Paramètres!$A$1:$I$89,3,0)*VLOOKUP('Données projet'!$B$10,Paramètres!$A$1:$I$89,5,0)</f>
        <v>192.3479999999999</v>
      </c>
      <c r="AK54" s="13">
        <f t="shared" si="35"/>
        <v>48.058690660851866</v>
      </c>
      <c r="AL54" s="20">
        <f t="shared" si="4"/>
        <v>418.70831956765022</v>
      </c>
      <c r="AM54" s="59">
        <f t="shared" si="5"/>
        <v>712.04165290098354</v>
      </c>
      <c r="AN54" s="59">
        <f ca="1">AVERAGE(OFFSET($AM$3,0,0,'Données projet'!$E$10+1,1))-AVERAGE(OFFSET($H$3,0,0,'Données projet'!$E$10+1,1))</f>
        <v>402.38496642820587</v>
      </c>
      <c r="AO54" s="59">
        <f t="shared" si="36"/>
        <v>196.65158751478987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7.5321430600856685</v>
      </c>
      <c r="AV54" s="21">
        <f>EXP(-LN(2)/25)*AV53+(1-EXP(-LN(2)/25))/(LN(2)/25)*Calculateur!AQ54*Calculateur!AS54*VLOOKUP('Données projet'!$B$10,Paramètres!$A$1:$I$89,3,0)*0.475*44/12</f>
        <v>47.647459374282576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55.179602434368242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17.625</v>
      </c>
      <c r="BD54" s="12">
        <f>IF('Données projet'!$A$88&gt;35,BD53+BC54-BL53,IF(A54&lt;'Données projet'!$A$88,$BA$205^A54,IF(A54='Données projet'!$A$88,'Données projet'!$B$88,BD53+BC54-BL53)))</f>
        <v>316.62499999999994</v>
      </c>
      <c r="BE54" s="13">
        <f>BD54*VLOOKUP('Données projet'!$B$11,Paramètres!$A$1:$I$89,3,0)*VLOOKUP('Données projet'!$B$11,Paramètres!$A$1:$I$89,5,0)</f>
        <v>189.34174999999999</v>
      </c>
      <c r="BF54" s="13">
        <f t="shared" si="37"/>
        <v>47.394393740797923</v>
      </c>
      <c r="BG54" s="20">
        <f t="shared" si="7"/>
        <v>412.31545034855634</v>
      </c>
      <c r="BH54" s="59">
        <f t="shared" si="8"/>
        <v>705.64878368188965</v>
      </c>
      <c r="BI54" s="59">
        <f ca="1">AVERAGE(OFFSET($BH$3,0,0,'Données projet'!$E$11+1,1))-AVERAGE(OFFSET($H$3,0,0,'Données projet'!$E$11+1,1))</f>
        <v>257.96727373333601</v>
      </c>
      <c r="BJ54" s="59">
        <f t="shared" si="38"/>
        <v>194.52809733694494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3.7097706627250226</v>
      </c>
      <c r="BQ54" s="21">
        <f>EXP(-LN(2)/25)*BQ53+(1-EXP(-LN(2)/25))/(LN(2)/25)*Calculateur!BL54*Calculateur!BN54*VLOOKUP('Données projet'!$B$11,Paramètres!$A$1:$I$89,3,0)*0.475*44/12</f>
        <v>36.310903667060288</v>
      </c>
      <c r="BR54" s="21">
        <f>EXP(-LN(2)/2)*BR53+(1-EXP(-LN(2)/2))/(LN(2)/2)*BL54*BO54*VLOOKUP('Données projet'!$B$11,Paramètres!$A$1:$I$89,3,0)*0.475*44/12</f>
        <v>12.239900324286408</v>
      </c>
      <c r="BS54" s="22">
        <f t="shared" si="9"/>
        <v>52.260574654071718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355.23615781077405</v>
      </c>
      <c r="T55" s="59">
        <f t="shared" si="34"/>
        <v>448.84541017639367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34.406210801358839</v>
      </c>
      <c r="AA55" s="21">
        <f>EXP(-LN(2)/25)*AA54+(1-EXP(-LN(2)/25))/(LN(2)/25)*Calculateur!V55*Calculateur!X55*VLOOKUP('Données projet'!$B$9,Paramètres!$A$1:$I$89,3,0)*0.475*44/12</f>
        <v>38.82709823730054</v>
      </c>
      <c r="AB55" s="21">
        <f>EXP(-LN(2)/2)*AB54+(1-EXP(-LN(2)/2))/(LN(2)/2)*V55*Y55*VLOOKUP('Données projet'!$B$9,Paramètres!$A$1:$I$89,3,0)*0.475*44/12</f>
        <v>4.0461631174672226</v>
      </c>
      <c r="AC55" s="22">
        <f t="shared" si="3"/>
        <v>77.279472156126587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21</v>
      </c>
      <c r="AI55" s="13">
        <f>IF('Données projet'!$A$62&gt;35,AI54+AH55-AQ54,IF(A55&lt;'Données projet'!$A$62,$AF$205^A55,IF(A55='Données projet'!$A$62,'Données projet'!$B$62,AI54+AH55-AQ54)))</f>
        <v>431.99999999999977</v>
      </c>
      <c r="AJ55" s="13">
        <f>AI55*VLOOKUP('Données projet'!$B$10,Paramètres!$A$1:$I$89,3,0)*VLOOKUP('Données projet'!$B$10,Paramètres!$A$1:$I$89,5,0)</f>
        <v>202.1759999999999</v>
      </c>
      <c r="AK55" s="13">
        <f t="shared" si="35"/>
        <v>50.22208506756467</v>
      </c>
      <c r="AL55" s="20">
        <f t="shared" si="4"/>
        <v>439.59333149267491</v>
      </c>
      <c r="AM55" s="59">
        <f t="shared" si="5"/>
        <v>732.92666482600816</v>
      </c>
      <c r="AN55" s="59">
        <f ca="1">AVERAGE(OFFSET($AM$3,0,0,'Données projet'!$E$10+1,1))-AVERAGE(OFFSET($H$3,0,0,'Données projet'!$E$10+1,1))</f>
        <v>402.38496642820587</v>
      </c>
      <c r="AO55" s="59">
        <f t="shared" si="36"/>
        <v>196.65158751478987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7.3844423288310201</v>
      </c>
      <c r="AV55" s="21">
        <f>EXP(-LN(2)/25)*AV54+(1-EXP(-LN(2)/25))/(LN(2)/25)*Calculateur!AQ55*Calculateur!AS55*VLOOKUP('Données projet'!$B$10,Paramètres!$A$1:$I$89,3,0)*0.475*44/12</f>
        <v>46.344537092021831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53.728979420852852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17.625</v>
      </c>
      <c r="BD55" s="12">
        <f>IF('Données projet'!$A$88&gt;35,BD54+BC55-BL54,IF(A55&lt;'Données projet'!$A$88,$BA$205^A55,IF(A55='Données projet'!$A$88,'Données projet'!$B$88,BD54+BC55-BL54)))</f>
        <v>334.24999999999994</v>
      </c>
      <c r="BE55" s="13">
        <f>BD55*VLOOKUP('Données projet'!$B$11,Paramètres!$A$1:$I$89,3,0)*VLOOKUP('Données projet'!$B$11,Paramètres!$A$1:$I$89,5,0)</f>
        <v>199.88149999999996</v>
      </c>
      <c r="BF55" s="13">
        <f t="shared" si="37"/>
        <v>49.71812411377941</v>
      </c>
      <c r="BG55" s="20">
        <f t="shared" si="7"/>
        <v>434.71934533149914</v>
      </c>
      <c r="BH55" s="59">
        <f t="shared" si="8"/>
        <v>728.05267866483246</v>
      </c>
      <c r="BI55" s="59">
        <f ca="1">AVERAGE(OFFSET($BH$3,0,0,'Données projet'!$E$11+1,1))-AVERAGE(OFFSET($H$3,0,0,'Données projet'!$E$11+1,1))</f>
        <v>257.96727373333601</v>
      </c>
      <c r="BJ55" s="59">
        <f t="shared" si="38"/>
        <v>194.52809733694494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3.6370243227656625</v>
      </c>
      <c r="BQ55" s="21">
        <f>EXP(-LN(2)/25)*BQ54+(1-EXP(-LN(2)/25))/(LN(2)/25)*Calculateur!BL55*Calculateur!BN55*VLOOKUP('Données projet'!$B$11,Paramètres!$A$1:$I$89,3,0)*0.475*44/12</f>
        <v>35.317980096777092</v>
      </c>
      <c r="BR55" s="21">
        <f>EXP(-LN(2)/2)*BR54+(1-EXP(-LN(2)/2))/(LN(2)/2)*BL55*BO55*VLOOKUP('Données projet'!$B$11,Paramètres!$A$1:$I$89,3,0)*0.475*44/12</f>
        <v>8.6549165203503424</v>
      </c>
      <c r="BS55" s="22">
        <f t="shared" si="9"/>
        <v>47.609920939893094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355.23615781077405</v>
      </c>
      <c r="T56" s="59">
        <f t="shared" si="34"/>
        <v>448.84541017639367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33.731525993260611</v>
      </c>
      <c r="AA56" s="21">
        <f>EXP(-LN(2)/25)*AA55+(1-EXP(-LN(2)/25))/(LN(2)/25)*Calculateur!V56*Calculateur!X56*VLOOKUP('Données projet'!$B$9,Paramètres!$A$1:$I$89,3,0)*0.475*44/12</f>
        <v>37.765369194173203</v>
      </c>
      <c r="AB56" s="21">
        <f>EXP(-LN(2)/2)*AB55+(1-EXP(-LN(2)/2))/(LN(2)/2)*V56*Y56*VLOOKUP('Données projet'!$B$9,Paramètres!$A$1:$I$89,3,0)*0.475*44/12</f>
        <v>2.8610693781479744</v>
      </c>
      <c r="AC56" s="22">
        <f t="shared" si="3"/>
        <v>74.357964565581781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21</v>
      </c>
      <c r="AI56" s="13">
        <f>IF('Données projet'!$A$62&gt;35,AI55+AH56-AQ55,IF(A56&lt;'Données projet'!$A$62,$AF$205^A56,IF(A56='Données projet'!$A$62,'Données projet'!$B$62,AI55+AH56-AQ55)))</f>
        <v>452.99999999999977</v>
      </c>
      <c r="AJ56" s="13">
        <f>AI56*VLOOKUP('Données projet'!$B$10,Paramètres!$A$1:$I$89,3,0)*VLOOKUP('Données projet'!$B$10,Paramètres!$A$1:$I$89,5,0)</f>
        <v>212.00399999999988</v>
      </c>
      <c r="AK56" s="13">
        <f t="shared" si="35"/>
        <v>52.373267756879727</v>
      </c>
      <c r="AL56" s="20">
        <f t="shared" si="4"/>
        <v>460.45707467656536</v>
      </c>
      <c r="AM56" s="59">
        <f t="shared" si="5"/>
        <v>753.79040800989867</v>
      </c>
      <c r="AN56" s="59">
        <f ca="1">AVERAGE(OFFSET($AM$3,0,0,'Données projet'!$E$10+1,1))-AVERAGE(OFFSET($H$3,0,0,'Données projet'!$E$10+1,1))</f>
        <v>402.38496642820587</v>
      </c>
      <c r="AO56" s="59">
        <f t="shared" si="36"/>
        <v>196.65158751478987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7.2396379188277251</v>
      </c>
      <c r="AV56" s="21">
        <f>EXP(-LN(2)/25)*AV55+(1-EXP(-LN(2)/25))/(LN(2)/25)*Calculateur!AQ56*Calculateur!AS56*VLOOKUP('Données projet'!$B$10,Paramètres!$A$1:$I$89,3,0)*0.475*44/12</f>
        <v>45.07724328808721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52.316881206914935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17.625</v>
      </c>
      <c r="BD56" s="12">
        <f>IF('Données projet'!$A$88&gt;35,BD55+BC56-BL55,IF(A56&lt;'Données projet'!$A$88,$BA$205^A56,IF(A56='Données projet'!$A$88,'Données projet'!$B$88,BD55+BC56-BL55)))</f>
        <v>351.87499999999994</v>
      </c>
      <c r="BE56" s="13">
        <f>BD56*VLOOKUP('Données projet'!$B$11,Paramètres!$A$1:$I$89,3,0)*VLOOKUP('Données projet'!$B$11,Paramètres!$A$1:$I$89,5,0)</f>
        <v>210.42124999999999</v>
      </c>
      <c r="BF56" s="13">
        <f t="shared" si="37"/>
        <v>52.027628682866947</v>
      </c>
      <c r="BG56" s="20">
        <f t="shared" si="7"/>
        <v>457.09846370599325</v>
      </c>
      <c r="BH56" s="59">
        <f t="shared" si="8"/>
        <v>750.43179703932651</v>
      </c>
      <c r="BI56" s="59">
        <f ca="1">AVERAGE(OFFSET($BH$3,0,0,'Données projet'!$E$11+1,1))-AVERAGE(OFFSET($H$3,0,0,'Données projet'!$E$11+1,1))</f>
        <v>257.96727373333601</v>
      </c>
      <c r="BJ56" s="59">
        <f t="shared" si="38"/>
        <v>194.52809733694494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3.5657044941620191</v>
      </c>
      <c r="BQ56" s="21">
        <f>EXP(-LN(2)/25)*BQ55+(1-EXP(-LN(2)/25))/(LN(2)/25)*Calculateur!BL56*Calculateur!BN56*VLOOKUP('Données projet'!$B$11,Paramètres!$A$1:$I$89,3,0)*0.475*44/12</f>
        <v>34.352208073738872</v>
      </c>
      <c r="BR56" s="21">
        <f>EXP(-LN(2)/2)*BR55+(1-EXP(-LN(2)/2))/(LN(2)/2)*BL56*BO56*VLOOKUP('Données projet'!$B$11,Paramètres!$A$1:$I$89,3,0)*0.475*44/12</f>
        <v>6.1199501621432049</v>
      </c>
      <c r="BS56" s="22">
        <f t="shared" si="9"/>
        <v>44.037862730044097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355.23615781077405</v>
      </c>
      <c r="T57" s="59">
        <f t="shared" si="34"/>
        <v>448.84541017639367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33.070071342732092</v>
      </c>
      <c r="AA57" s="21">
        <f>EXP(-LN(2)/25)*AA56+(1-EXP(-LN(2)/25))/(LN(2)/25)*Calculateur!V57*Calculateur!X57*VLOOKUP('Données projet'!$B$9,Paramètres!$A$1:$I$89,3,0)*0.475*44/12</f>
        <v>36.732673187564082</v>
      </c>
      <c r="AB57" s="21">
        <f>EXP(-LN(2)/2)*AB56+(1-EXP(-LN(2)/2))/(LN(2)/2)*V57*Y57*VLOOKUP('Données projet'!$B$9,Paramètres!$A$1:$I$89,3,0)*0.475*44/12</f>
        <v>2.0230815587336113</v>
      </c>
      <c r="AC57" s="22">
        <f t="shared" si="3"/>
        <v>71.825826089029775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21</v>
      </c>
      <c r="AI57" s="13">
        <f>IF('Données projet'!$A$62&gt;35,AI56+AH57-AQ56,IF(A57&lt;'Données projet'!$A$62,$AF$205^A57,IF(A57='Données projet'!$A$62,'Données projet'!$B$62,AI56+AH57-AQ56)))</f>
        <v>473.99999999999977</v>
      </c>
      <c r="AJ57" s="13">
        <f>AI57*VLOOKUP('Données projet'!$B$10,Paramètres!$A$1:$I$89,3,0)*VLOOKUP('Données projet'!$B$10,Paramètres!$A$1:$I$89,5,0)</f>
        <v>221.83199999999988</v>
      </c>
      <c r="AK57" s="13">
        <f t="shared" si="35"/>
        <v>54.512869489435765</v>
      </c>
      <c r="AL57" s="20">
        <f t="shared" si="4"/>
        <v>481.30064769410041</v>
      </c>
      <c r="AM57" s="59">
        <f t="shared" si="5"/>
        <v>774.63398102743372</v>
      </c>
      <c r="AN57" s="59">
        <f ca="1">AVERAGE(OFFSET($AM$3,0,0,'Données projet'!$E$10+1,1))-AVERAGE(OFFSET($H$3,0,0,'Données projet'!$E$10+1,1))</f>
        <v>402.38496642820587</v>
      </c>
      <c r="AO57" s="59">
        <f t="shared" si="36"/>
        <v>196.65158751478987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7.0976730349826251</v>
      </c>
      <c r="AV57" s="21">
        <f>EXP(-LN(2)/25)*AV56+(1-EXP(-LN(2)/25))/(LN(2)/25)*Calculateur!AQ57*Calculateur!AS57*VLOOKUP('Données projet'!$B$10,Paramètres!$A$1:$I$89,3,0)*0.475*44/12</f>
        <v>43.844603699865267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50.942276734847894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17.625</v>
      </c>
      <c r="BD57" s="12">
        <f>IF('Données projet'!$A$88&gt;35,BD56+BC57-BL56,IF(A57&lt;'Données projet'!$A$88,$BA$205^A57,IF(A57='Données projet'!$A$88,'Données projet'!$B$88,BD56+BC57-BL56)))</f>
        <v>369.49999999999994</v>
      </c>
      <c r="BE57" s="13">
        <f>BD57*VLOOKUP('Données projet'!$B$11,Paramètres!$A$1:$I$89,3,0)*VLOOKUP('Données projet'!$B$11,Paramètres!$A$1:$I$89,5,0)</f>
        <v>220.96099999999996</v>
      </c>
      <c r="BF57" s="13">
        <f t="shared" si="37"/>
        <v>54.323701308314696</v>
      </c>
      <c r="BG57" s="20">
        <f t="shared" si="7"/>
        <v>479.45418811198141</v>
      </c>
      <c r="BH57" s="59">
        <f t="shared" si="8"/>
        <v>772.78752144531472</v>
      </c>
      <c r="BI57" s="59">
        <f ca="1">AVERAGE(OFFSET($BH$3,0,0,'Données projet'!$E$11+1,1))-AVERAGE(OFFSET($H$3,0,0,'Données projet'!$E$11+1,1))</f>
        <v>257.96727373333601</v>
      </c>
      <c r="BJ57" s="59">
        <f t="shared" si="38"/>
        <v>194.52809733694494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3.4957832038964933</v>
      </c>
      <c r="BQ57" s="21">
        <f>EXP(-LN(2)/25)*BQ56+(1-EXP(-LN(2)/25))/(LN(2)/25)*Calculateur!BL57*Calculateur!BN57*VLOOKUP('Données projet'!$B$11,Paramètres!$A$1:$I$89,3,0)*0.475*44/12</f>
        <v>33.412845137458376</v>
      </c>
      <c r="BR57" s="21">
        <f>EXP(-LN(2)/2)*BR56+(1-EXP(-LN(2)/2))/(LN(2)/2)*BL57*BO57*VLOOKUP('Données projet'!$B$11,Paramètres!$A$1:$I$89,3,0)*0.475*44/12</f>
        <v>4.3274582601751712</v>
      </c>
      <c r="BS57" s="22">
        <f t="shared" si="9"/>
        <v>41.23608660153004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355.23615781077405</v>
      </c>
      <c r="T58" s="59">
        <f t="shared" si="34"/>
        <v>448.84541017639367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0.33</v>
      </c>
      <c r="X58" s="16">
        <f>IF(ISNA(VLOOKUP(A58,'Données projet'!$A$35:$I$55,6,0)),0%,VLOOKUP(A58,'Données projet'!$A$35:$I$55,6,0)*VLOOKUP('Données projet'!$B$9,Paramètres!$A$1:$I$89,7,0))</f>
        <v>0.11000000000000001</v>
      </c>
      <c r="Y58" s="16">
        <f>IF(ISNA(VLOOKUP(A58,'Données projet'!$A$35:$I$55,7,0)),0%,VLOOKUP(A58,'Données projet'!$A$35:$I$55,7,0))</f>
        <v>0.2</v>
      </c>
      <c r="Z58" s="21">
        <f>EXP(-LN(2)/35)*Z57+(1-EXP(-LN(2)/35))/(LN(2)/35)*V58*W58*VLOOKUP('Données projet'!$B$9,Paramètres!$A$1:$I$89,3,0)*0.475*44/12</f>
        <v>40.98648449277556</v>
      </c>
      <c r="AA58" s="21">
        <f>EXP(-LN(2)/25)*AA57+(1-EXP(-LN(2)/25))/(LN(2)/25)*Calculateur!V58*Calculateur!X58*VLOOKUP('Données projet'!$B$9,Paramètres!$A$1:$I$89,3,0)*0.475*44/12</f>
        <v>38.571940912577354</v>
      </c>
      <c r="AB58" s="21">
        <f>EXP(-LN(2)/2)*AB57+(1-EXP(-LN(2)/2))/(LN(2)/2)*V58*Y58*VLOOKUP('Données projet'!$B$9,Paramètres!$A$1:$I$89,3,0)*0.475*44/12</f>
        <v>5.8609596692950481</v>
      </c>
      <c r="AC58" s="22">
        <f t="shared" si="3"/>
        <v>85.419385074647963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21</v>
      </c>
      <c r="AI58" s="13">
        <f>IF('Données projet'!$A$62&gt;35,AI57+AH58-AQ57,IF(A58&lt;'Données projet'!$A$62,$AF$205^A58,IF(A58='Données projet'!$A$62,'Données projet'!$B$62,AI57+AH58-AQ57)))</f>
        <v>494.99999999999977</v>
      </c>
      <c r="AJ58" s="13">
        <f>AI58*VLOOKUP('Données projet'!$B$10,Paramètres!$A$1:$I$89,3,0)*VLOOKUP('Données projet'!$B$10,Paramètres!$A$1:$I$89,5,0)</f>
        <v>231.65999999999988</v>
      </c>
      <c r="AK58" s="13">
        <f t="shared" si="35"/>
        <v>56.641461975682766</v>
      </c>
      <c r="AL58" s="20">
        <f t="shared" si="4"/>
        <v>502.12504627431389</v>
      </c>
      <c r="AM58" s="59">
        <f t="shared" si="5"/>
        <v>795.4583796076472</v>
      </c>
      <c r="AN58" s="59">
        <f ca="1">AVERAGE(OFFSET($AM$3,0,0,'Données projet'!$E$10+1,1))-AVERAGE(OFFSET($H$3,0,0,'Données projet'!$E$10+1,1))</f>
        <v>402.38496642820587</v>
      </c>
      <c r="AO58" s="59">
        <f t="shared" si="36"/>
        <v>196.65158751478987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6.9584919959196991</v>
      </c>
      <c r="AV58" s="21">
        <f>EXP(-LN(2)/25)*AV57+(1-EXP(-LN(2)/25))/(LN(2)/25)*Calculateur!AQ58*Calculateur!AS58*VLOOKUP('Données projet'!$B$10,Paramètres!$A$1:$I$89,3,0)*0.475*44/12</f>
        <v>42.64567070600495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49.60416270192465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17.625</v>
      </c>
      <c r="BD58" s="12">
        <f>IF('Données projet'!$A$88&gt;35,BD57+BC58-BL57,IF(A58&lt;'Données projet'!$A$88,$BA$205^A58,IF(A58='Données projet'!$A$88,'Données projet'!$B$88,BD57+BC58-BL57)))</f>
        <v>387.12499999999994</v>
      </c>
      <c r="BE58" s="13">
        <f>BD58*VLOOKUP('Données projet'!$B$11,Paramètres!$A$1:$I$89,3,0)*VLOOKUP('Données projet'!$B$11,Paramètres!$A$1:$I$89,5,0)</f>
        <v>231.50074999999998</v>
      </c>
      <c r="BF58" s="13">
        <f t="shared" si="37"/>
        <v>56.607055837426749</v>
      </c>
      <c r="BG58" s="20">
        <f t="shared" si="7"/>
        <v>501.78776183351812</v>
      </c>
      <c r="BH58" s="59">
        <f t="shared" si="8"/>
        <v>795.12109516685143</v>
      </c>
      <c r="BI58" s="59">
        <f ca="1">AVERAGE(OFFSET($BH$3,0,0,'Données projet'!$E$11+1,1))-AVERAGE(OFFSET($H$3,0,0,'Données projet'!$E$11+1,1))</f>
        <v>257.96727373333601</v>
      </c>
      <c r="BJ58" s="59">
        <f t="shared" si="38"/>
        <v>194.52809733694494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3.4272330274852987</v>
      </c>
      <c r="BQ58" s="21">
        <f>EXP(-LN(2)/25)*BQ57+(1-EXP(-LN(2)/25))/(LN(2)/25)*Calculateur!BL58*Calculateur!BN58*VLOOKUP('Données projet'!$B$11,Paramètres!$A$1:$I$89,3,0)*0.475*44/12</f>
        <v>32.499169130069419</v>
      </c>
      <c r="BR58" s="21">
        <f>EXP(-LN(2)/2)*BR57+(1-EXP(-LN(2)/2))/(LN(2)/2)*BL58*BO58*VLOOKUP('Données projet'!$B$11,Paramètres!$A$1:$I$89,3,0)*0.475*44/12</f>
        <v>3.0599750810716024</v>
      </c>
      <c r="BS58" s="22">
        <f t="shared" si="9"/>
        <v>38.986377238626318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355.23615781077405</v>
      </c>
      <c r="T59" s="59">
        <f t="shared" si="34"/>
        <v>448.84541017639367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40.1827645311593</v>
      </c>
      <c r="AA59" s="21">
        <f>EXP(-LN(2)/25)*AA58+(1-EXP(-LN(2)/25))/(LN(2)/25)*Calculateur!V59*Calculateur!X59*VLOOKUP('Données projet'!$B$9,Paramètres!$A$1:$I$89,3,0)*0.475*44/12</f>
        <v>37.517189159912711</v>
      </c>
      <c r="AB59" s="21">
        <f>EXP(-LN(2)/2)*AB58+(1-EXP(-LN(2)/2))/(LN(2)/2)*V59*Y59*VLOOKUP('Données projet'!$B$9,Paramètres!$A$1:$I$89,3,0)*0.475*44/12</f>
        <v>4.1443243264193939</v>
      </c>
      <c r="AC59" s="22">
        <f t="shared" si="3"/>
        <v>81.844278017491405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21</v>
      </c>
      <c r="AI59" s="13">
        <f>IF('Données projet'!$A$62&gt;35,AI58+AH59-AQ58,IF(A59&lt;'Données projet'!$A$62,$AF$205^A59,IF(A59='Données projet'!$A$62,'Données projet'!$B$62,AI58+AH59-AQ58)))</f>
        <v>515.99999999999977</v>
      </c>
      <c r="AJ59" s="13">
        <f>AI59*VLOOKUP('Données projet'!$B$10,Paramètres!$A$1:$I$89,3,0)*VLOOKUP('Données projet'!$B$10,Paramètres!$A$1:$I$89,5,0)</f>
        <v>241.48799999999989</v>
      </c>
      <c r="AK59" s="13">
        <f t="shared" si="35"/>
        <v>58.759565673424916</v>
      </c>
      <c r="AL59" s="20">
        <f t="shared" si="4"/>
        <v>522.93117688121481</v>
      </c>
      <c r="AM59" s="59">
        <f t="shared" si="5"/>
        <v>816.26451021454818</v>
      </c>
      <c r="AN59" s="59">
        <f ca="1">AVERAGE(OFFSET($AM$3,0,0,'Données projet'!$E$10+1,1))-AVERAGE(OFFSET($H$3,0,0,'Données projet'!$E$10+1,1))</f>
        <v>402.38496642820587</v>
      </c>
      <c r="AO59" s="59">
        <f t="shared" si="36"/>
        <v>196.65158751478987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6.8220402121407453</v>
      </c>
      <c r="AV59" s="21">
        <f>EXP(-LN(2)/25)*AV58+(1-EXP(-LN(2)/25))/(LN(2)/25)*Calculateur!AQ59*Calculateur!AS59*VLOOKUP('Données projet'!$B$10,Paramètres!$A$1:$I$89,3,0)*0.475*44/12</f>
        <v>41.479522597910886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48.301562810051635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17.625</v>
      </c>
      <c r="BD59" s="12">
        <f>IF('Données projet'!$A$88&gt;35,BD58+BC59-BL58,IF(A59&lt;'Données projet'!$A$88,$BA$205^A59,IF(A59='Données projet'!$A$88,'Données projet'!$B$88,BD58+BC59-BL58)))</f>
        <v>404.74999999999994</v>
      </c>
      <c r="BE59" s="13">
        <f>BD59*VLOOKUP('Données projet'!$B$11,Paramètres!$A$1:$I$89,3,0)*VLOOKUP('Données projet'!$B$11,Paramètres!$A$1:$I$89,5,0)</f>
        <v>242.04049999999998</v>
      </c>
      <c r="BF59" s="13">
        <f t="shared" si="37"/>
        <v>58.878337443371535</v>
      </c>
      <c r="BG59" s="20">
        <f t="shared" si="7"/>
        <v>524.10030854720526</v>
      </c>
      <c r="BH59" s="59">
        <f t="shared" si="8"/>
        <v>817.43364188053852</v>
      </c>
      <c r="BI59" s="59">
        <f ca="1">AVERAGE(OFFSET($BH$3,0,0,'Données projet'!$E$11+1,1))-AVERAGE(OFFSET($H$3,0,0,'Données projet'!$E$11+1,1))</f>
        <v>257.96727373333601</v>
      </c>
      <c r="BJ59" s="59">
        <f t="shared" si="38"/>
        <v>194.52809733694494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3.3600270782220485</v>
      </c>
      <c r="BQ59" s="21">
        <f>EXP(-LN(2)/25)*BQ58+(1-EXP(-LN(2)/25))/(LN(2)/25)*Calculateur!BL59*Calculateur!BN59*VLOOKUP('Données projet'!$B$11,Paramètres!$A$1:$I$89,3,0)*0.475*44/12</f>
        <v>31.610477641150645</v>
      </c>
      <c r="BR59" s="21">
        <f>EXP(-LN(2)/2)*BR58+(1-EXP(-LN(2)/2))/(LN(2)/2)*BL59*BO59*VLOOKUP('Données projet'!$B$11,Paramètres!$A$1:$I$89,3,0)*0.475*44/12</f>
        <v>2.1637291300875856</v>
      </c>
      <c r="BS59" s="22">
        <f t="shared" si="9"/>
        <v>37.13423384946028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355.23615781077405</v>
      </c>
      <c r="T60" s="59">
        <f t="shared" si="34"/>
        <v>448.84541017639367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39.394805027769564</v>
      </c>
      <c r="AA60" s="21">
        <f>EXP(-LN(2)/25)*AA59+(1-EXP(-LN(2)/25))/(LN(2)/25)*Calculateur!V60*Calculateur!X60*VLOOKUP('Données projet'!$B$9,Paramètres!$A$1:$I$89,3,0)*0.475*44/12</f>
        <v>36.491279649391664</v>
      </c>
      <c r="AB60" s="21">
        <f>EXP(-LN(2)/2)*AB59+(1-EXP(-LN(2)/2))/(LN(2)/2)*V60*Y60*VLOOKUP('Données projet'!$B$9,Paramètres!$A$1:$I$89,3,0)*0.475*44/12</f>
        <v>2.9304798346475245</v>
      </c>
      <c r="AC60" s="22">
        <f t="shared" si="3"/>
        <v>78.81656451180875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21</v>
      </c>
      <c r="AI60" s="13">
        <f>IF('Données projet'!$A$62&gt;35,AI59+AH60-AQ59,IF(A60&lt;'Données projet'!$A$62,$AF$205^A60,IF(A60='Données projet'!$A$62,'Données projet'!$B$62,AI59+AH60-AQ59)))</f>
        <v>536.99999999999977</v>
      </c>
      <c r="AJ60" s="13">
        <f>AI60*VLOOKUP('Données projet'!$B$10,Paramètres!$A$1:$I$89,3,0)*VLOOKUP('Données projet'!$B$10,Paramètres!$A$1:$I$89,5,0)</f>
        <v>251.31599999999989</v>
      </c>
      <c r="AK60" s="13">
        <f t="shared" si="35"/>
        <v>60.86765628024984</v>
      </c>
      <c r="AL60" s="20">
        <f t="shared" si="4"/>
        <v>543.71986802143499</v>
      </c>
      <c r="AM60" s="59">
        <f t="shared" si="5"/>
        <v>837.05320135476836</v>
      </c>
      <c r="AN60" s="59">
        <f ca="1">AVERAGE(OFFSET($AM$3,0,0,'Données projet'!$E$10+1,1))-AVERAGE(OFFSET($H$3,0,0,'Données projet'!$E$10+1,1))</f>
        <v>402.38496642820587</v>
      </c>
      <c r="AO60" s="59">
        <f t="shared" si="36"/>
        <v>196.65158751478987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6.6882641646143268</v>
      </c>
      <c r="AV60" s="21">
        <f>EXP(-LN(2)/25)*AV59+(1-EXP(-LN(2)/25))/(LN(2)/25)*Calculateur!AQ60*Calculateur!AS60*VLOOKUP('Données projet'!$B$10,Paramètres!$A$1:$I$89,3,0)*0.475*44/12</f>
        <v>40.345262871157722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47.033527035772046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17.625</v>
      </c>
      <c r="BD60" s="12">
        <f>IF('Données projet'!$A$88&gt;35,BD59+BC60-BL59,IF(A60&lt;'Données projet'!$A$88,$BA$205^A60,IF(A60='Données projet'!$A$88,'Données projet'!$B$88,BD59+BC60-BL59)))</f>
        <v>422.37499999999994</v>
      </c>
      <c r="BE60" s="13">
        <f>BD60*VLOOKUP('Données projet'!$B$11,Paramètres!$A$1:$I$89,3,0)*VLOOKUP('Données projet'!$B$11,Paramètres!$A$1:$I$89,5,0)</f>
        <v>252.58025000000001</v>
      </c>
      <c r="BF60" s="13">
        <f t="shared" si="37"/>
        <v>61.138131933251593</v>
      </c>
      <c r="BG60" s="20">
        <f t="shared" si="7"/>
        <v>546.39284853374647</v>
      </c>
      <c r="BH60" s="59">
        <f t="shared" si="8"/>
        <v>839.72618186707973</v>
      </c>
      <c r="BI60" s="59">
        <f ca="1">AVERAGE(OFFSET($BH$3,0,0,'Données projet'!$E$11+1,1))-AVERAGE(OFFSET($H$3,0,0,'Données projet'!$E$11+1,1))</f>
        <v>257.96727373333601</v>
      </c>
      <c r="BJ60" s="59">
        <f t="shared" si="38"/>
        <v>194.52809733694494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3.2941389966322689</v>
      </c>
      <c r="BQ60" s="21">
        <f>EXP(-LN(2)/25)*BQ59+(1-EXP(-LN(2)/25))/(LN(2)/25)*Calculateur!BL60*Calculateur!BN60*VLOOKUP('Données projet'!$B$11,Paramètres!$A$1:$I$89,3,0)*0.475*44/12</f>
        <v>30.746087467730607</v>
      </c>
      <c r="BR60" s="21">
        <f>EXP(-LN(2)/2)*BR59+(1-EXP(-LN(2)/2))/(LN(2)/2)*BL60*BO60*VLOOKUP('Données projet'!$B$11,Paramètres!$A$1:$I$89,3,0)*0.475*44/12</f>
        <v>1.5299875405358012</v>
      </c>
      <c r="BS60" s="22">
        <f t="shared" si="9"/>
        <v>35.570214004898673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355.23615781077405</v>
      </c>
      <c r="T61" s="59">
        <f t="shared" si="34"/>
        <v>448.84541017639367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38.622296929633457</v>
      </c>
      <c r="AA61" s="21">
        <f>EXP(-LN(2)/25)*AA60+(1-EXP(-LN(2)/25))/(LN(2)/25)*Calculateur!V61*Calculateur!X61*VLOOKUP('Données projet'!$B$9,Paramètres!$A$1:$I$89,3,0)*0.475*44/12</f>
        <v>35.493423688386052</v>
      </c>
      <c r="AB61" s="21">
        <f>EXP(-LN(2)/2)*AB60+(1-EXP(-LN(2)/2))/(LN(2)/2)*V61*Y61*VLOOKUP('Données projet'!$B$9,Paramètres!$A$1:$I$89,3,0)*0.475*44/12</f>
        <v>2.0721621632096974</v>
      </c>
      <c r="AC61" s="22">
        <f t="shared" si="3"/>
        <v>76.187882781229206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21</v>
      </c>
      <c r="AI61" s="13">
        <f>IF('Données projet'!$A$62&gt;35,AI60+AH61-AQ60,IF(A61&lt;'Données projet'!$A$62,$AF$205^A61,IF(A61='Données projet'!$A$62,'Données projet'!$B$62,AI60+AH61-AQ60)))</f>
        <v>557.99999999999977</v>
      </c>
      <c r="AJ61" s="13">
        <f>AI61*VLOOKUP('Données projet'!$B$10,Paramètres!$A$1:$I$89,3,0)*VLOOKUP('Données projet'!$B$10,Paramètres!$A$1:$I$89,5,0)</f>
        <v>261.14399999999989</v>
      </c>
      <c r="AK61" s="13">
        <f t="shared" si="35"/>
        <v>62.966170181808813</v>
      </c>
      <c r="AL61" s="20">
        <f t="shared" si="4"/>
        <v>564.49187973331675</v>
      </c>
      <c r="AM61" s="59">
        <f t="shared" si="5"/>
        <v>857.82521306665012</v>
      </c>
      <c r="AN61" s="59">
        <f ca="1">AVERAGE(OFFSET($AM$3,0,0,'Données projet'!$E$10+1,1))-AVERAGE(OFFSET($H$3,0,0,'Données projet'!$E$10+1,1))</f>
        <v>402.38496642820587</v>
      </c>
      <c r="AO61" s="59">
        <f t="shared" si="36"/>
        <v>196.65158751478987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6.5571113837845694</v>
      </c>
      <c r="AV61" s="21">
        <f>EXP(-LN(2)/25)*AV60+(1-EXP(-LN(2)/25))/(LN(2)/25)*Calculateur!AQ61*Calculateur!AS61*VLOOKUP('Données projet'!$B$10,Paramètres!$A$1:$I$89,3,0)*0.475*44/12</f>
        <v>39.24201953628075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45.799130920065323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440</v>
      </c>
      <c r="BB61" s="12">
        <f>VLOOKUP(A61,'Données projet'!$A$87:$I$107,9,0)</f>
        <v>17.625</v>
      </c>
      <c r="BC61" s="12">
        <f t="array" ref="BC61">INDEX(BB:BB,MIN(IF(ISNUMBER(BB61:BB257),ROW(BB61:BB257),"")))</f>
        <v>17.625</v>
      </c>
      <c r="BD61" s="12">
        <f>IF('Données projet'!$A$88&gt;35,BD60+BC61-BL60,IF(A61&lt;'Données projet'!$A$88,$BA$205^A61,IF(A61='Données projet'!$A$88,'Données projet'!$B$88,BD60+BC61-BL60)))</f>
        <v>439.99999999999994</v>
      </c>
      <c r="BE61" s="13">
        <f>BD61*VLOOKUP('Données projet'!$B$11,Paramètres!$A$1:$I$89,3,0)*VLOOKUP('Données projet'!$B$11,Paramètres!$A$1:$I$89,5,0)</f>
        <v>263.12</v>
      </c>
      <c r="BF61" s="13">
        <f t="shared" si="37"/>
        <v>63.386973458752003</v>
      </c>
      <c r="BG61" s="20">
        <f t="shared" si="7"/>
        <v>568.66631210732646</v>
      </c>
      <c r="BH61" s="59">
        <f t="shared" si="8"/>
        <v>861.99964544065983</v>
      </c>
      <c r="BI61" s="59">
        <f ca="1">AVERAGE(OFFSET($BH$3,0,0,'Données projet'!$E$11+1,1))-AVERAGE(OFFSET($H$3,0,0,'Données projet'!$E$11+1,1))</f>
        <v>257.96727373333601</v>
      </c>
      <c r="BJ61" s="59">
        <f t="shared" si="38"/>
        <v>194.52809733694494</v>
      </c>
      <c r="BK61" s="15">
        <f>IF(ISNA(VLOOKUP(A61,'Données projet'!$A$87:$I$107,3,0)),0,VLOOKUP(A61,'Données projet'!$A$87:$I$107,3,0))</f>
        <v>8</v>
      </c>
      <c r="BL61" s="15">
        <f>IF(ISNA(VLOOKUP(A61,'Données projet'!$A$87:$I$107,4,0)),0,VLOOKUP(A61,'Données projet'!$A$87:$I$107,4,0))</f>
        <v>78</v>
      </c>
      <c r="BM61" s="16">
        <f>IF(ISNA(VLOOKUP(A61,'Données projet'!$A$87:$I$107,5,0)),0%,VLOOKUP(A61,'Données projet'!$A$87:$I$107,5,0)*VLOOKUP('Données projet'!$B$11,Paramètres!$A$1:$I$89,7,0))</f>
        <v>0.13500000000000001</v>
      </c>
      <c r="BN61" s="16">
        <f>IF(ISNA(VLOOKUP(A61,'Données projet'!$A$87:$I$107,6,0)),0%,VLOOKUP(A61,'Données projet'!$A$87:$I$107,6,0)*VLOOKUP('Données projet'!$B$11,Paramètres!$A$1:$I$89,7,0))</f>
        <v>0.18000000000000002</v>
      </c>
      <c r="BO61" s="16">
        <f>IF(ISNA(VLOOKUP(A61,'Données projet'!$A$87:$I$107,7,0)),0%,VLOOKUP(A61,'Données projet'!$A$87:$I$107,7,0))</f>
        <v>0.3</v>
      </c>
      <c r="BP61" s="21">
        <f>EXP(-LN(2)/35)*BP60+(1-EXP(-LN(2)/35))/(LN(2)/35)*BL61*BM61*VLOOKUP('Données projet'!$B$11,Paramètres!$A$1:$I$89,3,0)*0.475*44/12</f>
        <v>11.582839722170162</v>
      </c>
      <c r="BQ61" s="21">
        <f>EXP(-LN(2)/25)*BQ60+(1-EXP(-LN(2)/25))/(LN(2)/25)*Calculateur!BL61*Calculateur!BN61*VLOOKUP('Données projet'!$B$11,Paramètres!$A$1:$I$89,3,0)*0.475*44/12</f>
        <v>40.999209648724353</v>
      </c>
      <c r="BR61" s="21">
        <f>EXP(-LN(2)/2)*BR60+(1-EXP(-LN(2)/2))/(LN(2)/2)*BL61*BO61*VLOOKUP('Données projet'!$B$11,Paramètres!$A$1:$I$89,3,0)*0.475*44/12</f>
        <v>16.925417550791138</v>
      </c>
      <c r="BS61" s="22">
        <f t="shared" si="9"/>
        <v>69.507466921685648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355.23615781077405</v>
      </c>
      <c r="T62" s="59">
        <f t="shared" si="34"/>
        <v>448.84541017639367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37.864937244118387</v>
      </c>
      <c r="AA62" s="21">
        <f>EXP(-LN(2)/25)*AA61+(1-EXP(-LN(2)/25))/(LN(2)/25)*Calculateur!V62*Calculateur!X62*VLOOKUP('Données projet'!$B$9,Paramètres!$A$1:$I$89,3,0)*0.475*44/12</f>
        <v>34.522854151109108</v>
      </c>
      <c r="AB62" s="21">
        <f>EXP(-LN(2)/2)*AB61+(1-EXP(-LN(2)/2))/(LN(2)/2)*V62*Y62*VLOOKUP('Données projet'!$B$9,Paramètres!$A$1:$I$89,3,0)*0.475*44/12</f>
        <v>1.4652399173237625</v>
      </c>
      <c r="AC62" s="22">
        <f t="shared" si="3"/>
        <v>73.853031312551252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21</v>
      </c>
      <c r="AI62" s="13">
        <f>IF('Données projet'!$A$62&gt;35,AI61+AH62-AQ61,IF(A62&lt;'Données projet'!$A$62,$AF$205^A62,IF(A62='Données projet'!$A$62,'Données projet'!$B$62,AI61+AH62-AQ61)))</f>
        <v>578.99999999999977</v>
      </c>
      <c r="AJ62" s="13">
        <f>AI62*VLOOKUP('Données projet'!$B$10,Paramètres!$A$1:$I$89,3,0)*VLOOKUP('Données projet'!$B$10,Paramètres!$A$1:$I$89,5,0)</f>
        <v>270.97199999999992</v>
      </c>
      <c r="AK62" s="13">
        <f t="shared" si="35"/>
        <v>65.055509056864196</v>
      </c>
      <c r="AL62" s="20">
        <f t="shared" si="4"/>
        <v>585.24791160737163</v>
      </c>
      <c r="AM62" s="59">
        <f t="shared" si="5"/>
        <v>878.58124494070489</v>
      </c>
      <c r="AN62" s="59">
        <f ca="1">AVERAGE(OFFSET($AM$3,0,0,'Données projet'!$E$10+1,1))-AVERAGE(OFFSET($H$3,0,0,'Données projet'!$E$10+1,1))</f>
        <v>402.38496642820587</v>
      </c>
      <c r="AO62" s="59">
        <f t="shared" si="36"/>
        <v>196.65158751478987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6.4285304289915857</v>
      </c>
      <c r="AV62" s="21">
        <f>EXP(-LN(2)/25)*AV61+(1-EXP(-LN(2)/25))/(LN(2)/25)*Calculateur!AQ62*Calculateur!AS62*VLOOKUP('Données projet'!$B$10,Paramètres!$A$1:$I$89,3,0)*0.475*44/12</f>
        <v>38.168944448413036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44.597474877404622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16.625</v>
      </c>
      <c r="BD62" s="12">
        <f>IF('Données projet'!$A$88&gt;35,BD61+BC62-BL61,IF(A62&lt;'Données projet'!$A$88,$BA$205^A62,IF(A62='Données projet'!$A$88,'Données projet'!$B$88,BD61+BC62-BL61)))</f>
        <v>378.62499999999994</v>
      </c>
      <c r="BE62" s="13">
        <f>BD62*VLOOKUP('Données projet'!$B$11,Paramètres!$A$1:$I$89,3,0)*VLOOKUP('Données projet'!$B$11,Paramètres!$A$1:$I$89,5,0)</f>
        <v>226.41774999999998</v>
      </c>
      <c r="BF62" s="13">
        <f t="shared" si="37"/>
        <v>55.507409107649494</v>
      </c>
      <c r="BG62" s="20">
        <f t="shared" si="7"/>
        <v>491.0196521124895</v>
      </c>
      <c r="BH62" s="59">
        <f t="shared" si="8"/>
        <v>784.35298544582281</v>
      </c>
      <c r="BI62" s="59">
        <f ca="1">AVERAGE(OFFSET($BH$3,0,0,'Données projet'!$E$11+1,1))-AVERAGE(OFFSET($H$3,0,0,'Données projet'!$E$11+1,1))</f>
        <v>257.96727373333601</v>
      </c>
      <c r="BJ62" s="59">
        <f t="shared" si="38"/>
        <v>194.52809733694494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11.355707300053041</v>
      </c>
      <c r="BQ62" s="21">
        <f>EXP(-LN(2)/25)*BQ61+(1-EXP(-LN(2)/25))/(LN(2)/25)*Calculateur!BL62*Calculateur!BN62*VLOOKUP('Données projet'!$B$11,Paramètres!$A$1:$I$89,3,0)*0.475*44/12</f>
        <v>39.878084104825255</v>
      </c>
      <c r="BR62" s="21">
        <f>EXP(-LN(2)/2)*BR61+(1-EXP(-LN(2)/2))/(LN(2)/2)*BL62*BO62*VLOOKUP('Données projet'!$B$11,Paramètres!$A$1:$I$89,3,0)*0.475*44/12</f>
        <v>11.968077524578222</v>
      </c>
      <c r="BS62" s="22">
        <f t="shared" si="9"/>
        <v>63.201868929456516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355.23615781077405</v>
      </c>
      <c r="T63" s="59">
        <f t="shared" si="34"/>
        <v>448.84541017639367</v>
      </c>
      <c r="U63" s="15" t="str">
        <f>IF(ISNA(VLOOKUP(A63,'Données projet'!$A$35:$I$55,3,0)),0,VLOOKUP(A63,'Données projet'!$A$35:$I$55,3,0))</f>
        <v>CR</v>
      </c>
      <c r="V63" s="15">
        <f>IF(ISNA(VLOOKUP(A63,'Données projet'!$A$35:$I$55,4,0)),0,VLOOKUP(A63,'Données projet'!$A$35:$I$55,4,0))</f>
        <v>666</v>
      </c>
      <c r="W63" s="16">
        <f>IF(ISNA(VLOOKUP(A63,'Données projet'!$A$35:$I$55,5,0)),0%,VLOOKUP(A63,'Données projet'!$A$35:$I$55,5,0)*VLOOKUP('Données projet'!$B$9,Paramètres!$A$1:$I$89,7,0))</f>
        <v>0.44000000000000006</v>
      </c>
      <c r="X63" s="16">
        <f>IF(ISNA(VLOOKUP(A63,'Données projet'!$A$35:$I$55,6,0)),0%,VLOOKUP(A63,'Données projet'!$A$35:$I$55,6,0)*VLOOKUP('Données projet'!$B$9,Paramètres!$A$1:$I$89,7,0))</f>
        <v>5.5000000000000007E-2</v>
      </c>
      <c r="Y63" s="16">
        <f>IF(ISNA(VLOOKUP(A63,'Données projet'!$A$35:$I$55,7,0)),0%,VLOOKUP(A63,'Données projet'!$A$35:$I$55,7,0))</f>
        <v>0.1</v>
      </c>
      <c r="Z63" s="21">
        <f>EXP(-LN(2)/35)*Z62+(1-EXP(-LN(2)/35))/(LN(2)/35)*V63*W63*VLOOKUP('Données projet'!$B$9,Paramètres!$A$1:$I$89,3,0)*0.475*44/12</f>
        <v>254.42610336439211</v>
      </c>
      <c r="AA63" s="21">
        <f>EXP(-LN(2)/25)*AA62+(1-EXP(-LN(2)/25))/(LN(2)/25)*Calculateur!V63*Calculateur!X63*VLOOKUP('Données projet'!$B$9,Paramètres!$A$1:$I$89,3,0)*0.475*44/12</f>
        <v>60.634833273721668</v>
      </c>
      <c r="AB63" s="21">
        <f>EXP(-LN(2)/2)*AB62+(1-EXP(-LN(2)/2))/(LN(2)/2)*V63*Y63*VLOOKUP('Données projet'!$B$9,Paramètres!$A$1:$I$89,3,0)*0.475*44/12</f>
        <v>43.18841017913666</v>
      </c>
      <c r="AC63" s="22">
        <f t="shared" si="3"/>
        <v>358.24934681725045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600</v>
      </c>
      <c r="AG63" s="12">
        <f>VLOOKUP(A63,'Données projet'!$A$61:$I$81,9,0)</f>
        <v>21</v>
      </c>
      <c r="AH63" s="12">
        <f t="array" ref="AH63">INDEX(AG:AG,MIN(IF(ISNUMBER(AG63:AG259),ROW(AG63:AG259),"")))</f>
        <v>21</v>
      </c>
      <c r="AI63" s="13">
        <f>IF('Données projet'!$A$62&gt;35,AI62+AH63-AQ62,IF(A63&lt;'Données projet'!$A$62,$AF$205^A63,IF(A63='Données projet'!$A$62,'Données projet'!$B$62,AI62+AH63-AQ62)))</f>
        <v>599.99999999999977</v>
      </c>
      <c r="AJ63" s="13">
        <f>AI63*VLOOKUP('Données projet'!$B$10,Paramètres!$A$1:$I$89,3,0)*VLOOKUP('Données projet'!$B$10,Paramètres!$A$1:$I$89,5,0)</f>
        <v>280.7999999999999</v>
      </c>
      <c r="AK63" s="13">
        <f t="shared" si="35"/>
        <v>67.136043795470286</v>
      </c>
      <c r="AL63" s="20">
        <f t="shared" si="4"/>
        <v>605.98860961044386</v>
      </c>
      <c r="AM63" s="59">
        <f t="shared" si="5"/>
        <v>899.32194294377723</v>
      </c>
      <c r="AN63" s="59">
        <f ca="1">AVERAGE(OFFSET($AM$3,0,0,'Données projet'!$E$10+1,1))-AVERAGE(OFFSET($H$3,0,0,'Données projet'!$E$10+1,1))</f>
        <v>402.38496642820587</v>
      </c>
      <c r="AO63" s="59">
        <f t="shared" si="36"/>
        <v>196.65158751478987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80</v>
      </c>
      <c r="AR63" s="16">
        <f>IF(ISNA(VLOOKUP(A63,'Données projet'!$A$61:$I$81,5,0)),0%,VLOOKUP(A63,'Données projet'!$A$61:$I$81,5,0)*VLOOKUP('Données projet'!$B$10,Paramètres!$A$1:$I$89,7,0))</f>
        <v>0.16500000000000001</v>
      </c>
      <c r="AS63" s="16">
        <f>IF(ISNA(VLOOKUP(A63,'Données projet'!$A$61:$I$81,6,0)),0%,VLOOKUP(A63,'Données projet'!$A$61:$I$81,6,0)*VLOOKUP('Données projet'!$B$10,Paramètres!$A$1:$I$89,7,0))</f>
        <v>0.38500000000000001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14.497455448218755</v>
      </c>
      <c r="AV63" s="21">
        <f>EXP(-LN(2)/25)*AV62+(1-EXP(-LN(2)/25))/(LN(2)/25)*Calculateur!AQ63*Calculateur!AS63*VLOOKUP('Données projet'!$B$10,Paramètres!$A$1:$I$89,3,0)*0.475*44/12</f>
        <v>56.171554195816128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70.669009644034887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16.625</v>
      </c>
      <c r="BD63" s="12">
        <f>IF('Données projet'!$A$88&gt;35,BD62+BC63-BL62,IF(A63&lt;'Données projet'!$A$88,$BA$205^A63,IF(A63='Données projet'!$A$88,'Données projet'!$B$88,BD62+BC63-BL62)))</f>
        <v>395.24999999999994</v>
      </c>
      <c r="BE63" s="13">
        <f>BD63*VLOOKUP('Données projet'!$B$11,Paramètres!$A$1:$I$89,3,0)*VLOOKUP('Données projet'!$B$11,Paramètres!$A$1:$I$89,5,0)</f>
        <v>236.35949999999997</v>
      </c>
      <c r="BF63" s="13">
        <f t="shared" si="37"/>
        <v>57.655563749416167</v>
      </c>
      <c r="BG63" s="20">
        <f t="shared" si="7"/>
        <v>512.07623603023308</v>
      </c>
      <c r="BH63" s="59">
        <f t="shared" si="8"/>
        <v>805.40956936356633</v>
      </c>
      <c r="BI63" s="59">
        <f ca="1">AVERAGE(OFFSET($BH$3,0,0,'Données projet'!$E$11+1,1))-AVERAGE(OFFSET($H$3,0,0,'Données projet'!$E$11+1,1))</f>
        <v>257.96727373333601</v>
      </c>
      <c r="BJ63" s="59">
        <f t="shared" si="38"/>
        <v>194.52809733694494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11.133028806196538</v>
      </c>
      <c r="BQ63" s="21">
        <f>EXP(-LN(2)/25)*BQ62+(1-EXP(-LN(2)/25))/(LN(2)/25)*Calculateur!BL63*Calculateur!BN63*VLOOKUP('Données projet'!$B$11,Paramètres!$A$1:$I$89,3,0)*0.475*44/12</f>
        <v>38.787615797881507</v>
      </c>
      <c r="BR63" s="21">
        <f>EXP(-LN(2)/2)*BR62+(1-EXP(-LN(2)/2))/(LN(2)/2)*BL63*BO63*VLOOKUP('Données projet'!$B$11,Paramètres!$A$1:$I$89,3,0)*0.475*44/12</f>
        <v>8.462708775395571</v>
      </c>
      <c r="BS63" s="22">
        <f t="shared" si="9"/>
        <v>58.383353379473618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355.23615781077405</v>
      </c>
      <c r="T64" s="59">
        <f t="shared" si="34"/>
        <v>448.84541017639367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249.43696266201621</v>
      </c>
      <c r="AA64" s="21">
        <f>EXP(-LN(2)/25)*AA63+(1-EXP(-LN(2)/25))/(LN(2)/25)*Calculateur!V64*Calculateur!X64*VLOOKUP('Données projet'!$B$9,Paramètres!$A$1:$I$89,3,0)*0.475*44/12</f>
        <v>58.976770569204447</v>
      </c>
      <c r="AB64" s="21">
        <f>EXP(-LN(2)/2)*AB63+(1-EXP(-LN(2)/2))/(LN(2)/2)*V64*Y64*VLOOKUP('Données projet'!$B$9,Paramètres!$A$1:$I$89,3,0)*0.475*44/12</f>
        <v>30.538817706333649</v>
      </c>
      <c r="AC64" s="22">
        <f t="shared" si="3"/>
        <v>338.95255093755429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23.5</v>
      </c>
      <c r="AI64" s="13">
        <f>IF('Données projet'!$A$62&gt;35,AI63+AH64-AQ63,IF(A64&lt;'Données projet'!$A$62,$AF$205^A64,IF(A64='Données projet'!$A$62,'Données projet'!$B$62,AI63+AH64-AQ63)))</f>
        <v>543.49999999999977</v>
      </c>
      <c r="AJ64" s="13">
        <f>AI64*VLOOKUP('Données projet'!$B$10,Paramètres!$A$1:$I$89,3,0)*VLOOKUP('Données projet'!$B$10,Paramètres!$A$1:$I$89,5,0)</f>
        <v>254.35799999999989</v>
      </c>
      <c r="AK64" s="13">
        <f t="shared" si="35"/>
        <v>61.518200276219218</v>
      </c>
      <c r="AL64" s="20">
        <f t="shared" si="4"/>
        <v>550.15104881441493</v>
      </c>
      <c r="AM64" s="59">
        <f t="shared" si="5"/>
        <v>843.48438214774819</v>
      </c>
      <c r="AN64" s="59">
        <f ca="1">AVERAGE(OFFSET($AM$3,0,0,'Données projet'!$E$10+1,1))-AVERAGE(OFFSET($H$3,0,0,'Données projet'!$E$10+1,1))</f>
        <v>402.38496642820587</v>
      </c>
      <c r="AO64" s="59">
        <f t="shared" si="36"/>
        <v>196.65158751478987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14.213169189453877</v>
      </c>
      <c r="AV64" s="21">
        <f>EXP(-LN(2)/25)*AV63+(1-EXP(-LN(2)/25))/(LN(2)/25)*Calculateur!AQ64*Calculateur!AS64*VLOOKUP('Données projet'!$B$10,Paramètres!$A$1:$I$89,3,0)*0.475*44/12</f>
        <v>54.635540092397882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68.848709281851754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16.625</v>
      </c>
      <c r="BD64" s="12">
        <f>IF('Données projet'!$A$88&gt;35,BD63+BC64-BL63,IF(A64&lt;'Données projet'!$A$88,$BA$205^A64,IF(A64='Données projet'!$A$88,'Données projet'!$B$88,BD63+BC64-BL63)))</f>
        <v>411.87499999999994</v>
      </c>
      <c r="BE64" s="13">
        <f>BD64*VLOOKUP('Données projet'!$B$11,Paramètres!$A$1:$I$89,3,0)*VLOOKUP('Données projet'!$B$11,Paramètres!$A$1:$I$89,5,0)</f>
        <v>246.30124999999998</v>
      </c>
      <c r="BF64" s="13">
        <f t="shared" si="37"/>
        <v>59.793223430016852</v>
      </c>
      <c r="BG64" s="20">
        <f t="shared" si="7"/>
        <v>533.11454122394582</v>
      </c>
      <c r="BH64" s="59">
        <f t="shared" si="8"/>
        <v>826.44787455727919</v>
      </c>
      <c r="BI64" s="59">
        <f ca="1">AVERAGE(OFFSET($BH$3,0,0,'Données projet'!$E$11+1,1))-AVERAGE(OFFSET($H$3,0,0,'Données projet'!$E$11+1,1))</f>
        <v>257.96727373333601</v>
      </c>
      <c r="BJ64" s="59">
        <f t="shared" si="38"/>
        <v>194.52809733694494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10.914716901784091</v>
      </c>
      <c r="BQ64" s="21">
        <f>EXP(-LN(2)/25)*BQ63+(1-EXP(-LN(2)/25))/(LN(2)/25)*Calculateur!BL64*Calculateur!BN64*VLOOKUP('Données projet'!$B$11,Paramètres!$A$1:$I$89,3,0)*0.475*44/12</f>
        <v>37.72696640413637</v>
      </c>
      <c r="BR64" s="21">
        <f>EXP(-LN(2)/2)*BR63+(1-EXP(-LN(2)/2))/(LN(2)/2)*BL64*BO64*VLOOKUP('Données projet'!$B$11,Paramètres!$A$1:$I$89,3,0)*0.475*44/12</f>
        <v>5.9840387622891118</v>
      </c>
      <c r="BS64" s="22">
        <f t="shared" si="9"/>
        <v>54.625722068209569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355.23615781077405</v>
      </c>
      <c r="T65" s="59">
        <f t="shared" si="34"/>
        <v>448.84541017639367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244.54565596573858</v>
      </c>
      <c r="AA65" s="21">
        <f>EXP(-LN(2)/25)*AA64+(1-EXP(-LN(2)/25))/(LN(2)/25)*Calculateur!V65*Calculateur!X65*VLOOKUP('Données projet'!$B$9,Paramètres!$A$1:$I$89,3,0)*0.475*44/12</f>
        <v>57.364047676535982</v>
      </c>
      <c r="AB65" s="21">
        <f>EXP(-LN(2)/2)*AB64+(1-EXP(-LN(2)/2))/(LN(2)/2)*V65*Y65*VLOOKUP('Données projet'!$B$9,Paramètres!$A$1:$I$89,3,0)*0.475*44/12</f>
        <v>21.594205089568334</v>
      </c>
      <c r="AC65" s="22">
        <f t="shared" si="3"/>
        <v>323.5039087318429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23.5</v>
      </c>
      <c r="AI65" s="13">
        <f>IF('Données projet'!$A$62&gt;35,AI64+AH65-AQ64,IF(A65&lt;'Données projet'!$A$62,$AF$205^A65,IF(A65='Données projet'!$A$62,'Données projet'!$B$62,AI64+AH65-AQ64)))</f>
        <v>566.99999999999977</v>
      </c>
      <c r="AJ65" s="13">
        <f>AI65*VLOOKUP('Données projet'!$B$10,Paramètres!$A$1:$I$89,3,0)*VLOOKUP('Données projet'!$B$10,Paramètres!$A$1:$I$89,5,0)</f>
        <v>265.35599999999988</v>
      </c>
      <c r="AK65" s="13">
        <f t="shared" si="35"/>
        <v>63.86270230912983</v>
      </c>
      <c r="AL65" s="20">
        <f t="shared" si="4"/>
        <v>573.38923985506756</v>
      </c>
      <c r="AM65" s="59">
        <f t="shared" si="5"/>
        <v>866.72257318840093</v>
      </c>
      <c r="AN65" s="59">
        <f ca="1">AVERAGE(OFFSET($AM$3,0,0,'Données projet'!$E$10+1,1))-AVERAGE(OFFSET($H$3,0,0,'Données projet'!$E$10+1,1))</f>
        <v>402.38496642820587</v>
      </c>
      <c r="AO65" s="59">
        <f t="shared" si="36"/>
        <v>196.65158751478987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13.934457610825882</v>
      </c>
      <c r="AV65" s="21">
        <f>EXP(-LN(2)/25)*AV64+(1-EXP(-LN(2)/25))/(LN(2)/25)*Calculateur!AQ65*Calculateur!AS65*VLOOKUP('Données projet'!$B$10,Paramètres!$A$1:$I$89,3,0)*0.475*44/12</f>
        <v>53.141528375413081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67.075985986238962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16.625</v>
      </c>
      <c r="BD65" s="12">
        <f>IF('Données projet'!$A$88&gt;35,BD64+BC65-BL64,IF(A65&lt;'Données projet'!$A$88,$BA$205^A65,IF(A65='Données projet'!$A$88,'Données projet'!$B$88,BD64+BC65-BL64)))</f>
        <v>428.49999999999994</v>
      </c>
      <c r="BE65" s="13">
        <f>BD65*VLOOKUP('Données projet'!$B$11,Paramètres!$A$1:$I$89,3,0)*VLOOKUP('Données projet'!$B$11,Paramètres!$A$1:$I$89,5,0)</f>
        <v>256.24299999999999</v>
      </c>
      <c r="BF65" s="13">
        <f t="shared" si="37"/>
        <v>61.920860231490025</v>
      </c>
      <c r="BG65" s="20">
        <f t="shared" si="7"/>
        <v>554.13538990317852</v>
      </c>
      <c r="BH65" s="59">
        <f t="shared" si="8"/>
        <v>847.46872323651178</v>
      </c>
      <c r="BI65" s="59">
        <f ca="1">AVERAGE(OFFSET($BH$3,0,0,'Données projet'!$E$11+1,1))-AVERAGE(OFFSET($H$3,0,0,'Données projet'!$E$11+1,1))</f>
        <v>257.96727373333601</v>
      </c>
      <c r="BJ65" s="59">
        <f t="shared" si="38"/>
        <v>194.52809733694494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10.70068596066006</v>
      </c>
      <c r="BQ65" s="21">
        <f>EXP(-LN(2)/25)*BQ64+(1-EXP(-LN(2)/25))/(LN(2)/25)*Calculateur!BL65*Calculateur!BN65*VLOOKUP('Données projet'!$B$11,Paramètres!$A$1:$I$89,3,0)*0.475*44/12</f>
        <v>36.695320523840323</v>
      </c>
      <c r="BR65" s="21">
        <f>EXP(-LN(2)/2)*BR64+(1-EXP(-LN(2)/2))/(LN(2)/2)*BL65*BO65*VLOOKUP('Données projet'!$B$11,Paramètres!$A$1:$I$89,3,0)*0.475*44/12</f>
        <v>4.2313543876977864</v>
      </c>
      <c r="BS65" s="22">
        <f t="shared" si="9"/>
        <v>51.627360872198167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355.23615781077405</v>
      </c>
      <c r="T66" s="59">
        <f t="shared" si="34"/>
        <v>448.84541017639367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239.75026481037244</v>
      </c>
      <c r="AA66" s="21">
        <f>EXP(-LN(2)/25)*AA65+(1-EXP(-LN(2)/25))/(LN(2)/25)*Calculateur!V66*Calculateur!X66*VLOOKUP('Données projet'!$B$9,Paramètres!$A$1:$I$89,3,0)*0.475*44/12</f>
        <v>55.795424776176944</v>
      </c>
      <c r="AB66" s="21">
        <f>EXP(-LN(2)/2)*AB65+(1-EXP(-LN(2)/2))/(LN(2)/2)*V66*Y66*VLOOKUP('Données projet'!$B$9,Paramètres!$A$1:$I$89,3,0)*0.475*44/12</f>
        <v>15.269408853166828</v>
      </c>
      <c r="AC66" s="22">
        <f t="shared" si="3"/>
        <v>310.81509843971622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23.5</v>
      </c>
      <c r="AI66" s="13">
        <f>IF('Données projet'!$A$62&gt;35,AI65+AH66-AQ65,IF(A66&lt;'Données projet'!$A$62,$AF$205^A66,IF(A66='Données projet'!$A$62,'Données projet'!$B$62,AI65+AH66-AQ65)))</f>
        <v>590.49999999999977</v>
      </c>
      <c r="AJ66" s="13">
        <f>AI66*VLOOKUP('Données projet'!$B$10,Paramètres!$A$1:$I$89,3,0)*VLOOKUP('Données projet'!$B$10,Paramètres!$A$1:$I$89,5,0)</f>
        <v>276.35399999999987</v>
      </c>
      <c r="AK66" s="13">
        <f t="shared" si="35"/>
        <v>66.195917497113015</v>
      </c>
      <c r="AL66" s="20">
        <f t="shared" si="4"/>
        <v>596.60777297413836</v>
      </c>
      <c r="AM66" s="59">
        <f t="shared" si="5"/>
        <v>889.94110630747173</v>
      </c>
      <c r="AN66" s="59">
        <f ca="1">AVERAGE(OFFSET($AM$3,0,0,'Données projet'!$E$10+1,1))-AVERAGE(OFFSET($H$3,0,0,'Données projet'!$E$10+1,1))</f>
        <v>402.38496642820587</v>
      </c>
      <c r="AO66" s="59">
        <f t="shared" si="36"/>
        <v>196.65158751478987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13.661211396257505</v>
      </c>
      <c r="AV66" s="21">
        <f>EXP(-LN(2)/25)*AV65+(1-EXP(-LN(2)/25))/(LN(2)/25)*Calculateur!AQ66*Calculateur!AS66*VLOOKUP('Données projet'!$B$10,Paramètres!$A$1:$I$89,3,0)*0.475*44/12</f>
        <v>51.688370487395893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65.3495818836534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16.625</v>
      </c>
      <c r="BD66" s="12">
        <f>IF('Données projet'!$A$88&gt;35,BD65+BC66-BL65,IF(A66&lt;'Données projet'!$A$88,$BA$205^A66,IF(A66='Données projet'!$A$88,'Données projet'!$B$88,BD65+BC66-BL65)))</f>
        <v>445.12499999999994</v>
      </c>
      <c r="BE66" s="13">
        <f>BD66*VLOOKUP('Données projet'!$B$11,Paramètres!$A$1:$I$89,3,0)*VLOOKUP('Données projet'!$B$11,Paramètres!$A$1:$I$89,5,0)</f>
        <v>266.18475000000001</v>
      </c>
      <c r="BF66" s="13">
        <f t="shared" si="37"/>
        <v>64.038907529798962</v>
      </c>
      <c r="BG66" s="20">
        <f t="shared" si="7"/>
        <v>575.13953686439993</v>
      </c>
      <c r="BH66" s="59">
        <f t="shared" si="8"/>
        <v>868.4728701977333</v>
      </c>
      <c r="BI66" s="59">
        <f ca="1">AVERAGE(OFFSET($BH$3,0,0,'Données projet'!$E$11+1,1))-AVERAGE(OFFSET($H$3,0,0,'Données projet'!$E$11+1,1))</f>
        <v>257.96727373333601</v>
      </c>
      <c r="BJ66" s="59">
        <f t="shared" si="38"/>
        <v>194.52809733694494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10.490852035745487</v>
      </c>
      <c r="BQ66" s="21">
        <f>EXP(-LN(2)/25)*BQ65+(1-EXP(-LN(2)/25))/(LN(2)/25)*Calculateur!BL66*Calculateur!BN66*VLOOKUP('Données projet'!$B$11,Paramètres!$A$1:$I$89,3,0)*0.475*44/12</f>
        <v>35.69188505439287</v>
      </c>
      <c r="BR66" s="21">
        <f>EXP(-LN(2)/2)*BR65+(1-EXP(-LN(2)/2))/(LN(2)/2)*BL66*BO66*VLOOKUP('Données projet'!$B$11,Paramètres!$A$1:$I$89,3,0)*0.475*44/12</f>
        <v>2.9920193811445568</v>
      </c>
      <c r="BS66" s="22">
        <f t="shared" si="9"/>
        <v>49.174756471282919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355.23615781077405</v>
      </c>
      <c r="T67" s="59">
        <f t="shared" si="34"/>
        <v>448.84541017639367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235.04890835066325</v>
      </c>
      <c r="AA67" s="21">
        <f>EXP(-LN(2)/25)*AA66+(1-EXP(-LN(2)/25))/(LN(2)/25)*Calculateur!V67*Calculateur!X67*VLOOKUP('Données projet'!$B$9,Paramètres!$A$1:$I$89,3,0)*0.475*44/12</f>
        <v>54.269695951518521</v>
      </c>
      <c r="AB67" s="21">
        <f>EXP(-LN(2)/2)*AB66+(1-EXP(-LN(2)/2))/(LN(2)/2)*V67*Y67*VLOOKUP('Données projet'!$B$9,Paramètres!$A$1:$I$89,3,0)*0.475*44/12</f>
        <v>10.797102544784169</v>
      </c>
      <c r="AC67" s="22">
        <f t="shared" si="3"/>
        <v>300.11570684696596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23.5</v>
      </c>
      <c r="AI67" s="13">
        <f>IF('Données projet'!$A$62&gt;35,AI66+AH67-AQ66,IF(A67&lt;'Données projet'!$A$62,$AF$205^A67,IF(A67='Données projet'!$A$62,'Données projet'!$B$62,AI66+AH67-AQ66)))</f>
        <v>613.99999999999977</v>
      </c>
      <c r="AJ67" s="13">
        <f>AI67*VLOOKUP('Données projet'!$B$10,Paramètres!$A$1:$I$89,3,0)*VLOOKUP('Données projet'!$B$10,Paramètres!$A$1:$I$89,5,0)</f>
        <v>287.35199999999986</v>
      </c>
      <c r="AK67" s="13">
        <f t="shared" si="35"/>
        <v>68.518346414398778</v>
      </c>
      <c r="AL67" s="20">
        <f t="shared" si="4"/>
        <v>619.80752000507755</v>
      </c>
      <c r="AM67" s="59">
        <f t="shared" si="5"/>
        <v>913.14085333841081</v>
      </c>
      <c r="AN67" s="59">
        <f ca="1">AVERAGE(OFFSET($AM$3,0,0,'Données projet'!$E$10+1,1))-AVERAGE(OFFSET($H$3,0,0,'Données projet'!$E$10+1,1))</f>
        <v>402.38496642820587</v>
      </c>
      <c r="AO67" s="59">
        <f t="shared" si="36"/>
        <v>196.65158751478987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13.393323373293079</v>
      </c>
      <c r="AV67" s="21">
        <f>EXP(-LN(2)/25)*AV66+(1-EXP(-LN(2)/25))/(LN(2)/25)*Calculateur!AQ67*Calculateur!AS67*VLOOKUP('Données projet'!$B$10,Paramètres!$A$1:$I$89,3,0)*0.475*44/12</f>
        <v>50.274949278244783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63.668272651537862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16.625</v>
      </c>
      <c r="BD67" s="12">
        <f>IF('Données projet'!$A$88&gt;35,BD66+BC67-BL66,IF(A67&lt;'Données projet'!$A$88,$BA$205^A67,IF(A67='Données projet'!$A$88,'Données projet'!$B$88,BD66+BC67-BL66)))</f>
        <v>461.74999999999994</v>
      </c>
      <c r="BE67" s="13">
        <f>BD67*VLOOKUP('Données projet'!$B$11,Paramètres!$A$1:$I$89,3,0)*VLOOKUP('Données projet'!$B$11,Paramètres!$A$1:$I$89,5,0)</f>
        <v>276.12649999999996</v>
      </c>
      <c r="BF67" s="13">
        <f t="shared" si="37"/>
        <v>66.147764494536574</v>
      </c>
      <c r="BG67" s="20">
        <f t="shared" si="7"/>
        <v>596.12767732798443</v>
      </c>
      <c r="BH67" s="59">
        <f t="shared" si="8"/>
        <v>889.46101066131769</v>
      </c>
      <c r="BI67" s="59">
        <f ca="1">AVERAGE(OFFSET($BH$3,0,0,'Données projet'!$E$11+1,1))-AVERAGE(OFFSET($H$3,0,0,'Données projet'!$E$11+1,1))</f>
        <v>257.96727373333601</v>
      </c>
      <c r="BJ67" s="59">
        <f t="shared" si="38"/>
        <v>194.52809733694494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10.285132826112433</v>
      </c>
      <c r="BQ67" s="21">
        <f>EXP(-LN(2)/25)*BQ66+(1-EXP(-LN(2)/25))/(LN(2)/25)*Calculateur!BL67*Calculateur!BN67*VLOOKUP('Données projet'!$B$11,Paramètres!$A$1:$I$89,3,0)*0.475*44/12</f>
        <v>34.715888580625837</v>
      </c>
      <c r="BR67" s="21">
        <f>EXP(-LN(2)/2)*BR66+(1-EXP(-LN(2)/2))/(LN(2)/2)*BL67*BO67*VLOOKUP('Données projet'!$B$11,Paramètres!$A$1:$I$89,3,0)*0.475*44/12</f>
        <v>2.1156771938488936</v>
      </c>
      <c r="BS67" s="22">
        <f t="shared" si="9"/>
        <v>47.116698600587164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355.23615781077405</v>
      </c>
      <c r="T68" s="59">
        <f t="shared" si="34"/>
        <v>448.84541017639367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230.43974262358466</v>
      </c>
      <c r="AA68" s="21">
        <f>EXP(-LN(2)/25)*AA67+(1-EXP(-LN(2)/25))/(LN(2)/25)*Calculateur!V68*Calculateur!X68*VLOOKUP('Données projet'!$B$9,Paramètres!$A$1:$I$89,3,0)*0.475*44/12</f>
        <v>52.785688261804971</v>
      </c>
      <c r="AB68" s="21">
        <f>EXP(-LN(2)/2)*AB67+(1-EXP(-LN(2)/2))/(LN(2)/2)*V68*Y68*VLOOKUP('Données projet'!$B$9,Paramètres!$A$1:$I$89,3,0)*0.475*44/12</f>
        <v>7.634704426583415</v>
      </c>
      <c r="AC68" s="22">
        <f t="shared" ref="AC68:AC131" si="57">SUM(Z68:AB68)</f>
        <v>290.86013531197307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23.5</v>
      </c>
      <c r="AI68" s="13">
        <f>IF('Données projet'!$A$62&gt;35,AI67+AH68-AQ67,IF(A68&lt;'Données projet'!$A$62,$AF$205^A68,IF(A68='Données projet'!$A$62,'Données projet'!$B$62,AI67+AH68-AQ67)))</f>
        <v>637.49999999999977</v>
      </c>
      <c r="AJ68" s="13">
        <f>AI68*VLOOKUP('Données projet'!$B$10,Paramètres!$A$1:$I$89,3,0)*VLOOKUP('Données projet'!$B$10,Paramètres!$A$1:$I$89,5,0)</f>
        <v>298.34999999999991</v>
      </c>
      <c r="AK68" s="13">
        <f t="shared" si="35"/>
        <v>70.83044914753448</v>
      </c>
      <c r="AL68" s="20">
        <f t="shared" ref="AL68:AL131" si="58">(AJ68+AK68)*0.475*44/12</f>
        <v>642.98928226528903</v>
      </c>
      <c r="AM68" s="59">
        <f t="shared" ref="AM68:AM131" si="59">AL68+(AD68+AE68)*44/12</f>
        <v>936.32261559862241</v>
      </c>
      <c r="AN68" s="59">
        <f ca="1">AVERAGE(OFFSET($AM$3,0,0,'Données projet'!$E$10+1,1))-AVERAGE(OFFSET($H$3,0,0,'Données projet'!$E$10+1,1))</f>
        <v>402.38496642820587</v>
      </c>
      <c r="AO68" s="59">
        <f t="shared" si="36"/>
        <v>196.65158751478987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13.130688471063426</v>
      </c>
      <c r="AV68" s="21">
        <f>EXP(-LN(2)/25)*AV67+(1-EXP(-LN(2)/25))/(LN(2)/25)*Calculateur!AQ68*Calculateur!AS68*VLOOKUP('Données projet'!$B$10,Paramètres!$A$1:$I$89,3,0)*0.475*44/12</f>
        <v>48.900178146386502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62.030866617449931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16.625</v>
      </c>
      <c r="BD68" s="12">
        <f>IF('Données projet'!$A$88&gt;35,BD67+BC68-BL67,IF(A68&lt;'Données projet'!$A$88,$BA$205^A68,IF(A68='Données projet'!$A$88,'Données projet'!$B$88,BD67+BC68-BL67)))</f>
        <v>478.37499999999994</v>
      </c>
      <c r="BE68" s="13">
        <f>BD68*VLOOKUP('Données projet'!$B$11,Paramètres!$A$1:$I$89,3,0)*VLOOKUP('Données projet'!$B$11,Paramètres!$A$1:$I$89,5,0)</f>
        <v>286.06824999999998</v>
      </c>
      <c r="BF68" s="13">
        <f t="shared" si="37"/>
        <v>68.247799922382825</v>
      </c>
      <c r="BG68" s="20">
        <f t="shared" ref="BG68:BG131" si="61">(BE68+BF68)*0.475*44/12</f>
        <v>617.10045361481673</v>
      </c>
      <c r="BH68" s="59">
        <f t="shared" ref="BH68:BH131" si="62">BG68+(AY68+AZ68)*44/12</f>
        <v>910.4337869481501</v>
      </c>
      <c r="BI68" s="59">
        <f ca="1">AVERAGE(OFFSET($BH$3,0,0,'Données projet'!$E$11+1,1))-AVERAGE(OFFSET($H$3,0,0,'Données projet'!$E$11+1,1))</f>
        <v>257.96727373333601</v>
      </c>
      <c r="BJ68" s="59">
        <f t="shared" si="38"/>
        <v>194.52809733694494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10.083447644703954</v>
      </c>
      <c r="BQ68" s="21">
        <f>EXP(-LN(2)/25)*BQ67+(1-EXP(-LN(2)/25))/(LN(2)/25)*Calculateur!BL68*Calculateur!BN68*VLOOKUP('Données projet'!$B$11,Paramètres!$A$1:$I$89,3,0)*0.475*44/12</f>
        <v>33.766580781759387</v>
      </c>
      <c r="BR68" s="21">
        <f>EXP(-LN(2)/2)*BR67+(1-EXP(-LN(2)/2))/(LN(2)/2)*BL68*BO68*VLOOKUP('Données projet'!$B$11,Paramètres!$A$1:$I$89,3,0)*0.475*44/12</f>
        <v>1.4960096905722786</v>
      </c>
      <c r="BS68" s="22">
        <f t="shared" ref="BS68:BS131" si="63">SUM(BP68:BR68)</f>
        <v>45.346038117035619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355.23615781077405</v>
      </c>
      <c r="T69" s="59">
        <f t="shared" ref="T69:T132" si="88">$T$3</f>
        <v>448.84541017639367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225.92095982510057</v>
      </c>
      <c r="AA69" s="21">
        <f>EXP(-LN(2)/25)*AA68+(1-EXP(-LN(2)/25))/(LN(2)/25)*Calculateur!V69*Calculateur!X69*VLOOKUP('Données projet'!$B$9,Paramètres!$A$1:$I$89,3,0)*0.475*44/12</f>
        <v>51.342260840407214</v>
      </c>
      <c r="AB69" s="21">
        <f>EXP(-LN(2)/2)*AB68+(1-EXP(-LN(2)/2))/(LN(2)/2)*V69*Y69*VLOOKUP('Données projet'!$B$9,Paramètres!$A$1:$I$89,3,0)*0.475*44/12</f>
        <v>5.3985512723920852</v>
      </c>
      <c r="AC69" s="22">
        <f t="shared" si="57"/>
        <v>282.66177193789986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23.5</v>
      </c>
      <c r="AI69" s="13">
        <f>IF('Données projet'!$A$62&gt;35,AI68+AH69-AQ68,IF(A69&lt;'Données projet'!$A$62,$AF$205^A69,IF(A69='Données projet'!$A$62,'Données projet'!$B$62,AI68+AH69-AQ68)))</f>
        <v>660.99999999999977</v>
      </c>
      <c r="AJ69" s="13">
        <f>AI69*VLOOKUP('Données projet'!$B$10,Paramètres!$A$1:$I$89,3,0)*VLOOKUP('Données projet'!$B$10,Paramètres!$A$1:$I$89,5,0)</f>
        <v>309.3479999999999</v>
      </c>
      <c r="AK69" s="13">
        <f t="shared" ref="AK69:AK132" si="89">EXP(-1.0587+0.8836*LN(AJ69)+0.284)</f>
        <v>73.132649940933518</v>
      </c>
      <c r="AL69" s="20">
        <f t="shared" si="58"/>
        <v>666.15379864712565</v>
      </c>
      <c r="AM69" s="59">
        <f t="shared" si="59"/>
        <v>959.48713198045903</v>
      </c>
      <c r="AN69" s="59">
        <f ca="1">AVERAGE(OFFSET($AM$3,0,0,'Données projet'!$E$10+1,1))-AVERAGE(OFFSET($H$3,0,0,'Données projet'!$E$10+1,1))</f>
        <v>402.38496642820587</v>
      </c>
      <c r="AO69" s="59">
        <f t="shared" ref="AO69:AO132" si="90">$AO$3</f>
        <v>196.65158751478987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12.873203679075024</v>
      </c>
      <c r="AV69" s="21">
        <f>EXP(-LN(2)/25)*AV68+(1-EXP(-LN(2)/25))/(LN(2)/25)*Calculateur!AQ69*Calculateur!AS69*VLOOKUP('Données projet'!$B$10,Paramètres!$A$1:$I$89,3,0)*0.475*44/12</f>
        <v>47.563000203424956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60.436203882499981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495</v>
      </c>
      <c r="BB69" s="12">
        <f>VLOOKUP(A69,'Données projet'!$A$87:$I$107,9,0)</f>
        <v>16.625</v>
      </c>
      <c r="BC69" s="12">
        <f t="array" ref="BC69">INDEX(BB:BB,MIN(IF(ISNUMBER(BB69:BB265),ROW(BB69:BB265),"")))</f>
        <v>16.625</v>
      </c>
      <c r="BD69" s="12">
        <f>IF('Données projet'!$A$88&gt;35,BD68+BC69-BL68,IF(A69&lt;'Données projet'!$A$88,$BA$205^A69,IF(A69='Données projet'!$A$88,'Données projet'!$B$88,BD68+BC69-BL68)))</f>
        <v>494.99999999999994</v>
      </c>
      <c r="BE69" s="13">
        <f>BD69*VLOOKUP('Données projet'!$B$11,Paramètres!$A$1:$I$89,3,0)*VLOOKUP('Données projet'!$B$11,Paramètres!$A$1:$I$89,5,0)</f>
        <v>296.01</v>
      </c>
      <c r="BF69" s="13">
        <f t="shared" ref="BF69:BF132" si="91">EXP(-1.0587+0.8836*LN(BE69)+0.284)</f>
        <v>70.339355522692159</v>
      </c>
      <c r="BG69" s="20">
        <f t="shared" si="61"/>
        <v>638.05846086868871</v>
      </c>
      <c r="BH69" s="59">
        <f t="shared" si="62"/>
        <v>931.39179420202208</v>
      </c>
      <c r="BI69" s="59">
        <f ca="1">AVERAGE(OFFSET($BH$3,0,0,'Données projet'!$E$11+1,1))-AVERAGE(OFFSET($H$3,0,0,'Données projet'!$E$11+1,1))</f>
        <v>257.96727373333601</v>
      </c>
      <c r="BJ69" s="59">
        <f t="shared" ref="BJ69:BJ132" si="92">$BJ$3</f>
        <v>194.52809733694494</v>
      </c>
      <c r="BK69" s="15">
        <f>IF(ISNA(VLOOKUP(A69,'Données projet'!$A$87:$I$107,3,0)),0,VLOOKUP(A69,'Données projet'!$A$87:$I$107,3,0))</f>
        <v>9</v>
      </c>
      <c r="BL69" s="15">
        <f>IF(ISNA(VLOOKUP(A69,'Données projet'!$A$87:$I$107,4,0)),0,VLOOKUP(A69,'Données projet'!$A$87:$I$107,4,0))</f>
        <v>65</v>
      </c>
      <c r="BM69" s="16">
        <f>IF(ISNA(VLOOKUP(A69,'Données projet'!$A$87:$I$107,5,0)),0%,VLOOKUP(A69,'Données projet'!$A$87:$I$107,5,0)*VLOOKUP('Données projet'!$B$11,Paramètres!$A$1:$I$89,7,0))</f>
        <v>0.13500000000000001</v>
      </c>
      <c r="BN69" s="16">
        <f>IF(ISNA(VLOOKUP(A69,'Données projet'!$A$87:$I$107,6,0)),0%,VLOOKUP(A69,'Données projet'!$A$87:$I$107,6,0)*VLOOKUP('Données projet'!$B$11,Paramètres!$A$1:$I$89,7,0))</f>
        <v>0.18000000000000002</v>
      </c>
      <c r="BO69" s="16">
        <f>IF(ISNA(VLOOKUP(A69,'Données projet'!$A$87:$I$107,7,0)),0%,VLOOKUP(A69,'Données projet'!$A$87:$I$107,7,0))</f>
        <v>0.3</v>
      </c>
      <c r="BP69" s="21">
        <f>EXP(-LN(2)/35)*BP68+(1-EXP(-LN(2)/35))/(LN(2)/35)*BL69*BM69*VLOOKUP('Données projet'!$B$11,Paramètres!$A$1:$I$89,3,0)*0.475*44/12</f>
        <v>16.846798038383298</v>
      </c>
      <c r="BQ69" s="21">
        <f>EXP(-LN(2)/25)*BQ68+(1-EXP(-LN(2)/25))/(LN(2)/25)*Calculateur!BL69*Calculateur!BN69*VLOOKUP('Données projet'!$B$11,Paramètres!$A$1:$I$89,3,0)*0.475*44/12</f>
        <v>42.088128154295958</v>
      </c>
      <c r="BR69" s="21">
        <f>EXP(-LN(2)/2)*BR68+(1-EXP(-LN(2)/2))/(LN(2)/2)*BL69*BO69*VLOOKUP('Données projet'!$B$11,Paramètres!$A$1:$I$89,3,0)*0.475*44/12</f>
        <v>14.260799418380564</v>
      </c>
      <c r="BS69" s="22">
        <f t="shared" si="63"/>
        <v>73.195725611059828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355.23615781077405</v>
      </c>
      <c r="T70" s="59">
        <f t="shared" si="88"/>
        <v>448.84541017639367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221.49078760110939</v>
      </c>
      <c r="AA70" s="21">
        <f>EXP(-LN(2)/25)*AA69+(1-EXP(-LN(2)/25))/(LN(2)/25)*Calculateur!V70*Calculateur!X70*VLOOKUP('Données projet'!$B$9,Paramètres!$A$1:$I$89,3,0)*0.475*44/12</f>
        <v>49.938304017754128</v>
      </c>
      <c r="AB70" s="21">
        <f>EXP(-LN(2)/2)*AB69+(1-EXP(-LN(2)/2))/(LN(2)/2)*V70*Y70*VLOOKUP('Données projet'!$B$9,Paramètres!$A$1:$I$89,3,0)*0.475*44/12</f>
        <v>3.8173522132917084</v>
      </c>
      <c r="AC70" s="22">
        <f t="shared" si="57"/>
        <v>275.24644383215525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23.5</v>
      </c>
      <c r="AI70" s="13">
        <f>IF('Données projet'!$A$62&gt;35,AI69+AH70-AQ69,IF(A70&lt;'Données projet'!$A$62,$AF$205^A70,IF(A70='Données projet'!$A$62,'Données projet'!$B$62,AI69+AH70-AQ69)))</f>
        <v>684.49999999999977</v>
      </c>
      <c r="AJ70" s="13">
        <f>AI70*VLOOKUP('Données projet'!$B$10,Paramètres!$A$1:$I$89,3,0)*VLOOKUP('Données projet'!$B$10,Paramètres!$A$1:$I$89,5,0)</f>
        <v>320.34599999999989</v>
      </c>
      <c r="AK70" s="13">
        <f t="shared" si="89"/>
        <v>75.425341163221859</v>
      </c>
      <c r="AL70" s="20">
        <f t="shared" si="58"/>
        <v>689.30175252594438</v>
      </c>
      <c r="AM70" s="59">
        <f t="shared" si="59"/>
        <v>982.63508585927775</v>
      </c>
      <c r="AN70" s="59">
        <f ca="1">AVERAGE(OFFSET($AM$3,0,0,'Données projet'!$E$10+1,1))-AVERAGE(OFFSET($H$3,0,0,'Données projet'!$E$10+1,1))</f>
        <v>402.38496642820587</v>
      </c>
      <c r="AO70" s="59">
        <f t="shared" si="90"/>
        <v>196.65158751478987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12.620768006807298</v>
      </c>
      <c r="AV70" s="21">
        <f>EXP(-LN(2)/25)*AV69+(1-EXP(-LN(2)/25))/(LN(2)/25)*Calculateur!AQ70*Calculateur!AS70*VLOOKUP('Données projet'!$B$10,Paramètres!$A$1:$I$89,3,0)*0.475*44/12</f>
        <v>46.262387461632827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58.883155468440123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12.875</v>
      </c>
      <c r="BD70" s="12">
        <f>IF('Données projet'!$A$88&gt;35,BD69+BC70-BL69,IF(A70&lt;'Données projet'!$A$88,$BA$205^A70,IF(A70='Données projet'!$A$88,'Données projet'!$B$88,BD69+BC70-BL69)))</f>
        <v>442.87499999999994</v>
      </c>
      <c r="BE70" s="13">
        <f>BD70*VLOOKUP('Données projet'!$B$11,Paramètres!$A$1:$I$89,3,0)*VLOOKUP('Données projet'!$B$11,Paramètres!$A$1:$I$89,5,0)</f>
        <v>264.83924999999999</v>
      </c>
      <c r="BF70" s="13">
        <f t="shared" si="91"/>
        <v>63.752800756768096</v>
      </c>
      <c r="BG70" s="20">
        <f t="shared" si="61"/>
        <v>572.29782173470437</v>
      </c>
      <c r="BH70" s="59">
        <f t="shared" si="62"/>
        <v>865.63115506803774</v>
      </c>
      <c r="BI70" s="59">
        <f ca="1">AVERAGE(OFFSET($BH$3,0,0,'Données projet'!$E$11+1,1))-AVERAGE(OFFSET($H$3,0,0,'Données projet'!$E$11+1,1))</f>
        <v>257.96727373333601</v>
      </c>
      <c r="BJ70" s="59">
        <f t="shared" si="92"/>
        <v>194.52809733694494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16.516442604382782</v>
      </c>
      <c r="BQ70" s="21">
        <f>EXP(-LN(2)/25)*BQ69+(1-EXP(-LN(2)/25))/(LN(2)/25)*Calculateur!BL70*Calculateur!BN70*VLOOKUP('Données projet'!$B$11,Paramètres!$A$1:$I$89,3,0)*0.475*44/12</f>
        <v>40.937226076598272</v>
      </c>
      <c r="BR70" s="21">
        <f>EXP(-LN(2)/2)*BR69+(1-EXP(-LN(2)/2))/(LN(2)/2)*BL70*BO70*VLOOKUP('Données projet'!$B$11,Paramètres!$A$1:$I$89,3,0)*0.475*44/12</f>
        <v>10.083907973878071</v>
      </c>
      <c r="BS70" s="22">
        <f t="shared" si="63"/>
        <v>67.537576654859123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355.23615781077405</v>
      </c>
      <c r="T71" s="59">
        <f t="shared" si="88"/>
        <v>448.84541017639367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217.14748835229244</v>
      </c>
      <c r="AA71" s="21">
        <f>EXP(-LN(2)/25)*AA70+(1-EXP(-LN(2)/25))/(LN(2)/25)*Calculateur!V71*Calculateur!X71*VLOOKUP('Données projet'!$B$9,Paramètres!$A$1:$I$89,3,0)*0.475*44/12</f>
        <v>48.572738468247366</v>
      </c>
      <c r="AB71" s="21">
        <f>EXP(-LN(2)/2)*AB70+(1-EXP(-LN(2)/2))/(LN(2)/2)*V71*Y71*VLOOKUP('Données projet'!$B$9,Paramètres!$A$1:$I$89,3,0)*0.475*44/12</f>
        <v>2.699275636196043</v>
      </c>
      <c r="AC71" s="22">
        <f t="shared" si="57"/>
        <v>268.41950245673581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23.5</v>
      </c>
      <c r="AI71" s="13">
        <f>IF('Données projet'!$A$62&gt;35,AI70+AH71-AQ70,IF(A71&lt;'Données projet'!$A$62,$AF$205^A71,IF(A71='Données projet'!$A$62,'Données projet'!$B$62,AI70+AH71-AQ70)))</f>
        <v>707.99999999999977</v>
      </c>
      <c r="AJ71" s="13">
        <f>AI71*VLOOKUP('Données projet'!$B$10,Paramètres!$A$1:$I$89,3,0)*VLOOKUP('Données projet'!$B$10,Paramètres!$A$1:$I$89,5,0)</f>
        <v>331.34399999999988</v>
      </c>
      <c r="AK71" s="13">
        <f t="shared" si="89"/>
        <v>77.708886713597892</v>
      </c>
      <c r="AL71" s="20">
        <f t="shared" si="58"/>
        <v>712.4337776928495</v>
      </c>
      <c r="AM71" s="59">
        <f t="shared" si="59"/>
        <v>1005.7671110261829</v>
      </c>
      <c r="AN71" s="59">
        <f ca="1">AVERAGE(OFFSET($AM$3,0,0,'Données projet'!$E$10+1,1))-AVERAGE(OFFSET($H$3,0,0,'Données projet'!$E$10+1,1))</f>
        <v>402.38496642820587</v>
      </c>
      <c r="AO71" s="59">
        <f t="shared" si="90"/>
        <v>196.65158751478987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12.373282444102186</v>
      </c>
      <c r="AV71" s="21">
        <f>EXP(-LN(2)/25)*AV70+(1-EXP(-LN(2)/25))/(LN(2)/25)*Calculateur!AQ71*Calculateur!AS71*VLOOKUP('Données projet'!$B$10,Paramètres!$A$1:$I$89,3,0)*0.475*44/12</f>
        <v>44.997340043661254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57.370622487763441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12.875</v>
      </c>
      <c r="BD71" s="12">
        <f>IF('Données projet'!$A$88&gt;35,BD70+BC71-BL70,IF(A71&lt;'Données projet'!$A$88,$BA$205^A71,IF(A71='Données projet'!$A$88,'Données projet'!$B$88,BD70+BC71-BL70)))</f>
        <v>455.74999999999994</v>
      </c>
      <c r="BE71" s="13">
        <f>BD71*VLOOKUP('Données projet'!$B$11,Paramètres!$A$1:$I$89,3,0)*VLOOKUP('Données projet'!$B$11,Paramètres!$A$1:$I$89,5,0)</f>
        <v>272.5385</v>
      </c>
      <c r="BF71" s="13">
        <f t="shared" si="91"/>
        <v>65.387709293034902</v>
      </c>
      <c r="BG71" s="20">
        <f t="shared" si="61"/>
        <v>588.55481451870241</v>
      </c>
      <c r="BH71" s="59">
        <f t="shared" si="62"/>
        <v>881.88814785203567</v>
      </c>
      <c r="BI71" s="59">
        <f ca="1">AVERAGE(OFFSET($BH$3,0,0,'Données projet'!$E$11+1,1))-AVERAGE(OFFSET($H$3,0,0,'Données projet'!$E$11+1,1))</f>
        <v>257.96727373333601</v>
      </c>
      <c r="BJ71" s="59">
        <f t="shared" si="92"/>
        <v>194.52809733694494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16.192565238946095</v>
      </c>
      <c r="BQ71" s="21">
        <f>EXP(-LN(2)/25)*BQ70+(1-EXP(-LN(2)/25))/(LN(2)/25)*Calculateur!BL71*Calculateur!BN71*VLOOKUP('Données projet'!$B$11,Paramètres!$A$1:$I$89,3,0)*0.475*44/12</f>
        <v>39.817795476738539</v>
      </c>
      <c r="BR71" s="21">
        <f>EXP(-LN(2)/2)*BR70+(1-EXP(-LN(2)/2))/(LN(2)/2)*BL71*BO71*VLOOKUP('Données projet'!$B$11,Paramètres!$A$1:$I$89,3,0)*0.475*44/12</f>
        <v>7.130399709190284</v>
      </c>
      <c r="BS71" s="22">
        <f t="shared" si="63"/>
        <v>63.140760424874919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355.23615781077405</v>
      </c>
      <c r="T72" s="59">
        <f t="shared" si="88"/>
        <v>448.84541017639367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212.88935855259385</v>
      </c>
      <c r="AA72" s="21">
        <f>EXP(-LN(2)/25)*AA71+(1-EXP(-LN(2)/25))/(LN(2)/25)*Calculateur!V72*Calculateur!X72*VLOOKUP('Données projet'!$B$9,Paramètres!$A$1:$I$89,3,0)*0.475*44/12</f>
        <v>47.244514380503837</v>
      </c>
      <c r="AB72" s="21">
        <f>EXP(-LN(2)/2)*AB71+(1-EXP(-LN(2)/2))/(LN(2)/2)*V72*Y72*VLOOKUP('Données projet'!$B$9,Paramètres!$A$1:$I$89,3,0)*0.475*44/12</f>
        <v>1.9086761066458544</v>
      </c>
      <c r="AC72" s="22">
        <f t="shared" si="57"/>
        <v>262.04254903974351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23.5</v>
      </c>
      <c r="AI72" s="13">
        <f>IF('Données projet'!$A$62&gt;35,AI71+AH72-AQ71,IF(A72&lt;'Données projet'!$A$62,$AF$205^A72,IF(A72='Données projet'!$A$62,'Données projet'!$B$62,AI71+AH72-AQ71)))</f>
        <v>731.49999999999977</v>
      </c>
      <c r="AJ72" s="13">
        <f>AI72*VLOOKUP('Données projet'!$B$10,Paramètres!$A$1:$I$89,3,0)*VLOOKUP('Données projet'!$B$10,Paramètres!$A$1:$I$89,5,0)</f>
        <v>342.34199999999993</v>
      </c>
      <c r="AK72" s="13">
        <f t="shared" si="89"/>
        <v>79.983624963231051</v>
      </c>
      <c r="AL72" s="20">
        <f t="shared" si="58"/>
        <v>735.55046347762743</v>
      </c>
      <c r="AM72" s="59">
        <f t="shared" si="59"/>
        <v>1028.8837968109608</v>
      </c>
      <c r="AN72" s="59">
        <f ca="1">AVERAGE(OFFSET($AM$3,0,0,'Données projet'!$E$10+1,1))-AVERAGE(OFFSET($H$3,0,0,'Données projet'!$E$10+1,1))</f>
        <v>402.38496642820587</v>
      </c>
      <c r="AO72" s="59">
        <f t="shared" si="90"/>
        <v>196.65158751478987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12.130649922330432</v>
      </c>
      <c r="AV72" s="21">
        <f>EXP(-LN(2)/25)*AV71+(1-EXP(-LN(2)/25))/(LN(2)/25)*Calculateur!AQ72*Calculateur!AS72*VLOOKUP('Données projet'!$B$10,Paramètres!$A$1:$I$89,3,0)*0.475*44/12</f>
        <v>43.766885413860066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55.897535336190501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12.875</v>
      </c>
      <c r="BD72" s="12">
        <f>IF('Données projet'!$A$88&gt;35,BD71+BC72-BL71,IF(A72&lt;'Données projet'!$A$88,$BA$205^A72,IF(A72='Données projet'!$A$88,'Données projet'!$B$88,BD71+BC72-BL71)))</f>
        <v>468.62499999999994</v>
      </c>
      <c r="BE72" s="13">
        <f>BD72*VLOOKUP('Données projet'!$B$11,Paramètres!$A$1:$I$89,3,0)*VLOOKUP('Données projet'!$B$11,Paramètres!$A$1:$I$89,5,0)</f>
        <v>280.23775000000001</v>
      </c>
      <c r="BF72" s="13">
        <f t="shared" si="91"/>
        <v>67.017249808465152</v>
      </c>
      <c r="BG72" s="20">
        <f t="shared" si="61"/>
        <v>604.80245799974352</v>
      </c>
      <c r="BH72" s="59">
        <f t="shared" si="62"/>
        <v>898.1357913330769</v>
      </c>
      <c r="BI72" s="59">
        <f ca="1">AVERAGE(OFFSET($BH$3,0,0,'Données projet'!$E$11+1,1))-AVERAGE(OFFSET($H$3,0,0,'Données projet'!$E$11+1,1))</f>
        <v>257.96727373333601</v>
      </c>
      <c r="BJ72" s="59">
        <f t="shared" si="92"/>
        <v>194.52809733694494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15.875038911099935</v>
      </c>
      <c r="BQ72" s="21">
        <f>EXP(-LN(2)/25)*BQ71+(1-EXP(-LN(2)/25))/(LN(2)/25)*Calculateur!BL72*Calculateur!BN72*VLOOKUP('Données projet'!$B$11,Paramètres!$A$1:$I$89,3,0)*0.475*44/12</f>
        <v>38.728975765500266</v>
      </c>
      <c r="BR72" s="21">
        <f>EXP(-LN(2)/2)*BR71+(1-EXP(-LN(2)/2))/(LN(2)/2)*BL72*BO72*VLOOKUP('Données projet'!$B$11,Paramètres!$A$1:$I$89,3,0)*0.475*44/12</f>
        <v>5.0419539869390366</v>
      </c>
      <c r="BS72" s="22">
        <f t="shared" si="63"/>
        <v>59.645968663539236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355.23615781077405</v>
      </c>
      <c r="T73" s="59">
        <f t="shared" si="88"/>
        <v>448.84541017639367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208.71472808106461</v>
      </c>
      <c r="AA73" s="21">
        <f>EXP(-LN(2)/25)*AA72+(1-EXP(-LN(2)/25))/(LN(2)/25)*Calculateur!V73*Calculateur!X73*VLOOKUP('Données projet'!$B$9,Paramètres!$A$1:$I$89,3,0)*0.475*44/12</f>
        <v>45.95261065028793</v>
      </c>
      <c r="AB73" s="21">
        <f>EXP(-LN(2)/2)*AB72+(1-EXP(-LN(2)/2))/(LN(2)/2)*V73*Y73*VLOOKUP('Données projet'!$B$9,Paramètres!$A$1:$I$89,3,0)*0.475*44/12</f>
        <v>1.3496378180980217</v>
      </c>
      <c r="AC73" s="22">
        <f t="shared" si="57"/>
        <v>256.01697654945059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755</v>
      </c>
      <c r="AG73" s="12">
        <f>VLOOKUP(A73,'Données projet'!$A$61:$I$81,9,0)</f>
        <v>23.5</v>
      </c>
      <c r="AH73" s="12">
        <f t="array" ref="AH73">INDEX(AG:AG,MIN(IF(ISNUMBER(AG73:AG269),ROW(AG73:AG269),"")))</f>
        <v>23.5</v>
      </c>
      <c r="AI73" s="13">
        <f>IF('Données projet'!$A$62&gt;35,AI72+AH73-AQ72,IF(A73&lt;'Données projet'!$A$62,$AF$205^A73,IF(A73='Données projet'!$A$62,'Données projet'!$B$62,AI72+AH73-AQ72)))</f>
        <v>754.99999999999977</v>
      </c>
      <c r="AJ73" s="13">
        <f>AI73*VLOOKUP('Données projet'!$B$10,Paramètres!$A$1:$I$89,3,0)*VLOOKUP('Données projet'!$B$10,Paramètres!$A$1:$I$89,5,0)</f>
        <v>353.33999999999986</v>
      </c>
      <c r="AK73" s="13">
        <f t="shared" si="89"/>
        <v>82.249871308063717</v>
      </c>
      <c r="AL73" s="20">
        <f t="shared" si="58"/>
        <v>758.65235919487748</v>
      </c>
      <c r="AM73" s="59">
        <f t="shared" si="59"/>
        <v>1051.9856925282108</v>
      </c>
      <c r="AN73" s="59">
        <f ca="1">AVERAGE(OFFSET($AM$3,0,0,'Données projet'!$E$10+1,1))-AVERAGE(OFFSET($H$3,0,0,'Données projet'!$E$10+1,1))</f>
        <v>402.38496642820587</v>
      </c>
      <c r="AO73" s="59">
        <f t="shared" si="90"/>
        <v>196.65158751478987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87</v>
      </c>
      <c r="AR73" s="16">
        <f>IF(ISNA(VLOOKUP(A73,'Données projet'!$A$61:$I$81,5,0)),0%,VLOOKUP(A73,'Données projet'!$A$61:$I$81,5,0)*VLOOKUP('Données projet'!$B$10,Paramètres!$A$1:$I$89,7,0))</f>
        <v>0.16500000000000001</v>
      </c>
      <c r="AS73" s="16">
        <f>IF(ISNA(VLOOKUP(A73,'Données projet'!$A$61:$I$81,6,0)),0%,VLOOKUP(A73,'Données projet'!$A$61:$I$81,6,0)*VLOOKUP('Données projet'!$B$10,Paramètres!$A$1:$I$89,7,0))</f>
        <v>0.38500000000000001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20.804821006985989</v>
      </c>
      <c r="AV73" s="21">
        <f>EXP(-LN(2)/25)*AV72+(1-EXP(-LN(2)/25))/(LN(2)/25)*Calculateur!AQ73*Calculateur!AS73*VLOOKUP('Données projet'!$B$10,Paramètres!$A$1:$I$89,3,0)*0.475*44/12</f>
        <v>63.282974055979317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84.087795062965313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12.875</v>
      </c>
      <c r="BD73" s="12">
        <f>IF('Données projet'!$A$88&gt;35,BD72+BC73-BL72,IF(A73&lt;'Données projet'!$A$88,$BA$205^A73,IF(A73='Données projet'!$A$88,'Données projet'!$B$88,BD72+BC73-BL72)))</f>
        <v>481.49999999999994</v>
      </c>
      <c r="BE73" s="13">
        <f>BD73*VLOOKUP('Données projet'!$B$11,Paramètres!$A$1:$I$89,3,0)*VLOOKUP('Données projet'!$B$11,Paramètres!$A$1:$I$89,5,0)</f>
        <v>287.93700000000001</v>
      </c>
      <c r="BF73" s="13">
        <f t="shared" si="91"/>
        <v>68.641586729718156</v>
      </c>
      <c r="BG73" s="20">
        <f t="shared" si="61"/>
        <v>621.04103855425899</v>
      </c>
      <c r="BH73" s="59">
        <f t="shared" si="62"/>
        <v>914.37437188759236</v>
      </c>
      <c r="BI73" s="59">
        <f ca="1">AVERAGE(OFFSET($BH$3,0,0,'Données projet'!$E$11+1,1))-AVERAGE(OFFSET($H$3,0,0,'Données projet'!$E$11+1,1))</f>
        <v>257.96727373333601</v>
      </c>
      <c r="BJ73" s="59">
        <f t="shared" si="92"/>
        <v>194.52809733694494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15.563739080870903</v>
      </c>
      <c r="BQ73" s="21">
        <f>EXP(-LN(2)/25)*BQ72+(1-EXP(-LN(2)/25))/(LN(2)/25)*Calculateur!BL73*Calculateur!BN73*VLOOKUP('Données projet'!$B$11,Paramètres!$A$1:$I$89,3,0)*0.475*44/12</f>
        <v>37.669929886524343</v>
      </c>
      <c r="BR73" s="21">
        <f>EXP(-LN(2)/2)*BR72+(1-EXP(-LN(2)/2))/(LN(2)/2)*BL73*BO73*VLOOKUP('Données projet'!$B$11,Paramètres!$A$1:$I$89,3,0)*0.475*44/12</f>
        <v>3.5651998545951424</v>
      </c>
      <c r="BS73" s="22">
        <f t="shared" si="63"/>
        <v>56.798868821990389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355.23615781077405</v>
      </c>
      <c r="T74" s="59">
        <f t="shared" si="88"/>
        <v>448.84541017639367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204.6219595668089</v>
      </c>
      <c r="AA74" s="21">
        <f>EXP(-LN(2)/25)*AA73+(1-EXP(-LN(2)/25))/(LN(2)/25)*Calculateur!V74*Calculateur!X74*VLOOKUP('Données projet'!$B$9,Paramètres!$A$1:$I$89,3,0)*0.475*44/12</f>
        <v>44.696034095513042</v>
      </c>
      <c r="AB74" s="21">
        <f>EXP(-LN(2)/2)*AB73+(1-EXP(-LN(2)/2))/(LN(2)/2)*V74*Y74*VLOOKUP('Données projet'!$B$9,Paramètres!$A$1:$I$89,3,0)*0.475*44/12</f>
        <v>0.95433805332292732</v>
      </c>
      <c r="AC74" s="22">
        <f t="shared" si="57"/>
        <v>250.27233171564487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25.7</v>
      </c>
      <c r="AI74" s="13">
        <f>IF('Données projet'!$A$62&gt;35,AI73+AH74-AQ73,IF(A74&lt;'Données projet'!$A$62,$AF$205^A74,IF(A74='Données projet'!$A$62,'Données projet'!$B$62,AI73+AH74-AQ73)))</f>
        <v>693.69999999999982</v>
      </c>
      <c r="AJ74" s="13">
        <f>AI74*VLOOKUP('Données projet'!$B$10,Paramètres!$A$1:$I$89,3,0)*VLOOKUP('Données projet'!$B$10,Paramètres!$A$1:$I$89,5,0)</f>
        <v>324.65159999999992</v>
      </c>
      <c r="AK74" s="13">
        <f t="shared" si="89"/>
        <v>76.320395086300962</v>
      </c>
      <c r="AL74" s="20">
        <f t="shared" si="58"/>
        <v>698.35955810864073</v>
      </c>
      <c r="AM74" s="59">
        <f t="shared" si="59"/>
        <v>991.6928914419741</v>
      </c>
      <c r="AN74" s="59">
        <f ca="1">AVERAGE(OFFSET($AM$3,0,0,'Données projet'!$E$10+1,1))-AVERAGE(OFFSET($H$3,0,0,'Données projet'!$E$10+1,1))</f>
        <v>402.38496642820587</v>
      </c>
      <c r="AO74" s="59">
        <f t="shared" si="90"/>
        <v>196.65158751478987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20.396851156726804</v>
      </c>
      <c r="AV74" s="21">
        <f>EXP(-LN(2)/25)*AV73+(1-EXP(-LN(2)/25))/(LN(2)/25)*Calculateur!AQ74*Calculateur!AS74*VLOOKUP('Données projet'!$B$10,Paramètres!$A$1:$I$89,3,0)*0.475*44/12</f>
        <v>61.552497802511589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81.949348959238392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12.875</v>
      </c>
      <c r="BD74" s="12">
        <f>IF('Données projet'!$A$88&gt;35,BD73+BC74-BL73,IF(A74&lt;'Données projet'!$A$88,$BA$205^A74,IF(A74='Données projet'!$A$88,'Données projet'!$B$88,BD73+BC74-BL73)))</f>
        <v>494.37499999999994</v>
      </c>
      <c r="BE74" s="13">
        <f>BD74*VLOOKUP('Données projet'!$B$11,Paramètres!$A$1:$I$89,3,0)*VLOOKUP('Données projet'!$B$11,Paramètres!$A$1:$I$89,5,0)</f>
        <v>295.63625000000002</v>
      </c>
      <c r="BF74" s="13">
        <f t="shared" si="91"/>
        <v>70.260875189476423</v>
      </c>
      <c r="BG74" s="20">
        <f t="shared" si="61"/>
        <v>637.27082637167155</v>
      </c>
      <c r="BH74" s="59">
        <f t="shared" si="62"/>
        <v>930.6041597050048</v>
      </c>
      <c r="BI74" s="59">
        <f ca="1">AVERAGE(OFFSET($BH$3,0,0,'Données projet'!$E$11+1,1))-AVERAGE(OFFSET($H$3,0,0,'Données projet'!$E$11+1,1))</f>
        <v>257.96727373333601</v>
      </c>
      <c r="BJ74" s="59">
        <f t="shared" si="92"/>
        <v>194.52809733694494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15.258543650438513</v>
      </c>
      <c r="BQ74" s="21">
        <f>EXP(-LN(2)/25)*BQ73+(1-EXP(-LN(2)/25))/(LN(2)/25)*Calculateur!BL74*Calculateur!BN74*VLOOKUP('Données projet'!$B$11,Paramètres!$A$1:$I$89,3,0)*0.475*44/12</f>
        <v>36.639843672801817</v>
      </c>
      <c r="BR74" s="21">
        <f>EXP(-LN(2)/2)*BR73+(1-EXP(-LN(2)/2))/(LN(2)/2)*BL74*BO74*VLOOKUP('Données projet'!$B$11,Paramètres!$A$1:$I$89,3,0)*0.475*44/12</f>
        <v>2.5209769934695188</v>
      </c>
      <c r="BS74" s="22">
        <f t="shared" si="63"/>
        <v>54.419364316709846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355.23615781077405</v>
      </c>
      <c r="T75" s="59">
        <f t="shared" si="88"/>
        <v>448.84541017639367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200.60944774677543</v>
      </c>
      <c r="AA75" s="21">
        <f>EXP(-LN(2)/25)*AA74+(1-EXP(-LN(2)/25))/(LN(2)/25)*Calculateur!V75*Calculateur!X75*VLOOKUP('Données projet'!$B$9,Paramètres!$A$1:$I$89,3,0)*0.475*44/12</f>
        <v>43.47381869270896</v>
      </c>
      <c r="AB75" s="21">
        <f>EXP(-LN(2)/2)*AB74+(1-EXP(-LN(2)/2))/(LN(2)/2)*V75*Y75*VLOOKUP('Données projet'!$B$9,Paramètres!$A$1:$I$89,3,0)*0.475*44/12</f>
        <v>0.67481890904901098</v>
      </c>
      <c r="AC75" s="22">
        <f t="shared" si="57"/>
        <v>244.7580853485334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25.7</v>
      </c>
      <c r="AI75" s="13">
        <f>IF('Données projet'!$A$62&gt;35,AI74+AH75-AQ74,IF(A75&lt;'Données projet'!$A$62,$AF$205^A75,IF(A75='Données projet'!$A$62,'Données projet'!$B$62,AI74+AH75-AQ74)))</f>
        <v>719.39999999999986</v>
      </c>
      <c r="AJ75" s="13">
        <f>AI75*VLOOKUP('Données projet'!$B$10,Paramètres!$A$1:$I$89,3,0)*VLOOKUP('Données projet'!$B$10,Paramètres!$A$1:$I$89,5,0)</f>
        <v>336.67919999999992</v>
      </c>
      <c r="AK75" s="13">
        <f t="shared" si="89"/>
        <v>78.813456684086404</v>
      </c>
      <c r="AL75" s="20">
        <f t="shared" si="58"/>
        <v>723.6497103914503</v>
      </c>
      <c r="AM75" s="59">
        <f t="shared" si="59"/>
        <v>1016.9830437247836</v>
      </c>
      <c r="AN75" s="59">
        <f ca="1">AVERAGE(OFFSET($AM$3,0,0,'Données projet'!$E$10+1,1))-AVERAGE(OFFSET($H$3,0,0,'Données projet'!$E$10+1,1))</f>
        <v>402.38496642820587</v>
      </c>
      <c r="AO75" s="59">
        <f t="shared" si="90"/>
        <v>196.65158751478987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19.996881346394165</v>
      </c>
      <c r="AV75" s="21">
        <f>EXP(-LN(2)/25)*AV74+(1-EXP(-LN(2)/25))/(LN(2)/25)*Calculateur!AQ75*Calculateur!AS75*VLOOKUP('Données projet'!$B$10,Paramètres!$A$1:$I$89,3,0)*0.475*44/12</f>
        <v>59.86934151319673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79.866222859590891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12.875</v>
      </c>
      <c r="BD75" s="12">
        <f>IF('Données projet'!$A$88&gt;35,BD74+BC75-BL74,IF(A75&lt;'Données projet'!$A$88,$BA$205^A75,IF(A75='Données projet'!$A$88,'Données projet'!$B$88,BD74+BC75-BL74)))</f>
        <v>507.24999999999994</v>
      </c>
      <c r="BE75" s="13">
        <f>BD75*VLOOKUP('Données projet'!$B$11,Paramètres!$A$1:$I$89,3,0)*VLOOKUP('Données projet'!$B$11,Paramètres!$A$1:$I$89,5,0)</f>
        <v>303.33549999999997</v>
      </c>
      <c r="BF75" s="13">
        <f t="shared" si="91"/>
        <v>71.875261779950591</v>
      </c>
      <c r="BG75" s="20">
        <f t="shared" si="61"/>
        <v>653.49207676674712</v>
      </c>
      <c r="BH75" s="59">
        <f t="shared" si="62"/>
        <v>946.82541010008049</v>
      </c>
      <c r="BI75" s="59">
        <f ca="1">AVERAGE(OFFSET($BH$3,0,0,'Données projet'!$E$11+1,1))-AVERAGE(OFFSET($H$3,0,0,'Données projet'!$E$11+1,1))</f>
        <v>257.96727373333601</v>
      </c>
      <c r="BJ75" s="59">
        <f t="shared" si="92"/>
        <v>194.52809733694494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14.959332916246071</v>
      </c>
      <c r="BQ75" s="21">
        <f>EXP(-LN(2)/25)*BQ74+(1-EXP(-LN(2)/25))/(LN(2)/25)*Calculateur!BL75*Calculateur!BN75*VLOOKUP('Données projet'!$B$11,Paramètres!$A$1:$I$89,3,0)*0.475*44/12</f>
        <v>35.637925220763414</v>
      </c>
      <c r="BR75" s="21">
        <f>EXP(-LN(2)/2)*BR74+(1-EXP(-LN(2)/2))/(LN(2)/2)*BL75*BO75*VLOOKUP('Données projet'!$B$11,Paramètres!$A$1:$I$89,3,0)*0.475*44/12</f>
        <v>1.7825999272975717</v>
      </c>
      <c r="BS75" s="22">
        <f t="shared" si="63"/>
        <v>52.379858064307058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355.23615781077405</v>
      </c>
      <c r="T76" s="59">
        <f t="shared" si="88"/>
        <v>448.84541017639367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196.67561883614226</v>
      </c>
      <c r="AA76" s="21">
        <f>EXP(-LN(2)/25)*AA75+(1-EXP(-LN(2)/25))/(LN(2)/25)*Calculateur!V76*Calculateur!X76*VLOOKUP('Données projet'!$B$9,Paramètres!$A$1:$I$89,3,0)*0.475*44/12</f>
        <v>42.285024834368066</v>
      </c>
      <c r="AB76" s="21">
        <f>EXP(-LN(2)/2)*AB75+(1-EXP(-LN(2)/2))/(LN(2)/2)*V76*Y76*VLOOKUP('Données projet'!$B$9,Paramètres!$A$1:$I$89,3,0)*0.475*44/12</f>
        <v>0.47716902666146377</v>
      </c>
      <c r="AC76" s="22">
        <f t="shared" si="57"/>
        <v>239.43781269717181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25.7</v>
      </c>
      <c r="AI76" s="13">
        <f>IF('Données projet'!$A$62&gt;35,AI75+AH76-AQ75,IF(A76&lt;'Données projet'!$A$62,$AF$205^A76,IF(A76='Données projet'!$A$62,'Données projet'!$B$62,AI75+AH76-AQ75)))</f>
        <v>745.09999999999991</v>
      </c>
      <c r="AJ76" s="13">
        <f>AI76*VLOOKUP('Données projet'!$B$10,Paramètres!$A$1:$I$89,3,0)*VLOOKUP('Données projet'!$B$10,Paramètres!$A$1:$I$89,5,0)</f>
        <v>348.70679999999993</v>
      </c>
      <c r="AK76" s="13">
        <f t="shared" si="89"/>
        <v>81.296170586874396</v>
      </c>
      <c r="AL76" s="20">
        <f t="shared" si="58"/>
        <v>748.92184043880604</v>
      </c>
      <c r="AM76" s="59">
        <f t="shared" si="59"/>
        <v>1042.2551737721394</v>
      </c>
      <c r="AN76" s="59">
        <f ca="1">AVERAGE(OFFSET($AM$3,0,0,'Données projet'!$E$10+1,1))-AVERAGE(OFFSET($H$3,0,0,'Données projet'!$E$10+1,1))</f>
        <v>402.38496642820587</v>
      </c>
      <c r="AO76" s="59">
        <f t="shared" si="90"/>
        <v>196.65158751478987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19.604754700084655</v>
      </c>
      <c r="AV76" s="21">
        <f>EXP(-LN(2)/25)*AV75+(1-EXP(-LN(2)/25))/(LN(2)/25)*Calculateur!AQ76*Calculateur!AS76*VLOOKUP('Données projet'!$B$10,Paramètres!$A$1:$I$89,3,0)*0.475*44/12</f>
        <v>58.232211221126526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77.836965921211174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12.875</v>
      </c>
      <c r="BD76" s="12">
        <f>IF('Données projet'!$A$88&gt;35,BD75+BC76-BL75,IF(A76&lt;'Données projet'!$A$88,$BA$205^A76,IF(A76='Données projet'!$A$88,'Données projet'!$B$88,BD75+BC76-BL75)))</f>
        <v>520.125</v>
      </c>
      <c r="BE76" s="13">
        <f>BD76*VLOOKUP('Données projet'!$B$11,Paramètres!$A$1:$I$89,3,0)*VLOOKUP('Données projet'!$B$11,Paramètres!$A$1:$I$89,5,0)</f>
        <v>311.03475000000003</v>
      </c>
      <c r="BF76" s="13">
        <f t="shared" si="91"/>
        <v>73.484885227728896</v>
      </c>
      <c r="BG76" s="20">
        <f t="shared" si="61"/>
        <v>669.70503135496119</v>
      </c>
      <c r="BH76" s="59">
        <f t="shared" si="62"/>
        <v>963.03836468829445</v>
      </c>
      <c r="BI76" s="59">
        <f ca="1">AVERAGE(OFFSET($BH$3,0,0,'Données projet'!$E$11+1,1))-AVERAGE(OFFSET($H$3,0,0,'Données projet'!$E$11+1,1))</f>
        <v>257.96727373333601</v>
      </c>
      <c r="BJ76" s="59">
        <f t="shared" si="92"/>
        <v>194.52809733694494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14.665989522050616</v>
      </c>
      <c r="BQ76" s="21">
        <f>EXP(-LN(2)/25)*BQ75+(1-EXP(-LN(2)/25))/(LN(2)/25)*Calculateur!BL76*Calculateur!BN76*VLOOKUP('Données projet'!$B$11,Paramètres!$A$1:$I$89,3,0)*0.475*44/12</f>
        <v>34.663404281484603</v>
      </c>
      <c r="BR76" s="21">
        <f>EXP(-LN(2)/2)*BR75+(1-EXP(-LN(2)/2))/(LN(2)/2)*BL76*BO76*VLOOKUP('Données projet'!$B$11,Paramètres!$A$1:$I$89,3,0)*0.475*44/12</f>
        <v>1.2604884967347596</v>
      </c>
      <c r="BS76" s="22">
        <f t="shared" si="63"/>
        <v>50.589882300269977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355.23615781077405</v>
      </c>
      <c r="T77" s="59">
        <f t="shared" si="88"/>
        <v>448.84541017639367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192.81892991104792</v>
      </c>
      <c r="AA77" s="21">
        <f>EXP(-LN(2)/25)*AA76+(1-EXP(-LN(2)/25))/(LN(2)/25)*Calculateur!V77*Calculateur!X77*VLOOKUP('Données projet'!$B$9,Paramètres!$A$1:$I$89,3,0)*0.475*44/12</f>
        <v>41.128738606599462</v>
      </c>
      <c r="AB77" s="21">
        <f>EXP(-LN(2)/2)*AB76+(1-EXP(-LN(2)/2))/(LN(2)/2)*V77*Y77*VLOOKUP('Données projet'!$B$9,Paramètres!$A$1:$I$89,3,0)*0.475*44/12</f>
        <v>0.33740945452450555</v>
      </c>
      <c r="AC77" s="22">
        <f t="shared" si="57"/>
        <v>234.28507797217188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25.7</v>
      </c>
      <c r="AI77" s="13">
        <f>IF('Données projet'!$A$62&gt;35,AI76+AH77-AQ76,IF(A77&lt;'Données projet'!$A$62,$AF$205^A77,IF(A77='Données projet'!$A$62,'Données projet'!$B$62,AI76+AH77-AQ76)))</f>
        <v>770.8</v>
      </c>
      <c r="AJ77" s="13">
        <f>AI77*VLOOKUP('Données projet'!$B$10,Paramètres!$A$1:$I$89,3,0)*VLOOKUP('Données projet'!$B$10,Paramètres!$A$1:$I$89,5,0)</f>
        <v>360.73439999999999</v>
      </c>
      <c r="AK77" s="13">
        <f t="shared" si="89"/>
        <v>83.768934613667994</v>
      </c>
      <c r="AL77" s="20">
        <f t="shared" si="58"/>
        <v>774.17664111880504</v>
      </c>
      <c r="AM77" s="59">
        <f t="shared" si="59"/>
        <v>1067.5099744521383</v>
      </c>
      <c r="AN77" s="59">
        <f ca="1">AVERAGE(OFFSET($AM$3,0,0,'Données projet'!$E$10+1,1))-AVERAGE(OFFSET($H$3,0,0,'Données projet'!$E$10+1,1))</f>
        <v>402.38496642820587</v>
      </c>
      <c r="AO77" s="59">
        <f t="shared" si="90"/>
        <v>196.65158751478987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19.220317418135636</v>
      </c>
      <c r="AV77" s="21">
        <f>EXP(-LN(2)/25)*AV76+(1-EXP(-LN(2)/25))/(LN(2)/25)*Calculateur!AQ77*Calculateur!AS77*VLOOKUP('Données projet'!$B$10,Paramètres!$A$1:$I$89,3,0)*0.475*44/12</f>
        <v>56.639848342985928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75.860165761121564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533</v>
      </c>
      <c r="BB77" s="12">
        <f>VLOOKUP(A77,'Données projet'!$A$87:$I$107,9,0)</f>
        <v>12.875</v>
      </c>
      <c r="BC77" s="12">
        <f t="array" ref="BC77">INDEX(BB:BB,MIN(IF(ISNUMBER(BB77:BB273),ROW(BB77:BB273),"")))</f>
        <v>12.875</v>
      </c>
      <c r="BD77" s="12">
        <f>IF('Données projet'!$A$88&gt;35,BD76+BC77-BL76,IF(A77&lt;'Données projet'!$A$88,$BA$205^A77,IF(A77='Données projet'!$A$88,'Données projet'!$B$88,BD76+BC77-BL76)))</f>
        <v>533</v>
      </c>
      <c r="BE77" s="13">
        <f>BD77*VLOOKUP('Données projet'!$B$11,Paramètres!$A$1:$I$89,3,0)*VLOOKUP('Données projet'!$B$11,Paramètres!$A$1:$I$89,5,0)</f>
        <v>318.73400000000004</v>
      </c>
      <c r="BF77" s="13">
        <f t="shared" si="91"/>
        <v>75.089876999925679</v>
      </c>
      <c r="BG77" s="20">
        <f t="shared" si="61"/>
        <v>685.90991910820378</v>
      </c>
      <c r="BH77" s="59">
        <f t="shared" si="62"/>
        <v>979.24325244153715</v>
      </c>
      <c r="BI77" s="59">
        <f ca="1">AVERAGE(OFFSET($BH$3,0,0,'Données projet'!$E$11+1,1))-AVERAGE(OFFSET($H$3,0,0,'Données projet'!$E$11+1,1))</f>
        <v>257.96727373333601</v>
      </c>
      <c r="BJ77" s="59">
        <f t="shared" si="92"/>
        <v>194.52809733694494</v>
      </c>
      <c r="BK77" s="15">
        <f>IF(ISNA(VLOOKUP(A77,'Données projet'!$A$87:$I$107,3,0)),0,VLOOKUP(A77,'Données projet'!$A$87:$I$107,3,0))</f>
        <v>10</v>
      </c>
      <c r="BL77" s="15">
        <f>IF(ISNA(VLOOKUP(A77,'Données projet'!$A$87:$I$107,4,0)),0,VLOOKUP(A77,'Données projet'!$A$87:$I$107,4,0))</f>
        <v>37</v>
      </c>
      <c r="BM77" s="16">
        <f>IF(ISNA(VLOOKUP(A77,'Données projet'!$A$87:$I$107,5,0)),0%,VLOOKUP(A77,'Données projet'!$A$87:$I$107,5,0)*VLOOKUP('Données projet'!$B$11,Paramètres!$A$1:$I$89,7,0))</f>
        <v>0.22500000000000001</v>
      </c>
      <c r="BN77" s="16">
        <f>IF(ISNA(VLOOKUP(A77,'Données projet'!$A$87:$I$107,6,0)),0%,VLOOKUP(A77,'Données projet'!$A$87:$I$107,6,0)*VLOOKUP('Données projet'!$B$11,Paramètres!$A$1:$I$89,7,0))</f>
        <v>0.13500000000000001</v>
      </c>
      <c r="BO77" s="16">
        <f>IF(ISNA(VLOOKUP(A77,'Données projet'!$A$87:$I$107,7,0)),0%,VLOOKUP(A77,'Données projet'!$A$87:$I$107,7,0))</f>
        <v>0.2</v>
      </c>
      <c r="BP77" s="21">
        <f>EXP(-LN(2)/35)*BP76+(1-EXP(-LN(2)/35))/(LN(2)/35)*BL77*BM77*VLOOKUP('Données projet'!$B$11,Paramètres!$A$1:$I$89,3,0)*0.475*44/12</f>
        <v>20.982500569630965</v>
      </c>
      <c r="BQ77" s="21">
        <f>EXP(-LN(2)/25)*BQ76+(1-EXP(-LN(2)/25))/(LN(2)/25)*Calculateur!BL77*Calculateur!BN77*VLOOKUP('Données projet'!$B$11,Paramètres!$A$1:$I$89,3,0)*0.475*44/12</f>
        <v>37.662391242649896</v>
      </c>
      <c r="BR77" s="21">
        <f>EXP(-LN(2)/2)*BR76+(1-EXP(-LN(2)/2))/(LN(2)/2)*BL77*BO77*VLOOKUP('Données projet'!$B$11,Paramètres!$A$1:$I$89,3,0)*0.475*44/12</f>
        <v>5.9016543266629027</v>
      </c>
      <c r="BS77" s="22">
        <f t="shared" si="63"/>
        <v>64.546546138943768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355.23615781077405</v>
      </c>
      <c r="T78" s="59">
        <f t="shared" si="88"/>
        <v>448.84541017639367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189.03786830342671</v>
      </c>
      <c r="AA78" s="21">
        <f>EXP(-LN(2)/25)*AA77+(1-EXP(-LN(2)/25))/(LN(2)/25)*Calculateur!V78*Calculateur!X78*VLOOKUP('Données projet'!$B$9,Paramètres!$A$1:$I$89,3,0)*0.475*44/12</f>
        <v>40.004071086535639</v>
      </c>
      <c r="AB78" s="21">
        <f>EXP(-LN(2)/2)*AB77+(1-EXP(-LN(2)/2))/(LN(2)/2)*V78*Y78*VLOOKUP('Données projet'!$B$9,Paramètres!$A$1:$I$89,3,0)*0.475*44/12</f>
        <v>0.23858451333073191</v>
      </c>
      <c r="AC78" s="22">
        <f t="shared" si="57"/>
        <v>229.28052390329307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25.7</v>
      </c>
      <c r="AI78" s="13">
        <f>IF('Données projet'!$A$62&gt;35,AI77+AH78-AQ77,IF(A78&lt;'Données projet'!$A$62,$AF$205^A78,IF(A78='Données projet'!$A$62,'Données projet'!$B$62,AI77+AH78-AQ77)))</f>
        <v>796.5</v>
      </c>
      <c r="AJ78" s="13">
        <f>AI78*VLOOKUP('Données projet'!$B$10,Paramètres!$A$1:$I$89,3,0)*VLOOKUP('Données projet'!$B$10,Paramètres!$A$1:$I$89,5,0)</f>
        <v>372.762</v>
      </c>
      <c r="AK78" s="13">
        <f t="shared" si="89"/>
        <v>86.232118549993217</v>
      </c>
      <c r="AL78" s="20">
        <f t="shared" si="58"/>
        <v>799.41475647457162</v>
      </c>
      <c r="AM78" s="59">
        <f t="shared" si="59"/>
        <v>1092.748089807905</v>
      </c>
      <c r="AN78" s="59">
        <f ca="1">AVERAGE(OFFSET($AM$3,0,0,'Données projet'!$E$10+1,1))-AVERAGE(OFFSET($H$3,0,0,'Données projet'!$E$10+1,1))</f>
        <v>402.38496642820587</v>
      </c>
      <c r="AO78" s="59">
        <f t="shared" si="90"/>
        <v>196.65158751478987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18.843418716802049</v>
      </c>
      <c r="AV78" s="21">
        <f>EXP(-LN(2)/25)*AV77+(1-EXP(-LN(2)/25))/(LN(2)/25)*Calculateur!AQ78*Calculateur!AS78*VLOOKUP('Données projet'!$B$10,Paramètres!$A$1:$I$89,3,0)*0.475*44/12</f>
        <v>55.091028711486807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73.934447428288848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8.875</v>
      </c>
      <c r="BD78" s="12">
        <f>IF('Données projet'!$A$88&gt;35,BD77+BC78-BL77,IF(A78&lt;'Données projet'!$A$88,$BA$205^A78,IF(A78='Données projet'!$A$88,'Données projet'!$B$88,BD77+BC78-BL77)))</f>
        <v>504.875</v>
      </c>
      <c r="BE78" s="13">
        <f>BD78*VLOOKUP('Données projet'!$B$11,Paramètres!$A$1:$I$89,3,0)*VLOOKUP('Données projet'!$B$11,Paramètres!$A$1:$I$89,5,0)</f>
        <v>301.91525000000001</v>
      </c>
      <c r="BF78" s="13">
        <f t="shared" si="91"/>
        <v>71.577824610045951</v>
      </c>
      <c r="BG78" s="20">
        <f t="shared" si="61"/>
        <v>650.50043827916329</v>
      </c>
      <c r="BH78" s="59">
        <f t="shared" si="62"/>
        <v>943.83377161249655</v>
      </c>
      <c r="BI78" s="59">
        <f ca="1">AVERAGE(OFFSET($BH$3,0,0,'Données projet'!$E$11+1,1))-AVERAGE(OFFSET($H$3,0,0,'Données projet'!$E$11+1,1))</f>
        <v>257.96727373333601</v>
      </c>
      <c r="BJ78" s="59">
        <f t="shared" si="92"/>
        <v>194.52809733694494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20.571046531522146</v>
      </c>
      <c r="BQ78" s="21">
        <f>EXP(-LN(2)/25)*BQ77+(1-EXP(-LN(2)/25))/(LN(2)/25)*Calculateur!BL78*Calculateur!BN78*VLOOKUP('Données projet'!$B$11,Paramètres!$A$1:$I$89,3,0)*0.475*44/12</f>
        <v>36.632511173540557</v>
      </c>
      <c r="BR78" s="21">
        <f>EXP(-LN(2)/2)*BR77+(1-EXP(-LN(2)/2))/(LN(2)/2)*BL78*BO78*VLOOKUP('Données projet'!$B$11,Paramètres!$A$1:$I$89,3,0)*0.475*44/12</f>
        <v>4.1730997946022672</v>
      </c>
      <c r="BS78" s="22">
        <f t="shared" si="63"/>
        <v>61.376657499664972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355.23615781077405</v>
      </c>
      <c r="T79" s="59">
        <f t="shared" si="88"/>
        <v>448.84541017639367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185.33095100771106</v>
      </c>
      <c r="AA79" s="21">
        <f>EXP(-LN(2)/25)*AA78+(1-EXP(-LN(2)/25))/(LN(2)/25)*Calculateur!V79*Calculateur!X79*VLOOKUP('Données projet'!$B$9,Paramètres!$A$1:$I$89,3,0)*0.475*44/12</f>
        <v>38.910157658951654</v>
      </c>
      <c r="AB79" s="21">
        <f>EXP(-LN(2)/2)*AB78+(1-EXP(-LN(2)/2))/(LN(2)/2)*V79*Y79*VLOOKUP('Données projet'!$B$9,Paramètres!$A$1:$I$89,3,0)*0.475*44/12</f>
        <v>0.1687047272622528</v>
      </c>
      <c r="AC79" s="22">
        <f t="shared" si="57"/>
        <v>224.40981339392496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25.7</v>
      </c>
      <c r="AI79" s="13">
        <f>IF('Données projet'!$A$62&gt;35,AI78+AH79-AQ78,IF(A79&lt;'Données projet'!$A$62,$AF$205^A79,IF(A79='Données projet'!$A$62,'Données projet'!$B$62,AI78+AH79-AQ78)))</f>
        <v>822.2</v>
      </c>
      <c r="AJ79" s="13">
        <f>AI79*VLOOKUP('Données projet'!$B$10,Paramètres!$A$1:$I$89,3,0)*VLOOKUP('Données projet'!$B$10,Paramètres!$A$1:$I$89,5,0)</f>
        <v>384.78960000000006</v>
      </c>
      <c r="AK79" s="13">
        <f t="shared" si="89"/>
        <v>88.686066963491072</v>
      </c>
      <c r="AL79" s="20">
        <f t="shared" si="58"/>
        <v>824.63678662808024</v>
      </c>
      <c r="AM79" s="59">
        <f t="shared" si="59"/>
        <v>1117.9701199614135</v>
      </c>
      <c r="AN79" s="59">
        <f ca="1">AVERAGE(OFFSET($AM$3,0,0,'Données projet'!$E$10+1,1))-AVERAGE(OFFSET($H$3,0,0,'Données projet'!$E$10+1,1))</f>
        <v>402.38496642820587</v>
      </c>
      <c r="AO79" s="59">
        <f t="shared" si="90"/>
        <v>196.65158751478987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18.473910769116102</v>
      </c>
      <c r="AV79" s="21">
        <f>EXP(-LN(2)/25)*AV78+(1-EXP(-LN(2)/25))/(LN(2)/25)*Calculateur!AQ79*Calculateur!AS79*VLOOKUP('Données projet'!$B$10,Paramètres!$A$1:$I$89,3,0)*0.475*44/12</f>
        <v>53.584561634259913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72.058472403376015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8.875</v>
      </c>
      <c r="BD79" s="12">
        <f>IF('Données projet'!$A$88&gt;35,BD78+BC79-BL78,IF(A79&lt;'Données projet'!$A$88,$BA$205^A79,IF(A79='Données projet'!$A$88,'Données projet'!$B$88,BD78+BC79-BL78)))</f>
        <v>513.75</v>
      </c>
      <c r="BE79" s="13">
        <f>BD79*VLOOKUP('Données projet'!$B$11,Paramètres!$A$1:$I$89,3,0)*VLOOKUP('Données projet'!$B$11,Paramètres!$A$1:$I$89,5,0)</f>
        <v>307.22250000000003</v>
      </c>
      <c r="BF79" s="13">
        <f t="shared" si="91"/>
        <v>72.68847414066191</v>
      </c>
      <c r="BG79" s="20">
        <f t="shared" si="61"/>
        <v>661.67827996165295</v>
      </c>
      <c r="BH79" s="59">
        <f t="shared" si="62"/>
        <v>955.01161329498632</v>
      </c>
      <c r="BI79" s="59">
        <f ca="1">AVERAGE(OFFSET($BH$3,0,0,'Données projet'!$E$11+1,1))-AVERAGE(OFFSET($H$3,0,0,'Données projet'!$E$11+1,1))</f>
        <v>257.96727373333601</v>
      </c>
      <c r="BJ79" s="59">
        <f t="shared" si="92"/>
        <v>194.52809733694494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20.167660856138458</v>
      </c>
      <c r="BQ79" s="21">
        <f>EXP(-LN(2)/25)*BQ78+(1-EXP(-LN(2)/25))/(LN(2)/25)*Calculateur!BL79*Calculateur!BN79*VLOOKUP('Données projet'!$B$11,Paramètres!$A$1:$I$89,3,0)*0.475*44/12</f>
        <v>35.630793229080055</v>
      </c>
      <c r="BR79" s="21">
        <f>EXP(-LN(2)/2)*BR78+(1-EXP(-LN(2)/2))/(LN(2)/2)*BL79*BO79*VLOOKUP('Données projet'!$B$11,Paramètres!$A$1:$I$89,3,0)*0.475*44/12</f>
        <v>2.9508271633314518</v>
      </c>
      <c r="BS79" s="22">
        <f t="shared" si="63"/>
        <v>58.749281248549963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355.23615781077405</v>
      </c>
      <c r="T80" s="59">
        <f t="shared" si="88"/>
        <v>448.84541017639367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181.69672409916811</v>
      </c>
      <c r="AA80" s="21">
        <f>EXP(-LN(2)/25)*AA79+(1-EXP(-LN(2)/25))/(LN(2)/25)*Calculateur!V80*Calculateur!X80*VLOOKUP('Données projet'!$B$9,Paramètres!$A$1:$I$89,3,0)*0.475*44/12</f>
        <v>37.846157351571357</v>
      </c>
      <c r="AB80" s="21">
        <f>EXP(-LN(2)/2)*AB79+(1-EXP(-LN(2)/2))/(LN(2)/2)*V80*Y80*VLOOKUP('Données projet'!$B$9,Paramètres!$A$1:$I$89,3,0)*0.475*44/12</f>
        <v>0.11929225666536598</v>
      </c>
      <c r="AC80" s="22">
        <f t="shared" si="57"/>
        <v>219.66217370740483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25.7</v>
      </c>
      <c r="AI80" s="13">
        <f>IF('Données projet'!$A$62&gt;35,AI79+AH80-AQ79,IF(A80&lt;'Données projet'!$A$62,$AF$205^A80,IF(A80='Données projet'!$A$62,'Données projet'!$B$62,AI79+AH80-AQ79)))</f>
        <v>847.90000000000009</v>
      </c>
      <c r="AJ80" s="13">
        <f>AI80*VLOOKUP('Données projet'!$B$10,Paramètres!$A$1:$I$89,3,0)*VLOOKUP('Données projet'!$B$10,Paramètres!$A$1:$I$89,5,0)</f>
        <v>396.81720000000007</v>
      </c>
      <c r="AK80" s="13">
        <f t="shared" si="89"/>
        <v>91.131101657586655</v>
      </c>
      <c r="AL80" s="20">
        <f t="shared" si="58"/>
        <v>849.84329205363019</v>
      </c>
      <c r="AM80" s="59">
        <f t="shared" si="59"/>
        <v>1143.1766253869635</v>
      </c>
      <c r="AN80" s="59">
        <f ca="1">AVERAGE(OFFSET($AM$3,0,0,'Données projet'!$E$10+1,1))-AVERAGE(OFFSET($H$3,0,0,'Données projet'!$E$10+1,1))</f>
        <v>402.38496642820587</v>
      </c>
      <c r="AO80" s="59">
        <f t="shared" si="90"/>
        <v>196.65158751478987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18.111648646906684</v>
      </c>
      <c r="AV80" s="21">
        <f>EXP(-LN(2)/25)*AV79+(1-EXP(-LN(2)/25))/(LN(2)/25)*Calculateur!AQ80*Calculateur!AS80*VLOOKUP('Données projet'!$B$10,Paramètres!$A$1:$I$89,3,0)*0.475*44/12</f>
        <v>52.11928897848145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70.230937625388137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8.875</v>
      </c>
      <c r="BD80" s="12">
        <f>IF('Données projet'!$A$88&gt;35,BD79+BC80-BL79,IF(A80&lt;'Données projet'!$A$88,$BA$205^A80,IF(A80='Données projet'!$A$88,'Données projet'!$B$88,BD79+BC80-BL79)))</f>
        <v>522.625</v>
      </c>
      <c r="BE80" s="13">
        <f>BD80*VLOOKUP('Données projet'!$B$11,Paramètres!$A$1:$I$89,3,0)*VLOOKUP('Données projet'!$B$11,Paramètres!$A$1:$I$89,5,0)</f>
        <v>312.52975000000004</v>
      </c>
      <c r="BF80" s="13">
        <f t="shared" si="91"/>
        <v>73.796892500493684</v>
      </c>
      <c r="BG80" s="20">
        <f t="shared" si="61"/>
        <v>672.85223568835988</v>
      </c>
      <c r="BH80" s="59">
        <f t="shared" si="62"/>
        <v>966.18556902169325</v>
      </c>
      <c r="BI80" s="59">
        <f ca="1">AVERAGE(OFFSET($BH$3,0,0,'Données projet'!$E$11+1,1))-AVERAGE(OFFSET($H$3,0,0,'Données projet'!$E$11+1,1))</f>
        <v>257.96727373333601</v>
      </c>
      <c r="BJ80" s="59">
        <f t="shared" si="92"/>
        <v>194.52809733694494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19.772185327808074</v>
      </c>
      <c r="BQ80" s="21">
        <f>EXP(-LN(2)/25)*BQ79+(1-EXP(-LN(2)/25))/(LN(2)/25)*Calculateur!BL80*Calculateur!BN80*VLOOKUP('Données projet'!$B$11,Paramètres!$A$1:$I$89,3,0)*0.475*44/12</f>
        <v>34.656467314488879</v>
      </c>
      <c r="BR80" s="21">
        <f>EXP(-LN(2)/2)*BR79+(1-EXP(-LN(2)/2))/(LN(2)/2)*BL80*BO80*VLOOKUP('Données projet'!$B$11,Paramètres!$A$1:$I$89,3,0)*0.475*44/12</f>
        <v>2.0865498973011336</v>
      </c>
      <c r="BS80" s="22">
        <f t="shared" si="63"/>
        <v>56.515202539598086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355.23615781077405</v>
      </c>
      <c r="T81" s="59">
        <f t="shared" si="88"/>
        <v>448.84541017639367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178.13376216364216</v>
      </c>
      <c r="AA81" s="21">
        <f>EXP(-LN(2)/25)*AA80+(1-EXP(-LN(2)/25))/(LN(2)/25)*Calculateur!V81*Calculateur!X81*VLOOKUP('Données projet'!$B$9,Paramètres!$A$1:$I$89,3,0)*0.475*44/12</f>
        <v>36.811252188549723</v>
      </c>
      <c r="AB81" s="21">
        <f>EXP(-LN(2)/2)*AB80+(1-EXP(-LN(2)/2))/(LN(2)/2)*V81*Y81*VLOOKUP('Données projet'!$B$9,Paramètres!$A$1:$I$89,3,0)*0.475*44/12</f>
        <v>8.4352363631126415E-2</v>
      </c>
      <c r="AC81" s="22">
        <f t="shared" si="57"/>
        <v>215.02936671582302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25.7</v>
      </c>
      <c r="AI81" s="13">
        <f>IF('Données projet'!$A$62&gt;35,AI80+AH81-AQ80,IF(A81&lt;'Données projet'!$A$62,$AF$205^A81,IF(A81='Données projet'!$A$62,'Données projet'!$B$62,AI80+AH81-AQ80)))</f>
        <v>873.60000000000014</v>
      </c>
      <c r="AJ81" s="13">
        <f>AI81*VLOOKUP('Données projet'!$B$10,Paramètres!$A$1:$I$89,3,0)*VLOOKUP('Données projet'!$B$10,Paramètres!$A$1:$I$89,5,0)</f>
        <v>408.84480000000008</v>
      </c>
      <c r="AK81" s="13">
        <f t="shared" si="89"/>
        <v>93.56752381931453</v>
      </c>
      <c r="AL81" s="20">
        <f t="shared" si="58"/>
        <v>875.03479731863956</v>
      </c>
      <c r="AM81" s="59">
        <f t="shared" si="59"/>
        <v>1168.3681306519729</v>
      </c>
      <c r="AN81" s="59">
        <f ca="1">AVERAGE(OFFSET($AM$3,0,0,'Données projet'!$E$10+1,1))-AVERAGE(OFFSET($H$3,0,0,'Données projet'!$E$10+1,1))</f>
        <v>402.38496642820587</v>
      </c>
      <c r="AO81" s="59">
        <f t="shared" si="90"/>
        <v>196.65158751478987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17.756490263955715</v>
      </c>
      <c r="AV81" s="21">
        <f>EXP(-LN(2)/25)*AV80+(1-EXP(-LN(2)/25))/(LN(2)/25)*Calculateur!AQ81*Calculateur!AS81*VLOOKUP('Données projet'!$B$10,Paramètres!$A$1:$I$89,3,0)*0.475*44/12</f>
        <v>50.694084280530589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68.450574544486301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8.875</v>
      </c>
      <c r="BD81" s="12">
        <f>IF('Données projet'!$A$88&gt;35,BD80+BC81-BL80,IF(A81&lt;'Données projet'!$A$88,$BA$205^A81,IF(A81='Données projet'!$A$88,'Données projet'!$B$88,BD80+BC81-BL80)))</f>
        <v>531.5</v>
      </c>
      <c r="BE81" s="13">
        <f>BD81*VLOOKUP('Données projet'!$B$11,Paramètres!$A$1:$I$89,3,0)*VLOOKUP('Données projet'!$B$11,Paramètres!$A$1:$I$89,5,0)</f>
        <v>317.83700000000005</v>
      </c>
      <c r="BF81" s="13">
        <f t="shared" si="91"/>
        <v>74.903121950927684</v>
      </c>
      <c r="BG81" s="20">
        <f t="shared" si="61"/>
        <v>684.0223790645324</v>
      </c>
      <c r="BH81" s="59">
        <f t="shared" si="62"/>
        <v>977.35571239786577</v>
      </c>
      <c r="BI81" s="59">
        <f ca="1">AVERAGE(OFFSET($BH$3,0,0,'Données projet'!$E$11+1,1))-AVERAGE(OFFSET($H$3,0,0,'Données projet'!$E$11+1,1))</f>
        <v>257.96727373333601</v>
      </c>
      <c r="BJ81" s="59">
        <f t="shared" si="92"/>
        <v>194.52809733694494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19.384464833371997</v>
      </c>
      <c r="BQ81" s="21">
        <f>EXP(-LN(2)/25)*BQ80+(1-EXP(-LN(2)/25))/(LN(2)/25)*Calculateur!BL81*Calculateur!BN81*VLOOKUP('Données projet'!$B$11,Paramètres!$A$1:$I$89,3,0)*0.475*44/12</f>
        <v>33.708784393269774</v>
      </c>
      <c r="BR81" s="21">
        <f>EXP(-LN(2)/2)*BR80+(1-EXP(-LN(2)/2))/(LN(2)/2)*BL81*BO81*VLOOKUP('Données projet'!$B$11,Paramètres!$A$1:$I$89,3,0)*0.475*44/12</f>
        <v>1.4754135816657259</v>
      </c>
      <c r="BS81" s="22">
        <f t="shared" si="63"/>
        <v>54.568662808307501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355.23615781077405</v>
      </c>
      <c r="T82" s="59">
        <f t="shared" si="88"/>
        <v>448.84541017639367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174.64066773847966</v>
      </c>
      <c r="AA82" s="21">
        <f>EXP(-LN(2)/25)*AA81+(1-EXP(-LN(2)/25))/(LN(2)/25)*Calculateur!V82*Calculateur!X82*VLOOKUP('Données projet'!$B$9,Paramètres!$A$1:$I$89,3,0)*0.475*44/12</f>
        <v>35.804646561634215</v>
      </c>
      <c r="AB82" s="21">
        <f>EXP(-LN(2)/2)*AB81+(1-EXP(-LN(2)/2))/(LN(2)/2)*V82*Y82*VLOOKUP('Données projet'!$B$9,Paramètres!$A$1:$I$89,3,0)*0.475*44/12</f>
        <v>5.9646128332682999E-2</v>
      </c>
      <c r="AC82" s="22">
        <f t="shared" si="57"/>
        <v>210.50496042844654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25.7</v>
      </c>
      <c r="AI82" s="13">
        <f>IF('Données projet'!$A$62&gt;35,AI81+AH82-AQ81,IF(A82&lt;'Données projet'!$A$62,$AF$205^A82,IF(A82='Données projet'!$A$62,'Données projet'!$B$62,AI81+AH82-AQ81)))</f>
        <v>899.30000000000018</v>
      </c>
      <c r="AJ82" s="13">
        <f>AI82*VLOOKUP('Données projet'!$B$10,Paramètres!$A$1:$I$89,3,0)*VLOOKUP('Données projet'!$B$10,Paramètres!$A$1:$I$89,5,0)</f>
        <v>420.87240000000008</v>
      </c>
      <c r="AK82" s="13">
        <f t="shared" si="89"/>
        <v>95.995615907299751</v>
      </c>
      <c r="AL82" s="20">
        <f t="shared" si="58"/>
        <v>900.2117943718805</v>
      </c>
      <c r="AM82" s="59">
        <f t="shared" si="59"/>
        <v>1193.5451277052139</v>
      </c>
      <c r="AN82" s="59">
        <f ca="1">AVERAGE(OFFSET($AM$3,0,0,'Données projet'!$E$10+1,1))-AVERAGE(OFFSET($H$3,0,0,'Données projet'!$E$10+1,1))</f>
        <v>402.38496642820587</v>
      </c>
      <c r="AO82" s="59">
        <f t="shared" si="90"/>
        <v>196.65158751478987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17.408296320269194</v>
      </c>
      <c r="AV82" s="21">
        <f>EXP(-LN(2)/25)*AV81+(1-EXP(-LN(2)/25))/(LN(2)/25)*Calculateur!AQ82*Calculateur!AS82*VLOOKUP('Données projet'!$B$10,Paramètres!$A$1:$I$89,3,0)*0.475*44/12</f>
        <v>49.30785187999345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66.716148200262637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8.875</v>
      </c>
      <c r="BD82" s="12">
        <f>IF('Données projet'!$A$88&gt;35,BD81+BC82-BL81,IF(A82&lt;'Données projet'!$A$88,$BA$205^A82,IF(A82='Données projet'!$A$88,'Données projet'!$B$88,BD81+BC82-BL81)))</f>
        <v>540.375</v>
      </c>
      <c r="BE82" s="13">
        <f>BD82*VLOOKUP('Données projet'!$B$11,Paramètres!$A$1:$I$89,3,0)*VLOOKUP('Données projet'!$B$11,Paramètres!$A$1:$I$89,5,0)</f>
        <v>323.14425000000006</v>
      </c>
      <c r="BF82" s="13">
        <f t="shared" si="91"/>
        <v>76.007203261088534</v>
      </c>
      <c r="BG82" s="20">
        <f t="shared" si="61"/>
        <v>695.18878109639593</v>
      </c>
      <c r="BH82" s="59">
        <f t="shared" si="62"/>
        <v>988.5221144297293</v>
      </c>
      <c r="BI82" s="59">
        <f ca="1">AVERAGE(OFFSET($BH$3,0,0,'Données projet'!$E$11+1,1))-AVERAGE(OFFSET($H$3,0,0,'Données projet'!$E$11+1,1))</f>
        <v>257.96727373333601</v>
      </c>
      <c r="BJ82" s="59">
        <f t="shared" si="92"/>
        <v>194.52809733694494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19.004347301345661</v>
      </c>
      <c r="BQ82" s="21">
        <f>EXP(-LN(2)/25)*BQ81+(1-EXP(-LN(2)/25))/(LN(2)/25)*Calculateur!BL82*Calculateur!BN82*VLOOKUP('Données projet'!$B$11,Paramètres!$A$1:$I$89,3,0)*0.475*44/12</f>
        <v>32.787015911367881</v>
      </c>
      <c r="BR82" s="21">
        <f>EXP(-LN(2)/2)*BR81+(1-EXP(-LN(2)/2))/(LN(2)/2)*BL82*BO82*VLOOKUP('Données projet'!$B$11,Paramètres!$A$1:$I$89,3,0)*0.475*44/12</f>
        <v>1.0432749486505668</v>
      </c>
      <c r="BS82" s="22">
        <f t="shared" si="63"/>
        <v>52.834638161364111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355.23615781077405</v>
      </c>
      <c r="T83" s="59">
        <f t="shared" si="88"/>
        <v>448.84541017639367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171.2160707644174</v>
      </c>
      <c r="AA83" s="21">
        <f>EXP(-LN(2)/25)*AA82+(1-EXP(-LN(2)/25))/(LN(2)/25)*Calculateur!V83*Calculateur!X83*VLOOKUP('Données projet'!$B$9,Paramètres!$A$1:$I$89,3,0)*0.475*44/12</f>
        <v>34.825566618521798</v>
      </c>
      <c r="AB83" s="21">
        <f>EXP(-LN(2)/2)*AB82+(1-EXP(-LN(2)/2))/(LN(2)/2)*V83*Y83*VLOOKUP('Données projet'!$B$9,Paramètres!$A$1:$I$89,3,0)*0.475*44/12</f>
        <v>4.2176181815563214E-2</v>
      </c>
      <c r="AC83" s="22">
        <f t="shared" si="57"/>
        <v>206.08381356475476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925</v>
      </c>
      <c r="AG83" s="12">
        <f>VLOOKUP(A83,'Données projet'!$A$61:$I$81,9,0)</f>
        <v>25.7</v>
      </c>
      <c r="AH83" s="12">
        <f t="array" ref="AH83">INDEX(AG:AG,MIN(IF(ISNUMBER(AG83:AG279),ROW(AG83:AG279),"")))</f>
        <v>25.7</v>
      </c>
      <c r="AI83" s="13">
        <f>IF('Données projet'!$A$62&gt;35,AI82+AH83-AQ82,IF(A83&lt;'Données projet'!$A$62,$AF$205^A83,IF(A83='Données projet'!$A$62,'Données projet'!$B$62,AI82+AH83-AQ82)))</f>
        <v>925.00000000000023</v>
      </c>
      <c r="AJ83" s="13">
        <f>AI83*VLOOKUP('Données projet'!$B$10,Paramètres!$A$1:$I$89,3,0)*VLOOKUP('Données projet'!$B$10,Paramètres!$A$1:$I$89,5,0)</f>
        <v>432.90000000000009</v>
      </c>
      <c r="AK83" s="13">
        <f t="shared" si="89"/>
        <v>98.415643317854204</v>
      </c>
      <c r="AL83" s="20">
        <f t="shared" si="58"/>
        <v>925.37474544526287</v>
      </c>
      <c r="AM83" s="59">
        <f t="shared" si="59"/>
        <v>1218.7080787785962</v>
      </c>
      <c r="AN83" s="59">
        <f ca="1">AVERAGE(OFFSET($AM$3,0,0,'Données projet'!$E$10+1,1))-AVERAGE(OFFSET($H$3,0,0,'Données projet'!$E$10+1,1))</f>
        <v>402.38496642820587</v>
      </c>
      <c r="AO83" s="59">
        <f t="shared" si="90"/>
        <v>196.65158751478987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93</v>
      </c>
      <c r="AR83" s="16">
        <f>IF(ISNA(VLOOKUP(A83,'Données projet'!$A$61:$I$81,5,0)),0%,VLOOKUP(A83,'Données projet'!$A$61:$I$81,5,0)*VLOOKUP('Données projet'!$B$10,Paramètres!$A$1:$I$89,7,0))</f>
        <v>0.27500000000000002</v>
      </c>
      <c r="AS83" s="16">
        <f>IF(ISNA(VLOOKUP(A83,'Données projet'!$A$61:$I$81,6,0)),0%,VLOOKUP(A83,'Données projet'!$A$61:$I$81,6,0)*VLOOKUP('Données projet'!$B$10,Paramètres!$A$1:$I$89,7,0))</f>
        <v>0.27500000000000002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32.944712871042427</v>
      </c>
      <c r="AV83" s="21">
        <f>EXP(-LN(2)/25)*AV82+(1-EXP(-LN(2)/25))/(LN(2)/25)*Calculateur!AQ83*Calculateur!AS83*VLOOKUP('Données projet'!$B$10,Paramètres!$A$1:$I$89,3,0)*0.475*44/12</f>
        <v>63.774791820850595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96.719504691893022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8.875</v>
      </c>
      <c r="BD83" s="12">
        <f>IF('Données projet'!$A$88&gt;35,BD82+BC83-BL82,IF(A83&lt;'Données projet'!$A$88,$BA$205^A83,IF(A83='Données projet'!$A$88,'Données projet'!$B$88,BD82+BC83-BL82)))</f>
        <v>549.25</v>
      </c>
      <c r="BE83" s="13">
        <f>BD83*VLOOKUP('Données projet'!$B$11,Paramètres!$A$1:$I$89,3,0)*VLOOKUP('Données projet'!$B$11,Paramètres!$A$1:$I$89,5,0)</f>
        <v>328.45150000000001</v>
      </c>
      <c r="BF83" s="13">
        <f t="shared" si="91"/>
        <v>77.109175784158708</v>
      </c>
      <c r="BG83" s="20">
        <f t="shared" si="61"/>
        <v>706.35151032407646</v>
      </c>
      <c r="BH83" s="59">
        <f t="shared" si="62"/>
        <v>999.68484365740983</v>
      </c>
      <c r="BI83" s="59">
        <f ca="1">AVERAGE(OFFSET($BH$3,0,0,'Données projet'!$E$11+1,1))-AVERAGE(OFFSET($H$3,0,0,'Données projet'!$E$11+1,1))</f>
        <v>257.96727373333601</v>
      </c>
      <c r="BJ83" s="59">
        <f t="shared" si="92"/>
        <v>194.52809733694494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18.631683642273561</v>
      </c>
      <c r="BQ83" s="21">
        <f>EXP(-LN(2)/25)*BQ82+(1-EXP(-LN(2)/25))/(LN(2)/25)*Calculateur!BL83*Calculateur!BN83*VLOOKUP('Données projet'!$B$11,Paramètres!$A$1:$I$89,3,0)*0.475*44/12</f>
        <v>31.890453237077296</v>
      </c>
      <c r="BR83" s="21">
        <f>EXP(-LN(2)/2)*BR82+(1-EXP(-LN(2)/2))/(LN(2)/2)*BL83*BO83*VLOOKUP('Données projet'!$B$11,Paramètres!$A$1:$I$89,3,0)*0.475*44/12</f>
        <v>0.73770679083286295</v>
      </c>
      <c r="BS83" s="22">
        <f t="shared" si="63"/>
        <v>51.259843670183713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355.23615781077405</v>
      </c>
      <c r="T84" s="59">
        <f t="shared" si="88"/>
        <v>448.84541017639367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167.85862804821858</v>
      </c>
      <c r="AA84" s="21">
        <f>EXP(-LN(2)/25)*AA83+(1-EXP(-LN(2)/25))/(LN(2)/25)*Calculateur!V84*Calculateur!X84*VLOOKUP('Données projet'!$B$9,Paramètres!$A$1:$I$89,3,0)*0.475*44/12</f>
        <v>33.873259667941369</v>
      </c>
      <c r="AB84" s="21">
        <f>EXP(-LN(2)/2)*AB83+(1-EXP(-LN(2)/2))/(LN(2)/2)*V84*Y84*VLOOKUP('Données projet'!$B$9,Paramètres!$A$1:$I$89,3,0)*0.475*44/12</f>
        <v>2.9823064166341503E-2</v>
      </c>
      <c r="AC84" s="22">
        <f t="shared" si="57"/>
        <v>201.7617107803263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26.8</v>
      </c>
      <c r="AI84" s="13">
        <f>IF('Données projet'!$A$62&gt;35,AI83+AH84-AQ83,IF(A84&lt;'Données projet'!$A$62,$AF$205^A84,IF(A84='Données projet'!$A$62,'Données projet'!$B$62,AI83+AH84-AQ83)))</f>
        <v>858.80000000000018</v>
      </c>
      <c r="AJ84" s="13">
        <f>AI84*VLOOKUP('Données projet'!$B$10,Paramètres!$A$1:$I$89,3,0)*VLOOKUP('Données projet'!$B$10,Paramètres!$A$1:$I$89,5,0)</f>
        <v>401.91840000000008</v>
      </c>
      <c r="AK84" s="13">
        <f t="shared" si="89"/>
        <v>92.16548301386203</v>
      </c>
      <c r="AL84" s="20">
        <f t="shared" si="58"/>
        <v>860.52942958247638</v>
      </c>
      <c r="AM84" s="59">
        <f t="shared" si="59"/>
        <v>1153.8627629158098</v>
      </c>
      <c r="AN84" s="59">
        <f ca="1">AVERAGE(OFFSET($AM$3,0,0,'Données projet'!$E$10+1,1))-AVERAGE(OFFSET($H$3,0,0,'Données projet'!$E$10+1,1))</f>
        <v>402.38496642820587</v>
      </c>
      <c r="AO84" s="59">
        <f t="shared" si="90"/>
        <v>196.65158751478987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32.298687145931993</v>
      </c>
      <c r="AV84" s="21">
        <f>EXP(-LN(2)/25)*AV83+(1-EXP(-LN(2)/25))/(LN(2)/25)*Calculateur!AQ84*Calculateur!AS84*VLOOKUP('Données projet'!$B$10,Paramètres!$A$1:$I$89,3,0)*0.475*44/12</f>
        <v>62.03086678473889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94.329553930670883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8.875</v>
      </c>
      <c r="BD84" s="12">
        <f>IF('Données projet'!$A$88&gt;35,BD83+BC84-BL83,IF(A84&lt;'Données projet'!$A$88,$BA$205^A84,IF(A84='Données projet'!$A$88,'Données projet'!$B$88,BD83+BC84-BL83)))</f>
        <v>558.125</v>
      </c>
      <c r="BE84" s="13">
        <f>BD84*VLOOKUP('Données projet'!$B$11,Paramètres!$A$1:$I$89,3,0)*VLOOKUP('Données projet'!$B$11,Paramètres!$A$1:$I$89,5,0)</f>
        <v>333.75875000000002</v>
      </c>
      <c r="BF84" s="13">
        <f t="shared" si="91"/>
        <v>78.209077528625059</v>
      </c>
      <c r="BG84" s="20">
        <f t="shared" si="61"/>
        <v>717.5106329456886</v>
      </c>
      <c r="BH84" s="59">
        <f t="shared" si="62"/>
        <v>1010.843966279022</v>
      </c>
      <c r="BI84" s="59">
        <f ca="1">AVERAGE(OFFSET($BH$3,0,0,'Données projet'!$E$11+1,1))-AVERAGE(OFFSET($H$3,0,0,'Données projet'!$E$11+1,1))</f>
        <v>257.96727373333601</v>
      </c>
      <c r="BJ84" s="59">
        <f t="shared" si="92"/>
        <v>194.52809733694494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18.266327690253476</v>
      </c>
      <c r="BQ84" s="21">
        <f>EXP(-LN(2)/25)*BQ83+(1-EXP(-LN(2)/25))/(LN(2)/25)*Calculateur!BL84*Calculateur!BN84*VLOOKUP('Données projet'!$B$11,Paramètres!$A$1:$I$89,3,0)*0.475*44/12</f>
        <v>31.018407116263369</v>
      </c>
      <c r="BR84" s="21">
        <f>EXP(-LN(2)/2)*BR83+(1-EXP(-LN(2)/2))/(LN(2)/2)*BL84*BO84*VLOOKUP('Données projet'!$B$11,Paramètres!$A$1:$I$89,3,0)*0.475*44/12</f>
        <v>0.5216374743252834</v>
      </c>
      <c r="BS84" s="22">
        <f t="shared" si="63"/>
        <v>49.806372280842126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355.23615781077405</v>
      </c>
      <c r="T85" s="59">
        <f t="shared" si="88"/>
        <v>448.84541017639367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164.56702273584656</v>
      </c>
      <c r="AA85" s="21">
        <f>EXP(-LN(2)/25)*AA84+(1-EXP(-LN(2)/25))/(LN(2)/25)*Calculateur!V85*Calculateur!X85*VLOOKUP('Données projet'!$B$9,Paramètres!$A$1:$I$89,3,0)*0.475*44/12</f>
        <v>32.946993601004202</v>
      </c>
      <c r="AB85" s="21">
        <f>EXP(-LN(2)/2)*AB84+(1-EXP(-LN(2)/2))/(LN(2)/2)*V85*Y85*VLOOKUP('Données projet'!$B$9,Paramètres!$A$1:$I$89,3,0)*0.475*44/12</f>
        <v>2.1088090907781611E-2</v>
      </c>
      <c r="AC85" s="22">
        <f t="shared" si="57"/>
        <v>197.53510442775857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26.8</v>
      </c>
      <c r="AI85" s="13">
        <f>IF('Données projet'!$A$62&gt;35,AI84+AH85-AQ84,IF(A85&lt;'Données projet'!$A$62,$AF$205^A85,IF(A85='Données projet'!$A$62,'Données projet'!$B$62,AI84+AH85-AQ84)))</f>
        <v>885.60000000000014</v>
      </c>
      <c r="AJ85" s="13">
        <f>AI85*VLOOKUP('Données projet'!$B$10,Paramètres!$A$1:$I$89,3,0)*VLOOKUP('Données projet'!$B$10,Paramètres!$A$1:$I$89,5,0)</f>
        <v>414.46080000000006</v>
      </c>
      <c r="AK85" s="13">
        <f t="shared" si="89"/>
        <v>94.702283488127037</v>
      </c>
      <c r="AL85" s="20">
        <f t="shared" si="58"/>
        <v>886.79237040848795</v>
      </c>
      <c r="AM85" s="59">
        <f t="shared" si="59"/>
        <v>1180.1257037418213</v>
      </c>
      <c r="AN85" s="59">
        <f ca="1">AVERAGE(OFFSET($AM$3,0,0,'Données projet'!$E$10+1,1))-AVERAGE(OFFSET($H$3,0,0,'Données projet'!$E$10+1,1))</f>
        <v>402.38496642820587</v>
      </c>
      <c r="AO85" s="59">
        <f t="shared" si="90"/>
        <v>196.65158751478987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31.665329591254189</v>
      </c>
      <c r="AV85" s="21">
        <f>EXP(-LN(2)/25)*AV84+(1-EXP(-LN(2)/25))/(LN(2)/25)*Calculateur!AQ85*Calculateur!AS85*VLOOKUP('Données projet'!$B$10,Paramètres!$A$1:$I$89,3,0)*0.475*44/12</f>
        <v>60.334629470448697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91.999959061702882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>
        <f>VLOOKUP(A85,'Données projet'!$A$87:$I$107,2,0)</f>
        <v>567</v>
      </c>
      <c r="BB85" s="12">
        <f>VLOOKUP(A85,'Données projet'!$A$87:$I$107,9,0)</f>
        <v>8.875</v>
      </c>
      <c r="BC85" s="12">
        <f t="array" ref="BC85">INDEX(BB:BB,MIN(IF(ISNUMBER(BB85:BB281),ROW(BB85:BB281),"")))</f>
        <v>8.875</v>
      </c>
      <c r="BD85" s="12">
        <f>IF('Données projet'!$A$88&gt;35,BD84+BC85-BL84,IF(A85&lt;'Données projet'!$A$88,$BA$205^A85,IF(A85='Données projet'!$A$88,'Données projet'!$B$88,BD84+BC85-BL84)))</f>
        <v>567</v>
      </c>
      <c r="BE85" s="13">
        <f>BD85*VLOOKUP('Données projet'!$B$11,Paramètres!$A$1:$I$89,3,0)*VLOOKUP('Données projet'!$B$11,Paramètres!$A$1:$I$89,5,0)</f>
        <v>339.06600000000003</v>
      </c>
      <c r="BF85" s="13">
        <f t="shared" si="91"/>
        <v>79.30694522486489</v>
      </c>
      <c r="BG85" s="20">
        <f t="shared" si="61"/>
        <v>728.66621293330627</v>
      </c>
      <c r="BH85" s="59">
        <f t="shared" si="62"/>
        <v>1021.9995462666395</v>
      </c>
      <c r="BI85" s="59">
        <f ca="1">AVERAGE(OFFSET($BH$3,0,0,'Données projet'!$E$11+1,1))-AVERAGE(OFFSET($H$3,0,0,'Données projet'!$E$11+1,1))</f>
        <v>257.96727373333601</v>
      </c>
      <c r="BJ85" s="59">
        <f t="shared" si="92"/>
        <v>194.52809733694494</v>
      </c>
      <c r="BK85" s="15" t="str">
        <f>IF(ISNA(VLOOKUP(A85,'Données projet'!$A$87:$I$107,3,0)),0,VLOOKUP(A85,'Données projet'!$A$87:$I$107,3,0))</f>
        <v>CR</v>
      </c>
      <c r="BL85" s="15">
        <f>IF(ISNA(VLOOKUP(A85,'Données projet'!$A$87:$I$107,4,0)),0,VLOOKUP(A85,'Données projet'!$A$87:$I$107,4,0))</f>
        <v>567</v>
      </c>
      <c r="BM85" s="16">
        <f>IF(ISNA(VLOOKUP(A85,'Données projet'!$A$87:$I$107,5,0)),0%,VLOOKUP(A85,'Données projet'!$A$87:$I$107,5,0)*VLOOKUP('Données projet'!$B$11,Paramètres!$A$1:$I$89,7,0))</f>
        <v>0.315</v>
      </c>
      <c r="BN85" s="16">
        <f>IF(ISNA(VLOOKUP(A85,'Données projet'!$A$87:$I$107,6,0)),0%,VLOOKUP(A85,'Données projet'!$A$87:$I$107,6,0)*VLOOKUP('Données projet'!$B$11,Paramètres!$A$1:$I$89,7,0))</f>
        <v>9.0000000000000011E-2</v>
      </c>
      <c r="BO85" s="16">
        <f>IF(ISNA(VLOOKUP(A85,'Données projet'!$A$87:$I$107,7,0)),0%,VLOOKUP(A85,'Données projet'!$A$87:$I$107,7,0))</f>
        <v>0.1</v>
      </c>
      <c r="BP85" s="21">
        <f>EXP(-LN(2)/35)*BP84+(1-EXP(-LN(2)/35))/(LN(2)/35)*BL85*BM85*VLOOKUP('Données projet'!$B$11,Paramètres!$A$1:$I$89,3,0)*0.475*44/12</f>
        <v>159.59290079474727</v>
      </c>
      <c r="BQ85" s="21">
        <f>EXP(-LN(2)/25)*BQ84+(1-EXP(-LN(2)/25))/(LN(2)/25)*Calculateur!BL85*Calculateur!BN85*VLOOKUP('Données projet'!$B$11,Paramètres!$A$1:$I$89,3,0)*0.475*44/12</f>
        <v>70.492177926650143</v>
      </c>
      <c r="BR85" s="21">
        <f>EXP(-LN(2)/2)*BR84+(1-EXP(-LN(2)/2))/(LN(2)/2)*BL85*BO85*VLOOKUP('Données projet'!$B$11,Paramètres!$A$1:$I$89,3,0)*0.475*44/12</f>
        <v>38.759001014727303</v>
      </c>
      <c r="BS85" s="22">
        <f t="shared" si="63"/>
        <v>268.84407973612468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355.23615781077405</v>
      </c>
      <c r="T86" s="59">
        <f t="shared" si="88"/>
        <v>448.84541017639367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161.33996379596917</v>
      </c>
      <c r="AA86" s="21">
        <f>EXP(-LN(2)/25)*AA85+(1-EXP(-LN(2)/25))/(LN(2)/25)*Calculateur!V86*Calculateur!X86*VLOOKUP('Données projet'!$B$9,Paramètres!$A$1:$I$89,3,0)*0.475*44/12</f>
        <v>32.046056328377652</v>
      </c>
      <c r="AB86" s="21">
        <f>EXP(-LN(2)/2)*AB85+(1-EXP(-LN(2)/2))/(LN(2)/2)*V86*Y86*VLOOKUP('Données projet'!$B$9,Paramètres!$A$1:$I$89,3,0)*0.475*44/12</f>
        <v>1.4911532083170755E-2</v>
      </c>
      <c r="AC86" s="22">
        <f t="shared" si="57"/>
        <v>193.40093165643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26.8</v>
      </c>
      <c r="AI86" s="13">
        <f>IF('Données projet'!$A$62&gt;35,AI85+AH86-AQ85,IF(A86&lt;'Données projet'!$A$62,$AF$205^A86,IF(A86='Données projet'!$A$62,'Données projet'!$B$62,AI85+AH86-AQ85)))</f>
        <v>912.40000000000009</v>
      </c>
      <c r="AJ86" s="13">
        <f>AI86*VLOOKUP('Données projet'!$B$10,Paramètres!$A$1:$I$89,3,0)*VLOOKUP('Données projet'!$B$10,Paramètres!$A$1:$I$89,5,0)</f>
        <v>427.00319999999999</v>
      </c>
      <c r="AK86" s="13">
        <f t="shared" si="89"/>
        <v>97.230162380957381</v>
      </c>
      <c r="AL86" s="20">
        <f t="shared" si="58"/>
        <v>913.03977281350069</v>
      </c>
      <c r="AM86" s="59">
        <f t="shared" si="59"/>
        <v>1206.3731061468341</v>
      </c>
      <c r="AN86" s="59">
        <f ca="1">AVERAGE(OFFSET($AM$3,0,0,'Données projet'!$E$10+1,1))-AVERAGE(OFFSET($H$3,0,0,'Données projet'!$E$10+1,1))</f>
        <v>402.38496642820587</v>
      </c>
      <c r="AO86" s="59">
        <f t="shared" si="90"/>
        <v>196.65158751478987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31.04439179191365</v>
      </c>
      <c r="AV86" s="21">
        <f>EXP(-LN(2)/25)*AV85+(1-EXP(-LN(2)/25))/(LN(2)/25)*Calculateur!AQ86*Calculateur!AS86*VLOOKUP('Données projet'!$B$10,Paramètres!$A$1:$I$89,3,0)*0.475*44/12</f>
        <v>58.684775854719007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89.729167646632661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257.96727373333601</v>
      </c>
      <c r="BJ86" s="59">
        <f t="shared" si="92"/>
        <v>194.52809733694494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156.46338135222004</v>
      </c>
      <c r="BQ86" s="21">
        <f>EXP(-LN(2)/25)*BQ85+(1-EXP(-LN(2)/25))/(LN(2)/25)*Calculateur!BL86*Calculateur!BN86*VLOOKUP('Données projet'!$B$11,Paramètres!$A$1:$I$89,3,0)*0.475*44/12</f>
        <v>68.564565614223369</v>
      </c>
      <c r="BR86" s="21">
        <f>EXP(-LN(2)/2)*BR85+(1-EXP(-LN(2)/2))/(LN(2)/2)*BL86*BO86*VLOOKUP('Données projet'!$B$11,Paramètres!$A$1:$I$89,3,0)*0.475*44/12</f>
        <v>27.406752449529954</v>
      </c>
      <c r="BS86" s="22">
        <f t="shared" si="63"/>
        <v>252.43469941597337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355.23615781077405</v>
      </c>
      <c r="T87" s="59">
        <f t="shared" si="88"/>
        <v>448.84541017639367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158.17618551359118</v>
      </c>
      <c r="AA87" s="21">
        <f>EXP(-LN(2)/25)*AA86+(1-EXP(-LN(2)/25))/(LN(2)/25)*Calculateur!V87*Calculateur!X87*VLOOKUP('Données projet'!$B$9,Paramètres!$A$1:$I$89,3,0)*0.475*44/12</f>
        <v>31.169755232849305</v>
      </c>
      <c r="AB87" s="21">
        <f>EXP(-LN(2)/2)*AB86+(1-EXP(-LN(2)/2))/(LN(2)/2)*V87*Y87*VLOOKUP('Données projet'!$B$9,Paramètres!$A$1:$I$89,3,0)*0.475*44/12</f>
        <v>1.0544045453890807E-2</v>
      </c>
      <c r="AC87" s="22">
        <f t="shared" si="57"/>
        <v>189.35648479189436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26.8</v>
      </c>
      <c r="AI87" s="13">
        <f>IF('Données projet'!$A$62&gt;35,AI86+AH87-AQ86,IF(A87&lt;'Données projet'!$A$62,$AF$205^A87,IF(A87='Données projet'!$A$62,'Données projet'!$B$62,AI86+AH87-AQ86)))</f>
        <v>939.2</v>
      </c>
      <c r="AJ87" s="13">
        <f>AI87*VLOOKUP('Données projet'!$B$10,Paramètres!$A$1:$I$89,3,0)*VLOOKUP('Données projet'!$B$10,Paramètres!$A$1:$I$89,5,0)</f>
        <v>439.54560000000004</v>
      </c>
      <c r="AK87" s="13">
        <f t="shared" si="89"/>
        <v>99.749411835423189</v>
      </c>
      <c r="AL87" s="20">
        <f t="shared" si="58"/>
        <v>939.27214561336189</v>
      </c>
      <c r="AM87" s="59">
        <f t="shared" si="59"/>
        <v>1232.6054789466953</v>
      </c>
      <c r="AN87" s="59">
        <f ca="1">AVERAGE(OFFSET($AM$3,0,0,'Données projet'!$E$10+1,1))-AVERAGE(OFFSET($H$3,0,0,'Données projet'!$E$10+1,1))</f>
        <v>402.38496642820587</v>
      </c>
      <c r="AO87" s="59">
        <f t="shared" si="90"/>
        <v>196.65158751478987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30.43563020408352</v>
      </c>
      <c r="AV87" s="21">
        <f>EXP(-LN(2)/25)*AV86+(1-EXP(-LN(2)/25))/(LN(2)/25)*Calculateur!AQ87*Calculateur!AS87*VLOOKUP('Données projet'!$B$10,Paramètres!$A$1:$I$89,3,0)*0.475*44/12</f>
        <v>57.080037572873479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87.515667776957002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257.96727373333601</v>
      </c>
      <c r="BJ87" s="59">
        <f t="shared" si="92"/>
        <v>194.52809733694494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153.39522987714238</v>
      </c>
      <c r="BQ87" s="21">
        <f>EXP(-LN(2)/25)*BQ86+(1-EXP(-LN(2)/25))/(LN(2)/25)*Calculateur!BL87*Calculateur!BN87*VLOOKUP('Données projet'!$B$11,Paramètres!$A$1:$I$89,3,0)*0.475*44/12</f>
        <v>66.689663961848638</v>
      </c>
      <c r="BR87" s="21">
        <f>EXP(-LN(2)/2)*BR86+(1-EXP(-LN(2)/2))/(LN(2)/2)*BL87*BO87*VLOOKUP('Données projet'!$B$11,Paramètres!$A$1:$I$89,3,0)*0.475*44/12</f>
        <v>19.379500507363655</v>
      </c>
      <c r="BS87" s="22">
        <f t="shared" si="63"/>
        <v>239.46439434635468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355.23615781077405</v>
      </c>
      <c r="T88" s="59">
        <f t="shared" si="88"/>
        <v>448.84541017639367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155.07444699361642</v>
      </c>
      <c r="AA88" s="21">
        <f>EXP(-LN(2)/25)*AA87+(1-EXP(-LN(2)/25))/(LN(2)/25)*Calculateur!V88*Calculateur!X88*VLOOKUP('Données projet'!$B$9,Paramètres!$A$1:$I$89,3,0)*0.475*44/12</f>
        <v>30.317416636860852</v>
      </c>
      <c r="AB88" s="21">
        <f>EXP(-LN(2)/2)*AB87+(1-EXP(-LN(2)/2))/(LN(2)/2)*V88*Y88*VLOOKUP('Données projet'!$B$9,Paramètres!$A$1:$I$89,3,0)*0.475*44/12</f>
        <v>7.4557660415853783E-3</v>
      </c>
      <c r="AC88" s="22">
        <f t="shared" si="57"/>
        <v>185.39931939651885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26.8</v>
      </c>
      <c r="AI88" s="13">
        <f>IF('Données projet'!$A$62&gt;35,AI87+AH88-AQ87,IF(A88&lt;'Données projet'!$A$62,$AF$205^A88,IF(A88='Données projet'!$A$62,'Données projet'!$B$62,AI87+AH88-AQ87)))</f>
        <v>966</v>
      </c>
      <c r="AJ88" s="13">
        <f>AI88*VLOOKUP('Données projet'!$B$10,Paramètres!$A$1:$I$89,3,0)*VLOOKUP('Données projet'!$B$10,Paramètres!$A$1:$I$89,5,0)</f>
        <v>452.08800000000002</v>
      </c>
      <c r="AK88" s="13">
        <f t="shared" si="89"/>
        <v>102.26030637372435</v>
      </c>
      <c r="AL88" s="20">
        <f t="shared" si="58"/>
        <v>965.48996693423669</v>
      </c>
      <c r="AM88" s="59">
        <f t="shared" si="59"/>
        <v>1258.8233002675699</v>
      </c>
      <c r="AN88" s="59">
        <f ca="1">AVERAGE(OFFSET($AM$3,0,0,'Données projet'!$E$10+1,1))-AVERAGE(OFFSET($H$3,0,0,'Données projet'!$E$10+1,1))</f>
        <v>402.38496642820587</v>
      </c>
      <c r="AO88" s="59">
        <f t="shared" si="90"/>
        <v>196.65158751478987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29.838806059682835</v>
      </c>
      <c r="AV88" s="21">
        <f>EXP(-LN(2)/25)*AV87+(1-EXP(-LN(2)/25))/(LN(2)/25)*Calculateur!AQ88*Calculateur!AS88*VLOOKUP('Données projet'!$B$10,Paramètres!$A$1:$I$89,3,0)*0.475*44/12</f>
        <v>55.519180943734533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85.357987003417364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257.96727373333601</v>
      </c>
      <c r="BJ88" s="59">
        <f t="shared" si="92"/>
        <v>194.52809733694494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150.38724298110338</v>
      </c>
      <c r="BQ88" s="21">
        <f>EXP(-LN(2)/25)*BQ87+(1-EXP(-LN(2)/25))/(LN(2)/25)*Calculateur!BL88*Calculateur!BN88*VLOOKUP('Données projet'!$B$11,Paramètres!$A$1:$I$89,3,0)*0.475*44/12</f>
        <v>64.866031593754883</v>
      </c>
      <c r="BR88" s="21">
        <f>EXP(-LN(2)/2)*BR87+(1-EXP(-LN(2)/2))/(LN(2)/2)*BL88*BO88*VLOOKUP('Données projet'!$B$11,Paramètres!$A$1:$I$89,3,0)*0.475*44/12</f>
        <v>13.70337622476498</v>
      </c>
      <c r="BS88" s="22">
        <f t="shared" si="63"/>
        <v>228.95665079962325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355.23615781077405</v>
      </c>
      <c r="T89" s="59">
        <f t="shared" si="88"/>
        <v>448.84541017639367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152.03353167414465</v>
      </c>
      <c r="AA89" s="21">
        <f>EXP(-LN(2)/25)*AA88+(1-EXP(-LN(2)/25))/(LN(2)/25)*Calculateur!V89*Calculateur!X89*VLOOKUP('Données projet'!$B$9,Paramètres!$A$1:$I$89,3,0)*0.475*44/12</f>
        <v>29.488385284602241</v>
      </c>
      <c r="AB89" s="21">
        <f>EXP(-LN(2)/2)*AB88+(1-EXP(-LN(2)/2))/(LN(2)/2)*V89*Y89*VLOOKUP('Données projet'!$B$9,Paramètres!$A$1:$I$89,3,0)*0.475*44/12</f>
        <v>5.2720227269454044E-3</v>
      </c>
      <c r="AC89" s="22">
        <f t="shared" si="57"/>
        <v>181.52718898147384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26.8</v>
      </c>
      <c r="AI89" s="13">
        <f>IF('Données projet'!$A$62&gt;35,AI88+AH89-AQ88,IF(A89&lt;'Données projet'!$A$62,$AF$205^A89,IF(A89='Données projet'!$A$62,'Données projet'!$B$62,AI88+AH89-AQ88)))</f>
        <v>992.8</v>
      </c>
      <c r="AJ89" s="13">
        <f>AI89*VLOOKUP('Données projet'!$B$10,Paramètres!$A$1:$I$89,3,0)*VLOOKUP('Données projet'!$B$10,Paramètres!$A$1:$I$89,5,0)</f>
        <v>464.63039999999995</v>
      </c>
      <c r="AK89" s="13">
        <f t="shared" si="89"/>
        <v>104.76310441900839</v>
      </c>
      <c r="AL89" s="20">
        <f t="shared" si="58"/>
        <v>991.69368686310611</v>
      </c>
      <c r="AM89" s="59">
        <f t="shared" si="59"/>
        <v>1285.0270201964395</v>
      </c>
      <c r="AN89" s="59">
        <f ca="1">AVERAGE(OFFSET($AM$3,0,0,'Données projet'!$E$10+1,1))-AVERAGE(OFFSET($H$3,0,0,'Données projet'!$E$10+1,1))</f>
        <v>402.38496642820587</v>
      </c>
      <c r="AO89" s="59">
        <f t="shared" si="90"/>
        <v>196.65158751478987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29.253685272727061</v>
      </c>
      <c r="AV89" s="21">
        <f>EXP(-LN(2)/25)*AV88+(1-EXP(-LN(2)/25))/(LN(2)/25)*Calculateur!AQ89*Calculateur!AS89*VLOOKUP('Données projet'!$B$10,Paramètres!$A$1:$I$89,3,0)*0.475*44/12</f>
        <v>54.001006021201277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83.254691293928346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257.96727373333601</v>
      </c>
      <c r="BJ89" s="59">
        <f t="shared" si="92"/>
        <v>194.52809733694494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147.43824087340485</v>
      </c>
      <c r="BQ89" s="21">
        <f>EXP(-LN(2)/25)*BQ88+(1-EXP(-LN(2)/25))/(LN(2)/25)*Calculateur!BL89*Calculateur!BN89*VLOOKUP('Données projet'!$B$11,Paramètres!$A$1:$I$89,3,0)*0.475*44/12</f>
        <v>63.092266548667311</v>
      </c>
      <c r="BR89" s="21">
        <f>EXP(-LN(2)/2)*BR88+(1-EXP(-LN(2)/2))/(LN(2)/2)*BL89*BO89*VLOOKUP('Données projet'!$B$11,Paramètres!$A$1:$I$89,3,0)*0.475*44/12</f>
        <v>9.6897502536818294</v>
      </c>
      <c r="BS89" s="22">
        <f t="shared" si="63"/>
        <v>220.220257675754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355.23615781077405</v>
      </c>
      <c r="T90" s="59">
        <f t="shared" si="88"/>
        <v>448.84541017639367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149.05224684931255</v>
      </c>
      <c r="AA90" s="21">
        <f>EXP(-LN(2)/25)*AA89+(1-EXP(-LN(2)/25))/(LN(2)/25)*Calculateur!V90*Calculateur!X90*VLOOKUP('Données projet'!$B$9,Paramètres!$A$1:$I$89,3,0)*0.475*44/12</f>
        <v>28.682023838268009</v>
      </c>
      <c r="AB90" s="21">
        <f>EXP(-LN(2)/2)*AB89+(1-EXP(-LN(2)/2))/(LN(2)/2)*V90*Y90*VLOOKUP('Données projet'!$B$9,Paramètres!$A$1:$I$89,3,0)*0.475*44/12</f>
        <v>3.72788302079269E-3</v>
      </c>
      <c r="AC90" s="22">
        <f t="shared" si="57"/>
        <v>177.73799857060135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26.8</v>
      </c>
      <c r="AI90" s="13">
        <f>IF('Données projet'!$A$62&gt;35,AI89+AH90-AQ89,IF(A90&lt;'Données projet'!$A$62,$AF$205^A90,IF(A90='Données projet'!$A$62,'Données projet'!$B$62,AI89+AH90-AQ89)))</f>
        <v>1019.5999999999999</v>
      </c>
      <c r="AJ90" s="13">
        <f>AI90*VLOOKUP('Données projet'!$B$10,Paramètres!$A$1:$I$89,3,0)*VLOOKUP('Données projet'!$B$10,Paramètres!$A$1:$I$89,5,0)</f>
        <v>477.17279999999994</v>
      </c>
      <c r="AK90" s="13">
        <f t="shared" si="89"/>
        <v>107.25804964824668</v>
      </c>
      <c r="AL90" s="20">
        <f t="shared" si="58"/>
        <v>1017.8837298040295</v>
      </c>
      <c r="AM90" s="59">
        <f t="shared" si="59"/>
        <v>1311.2170631373629</v>
      </c>
      <c r="AN90" s="59">
        <f ca="1">AVERAGE(OFFSET($AM$3,0,0,'Données projet'!$E$10+1,1))-AVERAGE(OFFSET($H$3,0,0,'Données projet'!$E$10+1,1))</f>
        <v>402.38496642820587</v>
      </c>
      <c r="AO90" s="59">
        <f t="shared" si="90"/>
        <v>196.65158751478987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28.680038347515051</v>
      </c>
      <c r="AV90" s="21">
        <f>EXP(-LN(2)/25)*AV89+(1-EXP(-LN(2)/25))/(LN(2)/25)*Calculateur!AQ90*Calculateur!AS90*VLOOKUP('Données projet'!$B$10,Paramètres!$A$1:$I$89,3,0)*0.475*44/12</f>
        <v>52.524345671762042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81.204384019277086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257.96727373333601</v>
      </c>
      <c r="BJ90" s="59">
        <f t="shared" si="92"/>
        <v>194.52809733694494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144.54706689832463</v>
      </c>
      <c r="BQ90" s="21">
        <f>EXP(-LN(2)/25)*BQ89+(1-EXP(-LN(2)/25))/(LN(2)/25)*Calculateur!BL90*Calculateur!BN90*VLOOKUP('Données projet'!$B$11,Paramètres!$A$1:$I$89,3,0)*0.475*44/12</f>
        <v>61.367005202015903</v>
      </c>
      <c r="BR90" s="21">
        <f>EXP(-LN(2)/2)*BR89+(1-EXP(-LN(2)/2))/(LN(2)/2)*BL90*BO90*VLOOKUP('Données projet'!$B$11,Paramètres!$A$1:$I$89,3,0)*0.475*44/12</f>
        <v>6.8516881123824911</v>
      </c>
      <c r="BS90" s="22">
        <f t="shared" si="63"/>
        <v>212.76576021272305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355.23615781077405</v>
      </c>
      <c r="T91" s="59">
        <f t="shared" si="88"/>
        <v>448.84541017639367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146.12942320149122</v>
      </c>
      <c r="AA91" s="21">
        <f>EXP(-LN(2)/25)*AA90+(1-EXP(-LN(2)/25))/(LN(2)/25)*Calculateur!V91*Calculateur!X91*VLOOKUP('Données projet'!$B$9,Paramètres!$A$1:$I$89,3,0)*0.475*44/12</f>
        <v>27.89771238808849</v>
      </c>
      <c r="AB91" s="21">
        <f>EXP(-LN(2)/2)*AB90+(1-EXP(-LN(2)/2))/(LN(2)/2)*V91*Y91*VLOOKUP('Données projet'!$B$9,Paramètres!$A$1:$I$89,3,0)*0.475*44/12</f>
        <v>2.6360113634727026E-3</v>
      </c>
      <c r="AC91" s="22">
        <f t="shared" si="57"/>
        <v>174.02977160094318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26.8</v>
      </c>
      <c r="AI91" s="13">
        <f>IF('Données projet'!$A$62&gt;35,AI90+AH91-AQ90,IF(A91&lt;'Données projet'!$A$62,$AF$205^A91,IF(A91='Données projet'!$A$62,'Données projet'!$B$62,AI90+AH91-AQ90)))</f>
        <v>1046.3999999999999</v>
      </c>
      <c r="AJ91" s="13">
        <f>AI91*VLOOKUP('Données projet'!$B$10,Paramètres!$A$1:$I$89,3,0)*VLOOKUP('Données projet'!$B$10,Paramètres!$A$1:$I$89,5,0)</f>
        <v>489.71519999999992</v>
      </c>
      <c r="AK91" s="13">
        <f t="shared" si="89"/>
        <v>109.74537219886824</v>
      </c>
      <c r="AL91" s="20">
        <f t="shared" si="58"/>
        <v>1044.0604965796954</v>
      </c>
      <c r="AM91" s="59">
        <f t="shared" si="59"/>
        <v>1337.3938299130286</v>
      </c>
      <c r="AN91" s="59">
        <f ca="1">AVERAGE(OFFSET($AM$3,0,0,'Données projet'!$E$10+1,1))-AVERAGE(OFFSET($H$3,0,0,'Données projet'!$E$10+1,1))</f>
        <v>402.38496642820587</v>
      </c>
      <c r="AO91" s="59">
        <f t="shared" si="90"/>
        <v>196.65158751478987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28.117640288616371</v>
      </c>
      <c r="AV91" s="21">
        <f>EXP(-LN(2)/25)*AV90+(1-EXP(-LN(2)/25))/(LN(2)/25)*Calculateur!AQ91*Calculateur!AS91*VLOOKUP('Données projet'!$B$10,Paramètres!$A$1:$I$89,3,0)*0.475*44/12</f>
        <v>51.088064677232417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79.205704965848781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257.96727373333601</v>
      </c>
      <c r="BJ91" s="59">
        <f t="shared" si="92"/>
        <v>194.52809733694494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141.71258708145373</v>
      </c>
      <c r="BQ91" s="21">
        <f>EXP(-LN(2)/25)*BQ90+(1-EXP(-LN(2)/25))/(LN(2)/25)*Calculateur!BL91*Calculateur!BN91*VLOOKUP('Données projet'!$B$11,Paramètres!$A$1:$I$89,3,0)*0.475*44/12</f>
        <v>59.688921217616233</v>
      </c>
      <c r="BR91" s="21">
        <f>EXP(-LN(2)/2)*BR90+(1-EXP(-LN(2)/2))/(LN(2)/2)*BL91*BO91*VLOOKUP('Données projet'!$B$11,Paramètres!$A$1:$I$89,3,0)*0.475*44/12</f>
        <v>4.8448751268409156</v>
      </c>
      <c r="BS91" s="22">
        <f t="shared" si="63"/>
        <v>206.24638342591089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355.23615781077405</v>
      </c>
      <c r="T92" s="59">
        <f t="shared" si="88"/>
        <v>448.84541017639367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143.26391434265727</v>
      </c>
      <c r="AA92" s="21">
        <f>EXP(-LN(2)/25)*AA91+(1-EXP(-LN(2)/25))/(LN(2)/25)*Calculateur!V92*Calculateur!X92*VLOOKUP('Données projet'!$B$9,Paramètres!$A$1:$I$89,3,0)*0.475*44/12</f>
        <v>27.134847975759275</v>
      </c>
      <c r="AB92" s="21">
        <f>EXP(-LN(2)/2)*AB91+(1-EXP(-LN(2)/2))/(LN(2)/2)*V92*Y92*VLOOKUP('Données projet'!$B$9,Paramètres!$A$1:$I$89,3,0)*0.475*44/12</f>
        <v>1.8639415103963452E-3</v>
      </c>
      <c r="AC92" s="22">
        <f t="shared" si="57"/>
        <v>170.40062625992695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26.8</v>
      </c>
      <c r="AI92" s="13">
        <f>IF('Données projet'!$A$62&gt;35,AI91+AH92-AQ91,IF(A92&lt;'Données projet'!$A$62,$AF$205^A92,IF(A92='Données projet'!$A$62,'Données projet'!$B$62,AI91+AH92-AQ91)))</f>
        <v>1073.1999999999998</v>
      </c>
      <c r="AJ92" s="13">
        <f>AI92*VLOOKUP('Données projet'!$B$10,Paramètres!$A$1:$I$89,3,0)*VLOOKUP('Données projet'!$B$10,Paramètres!$A$1:$I$89,5,0)</f>
        <v>502.25759999999991</v>
      </c>
      <c r="AK92" s="13">
        <f t="shared" si="89"/>
        <v>112.22528974829935</v>
      </c>
      <c r="AL92" s="20">
        <f t="shared" si="58"/>
        <v>1070.2243663116212</v>
      </c>
      <c r="AM92" s="59">
        <f t="shared" si="59"/>
        <v>1363.5576996449545</v>
      </c>
      <c r="AN92" s="59">
        <f ca="1">AVERAGE(OFFSET($AM$3,0,0,'Données projet'!$E$10+1,1))-AVERAGE(OFFSET($H$3,0,0,'Données projet'!$E$10+1,1))</f>
        <v>402.38496642820587</v>
      </c>
      <c r="AO92" s="59">
        <f t="shared" si="90"/>
        <v>196.65158751478987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27.566270512623753</v>
      </c>
      <c r="AV92" s="21">
        <f>EXP(-LN(2)/25)*AV91+(1-EXP(-LN(2)/25))/(LN(2)/25)*Calculateur!AQ92*Calculateur!AS92*VLOOKUP('Données projet'!$B$10,Paramètres!$A$1:$I$89,3,0)*0.475*44/12</f>
        <v>49.691058862028939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77.257329374652699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257.96727373333601</v>
      </c>
      <c r="BJ92" s="59">
        <f t="shared" si="92"/>
        <v>194.52809733694494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138.93368968492967</v>
      </c>
      <c r="BQ92" s="21">
        <f>EXP(-LN(2)/25)*BQ91+(1-EXP(-LN(2)/25))/(LN(2)/25)*Calculateur!BL92*Calculateur!BN92*VLOOKUP('Données projet'!$B$11,Paramètres!$A$1:$I$89,3,0)*0.475*44/12</f>
        <v>58.056724528016574</v>
      </c>
      <c r="BR92" s="21">
        <f>EXP(-LN(2)/2)*BR91+(1-EXP(-LN(2)/2))/(LN(2)/2)*BL92*BO92*VLOOKUP('Données projet'!$B$11,Paramètres!$A$1:$I$89,3,0)*0.475*44/12</f>
        <v>3.4258440561912464</v>
      </c>
      <c r="BS92" s="22">
        <f t="shared" si="63"/>
        <v>200.41625826913747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355.23615781077405</v>
      </c>
      <c r="T93" s="59">
        <f t="shared" si="88"/>
        <v>448.84541017639367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140.45459636475721</v>
      </c>
      <c r="AA93" s="21">
        <f>EXP(-LN(2)/25)*AA92+(1-EXP(-LN(2)/25))/(LN(2)/25)*Calculateur!V93*Calculateur!X93*VLOOKUP('Données projet'!$B$9,Paramètres!$A$1:$I$89,3,0)*0.475*44/12</f>
        <v>26.3928441309025</v>
      </c>
      <c r="AB93" s="21">
        <f>EXP(-LN(2)/2)*AB92+(1-EXP(-LN(2)/2))/(LN(2)/2)*V93*Y93*VLOOKUP('Données projet'!$B$9,Paramètres!$A$1:$I$89,3,0)*0.475*44/12</f>
        <v>1.3180056817363515E-3</v>
      </c>
      <c r="AC93" s="22">
        <f t="shared" si="57"/>
        <v>166.84875850134142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1100</v>
      </c>
      <c r="AG93" s="12">
        <f>VLOOKUP(A93,'Données projet'!$A$61:$I$81,9,0)</f>
        <v>26.8</v>
      </c>
      <c r="AH93" s="12">
        <f t="array" ref="AH93">INDEX(AG:AG,MIN(IF(ISNUMBER(AG93:AG289),ROW(AG93:AG289),"")))</f>
        <v>26.8</v>
      </c>
      <c r="AI93" s="13">
        <f>IF('Données projet'!$A$62&gt;35,AI92+AH93-AQ92,IF(A93&lt;'Données projet'!$A$62,$AF$205^A93,IF(A93='Données projet'!$A$62,'Données projet'!$B$62,AI92+AH93-AQ92)))</f>
        <v>1099.9999999999998</v>
      </c>
      <c r="AJ93" s="13">
        <f>AI93*VLOOKUP('Données projet'!$B$10,Paramètres!$A$1:$I$89,3,0)*VLOOKUP('Données projet'!$B$10,Paramètres!$A$1:$I$89,5,0)</f>
        <v>514.79999999999984</v>
      </c>
      <c r="AK93" s="13">
        <f t="shared" si="89"/>
        <v>114.69800848263557</v>
      </c>
      <c r="AL93" s="20">
        <f t="shared" si="58"/>
        <v>1096.3756981072568</v>
      </c>
      <c r="AM93" s="59">
        <f t="shared" si="59"/>
        <v>1389.70903144059</v>
      </c>
      <c r="AN93" s="59">
        <f ca="1">AVERAGE(OFFSET($AM$3,0,0,'Données projet'!$E$10+1,1))-AVERAGE(OFFSET($H$3,0,0,'Données projet'!$E$10+1,1))</f>
        <v>402.38496642820587</v>
      </c>
      <c r="AO93" s="59">
        <f t="shared" si="90"/>
        <v>196.65158751478987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98</v>
      </c>
      <c r="AR93" s="16">
        <f>IF(ISNA(VLOOKUP(A93,'Données projet'!$A$61:$I$81,5,0)),0%,VLOOKUP(A93,'Données projet'!$A$61:$I$81,5,0)*VLOOKUP('Données projet'!$B$10,Paramètres!$A$1:$I$89,7,0))</f>
        <v>0.33</v>
      </c>
      <c r="AS93" s="16">
        <f>IF(ISNA(VLOOKUP(A93,'Données projet'!$A$61:$I$81,6,0)),0%,VLOOKUP(A93,'Données projet'!$A$61:$I$81,6,0)*VLOOKUP('Données projet'!$B$10,Paramètres!$A$1:$I$89,7,0))</f>
        <v>0.16500000000000001</v>
      </c>
      <c r="AT93" s="16">
        <f>IF(ISNA(VLOOKUP(A93,'Données projet'!$A$61:$I$81,7,0)),0%,VLOOKUP(A93,'Données projet'!$A$61:$I$81,7,0))</f>
        <v>0.1</v>
      </c>
      <c r="AU93" s="21">
        <f>EXP(-LN(2)/35)*AU92+(1-EXP(-LN(2)/35))/(LN(2)/35)*AQ93*AR93*VLOOKUP('Données projet'!$B$10,Paramètres!$A$1:$I$89,3,0)*0.475*44/12</f>
        <v>47.10342498244809</v>
      </c>
      <c r="AV93" s="21">
        <f>EXP(-LN(2)/25)*AV92+(1-EXP(-LN(2)/25))/(LN(2)/25)*Calculateur!AQ93*Calculateur!AS93*VLOOKUP('Données projet'!$B$10,Paramètres!$A$1:$I$89,3,0)*0.475*44/12</f>
        <v>58.33158355310286</v>
      </c>
      <c r="AW93" s="21">
        <f>EXP(-LN(2)/2)*AW92+(1-EXP(-LN(2)/2))/(LN(2)/2)*AQ93*AT93*VLOOKUP('Données projet'!$B$10,Paramètres!$A$1:$I$89,3,0)*0.475*44/12</f>
        <v>5.1928702093753829</v>
      </c>
      <c r="AX93" s="21">
        <f t="shared" si="60"/>
        <v>110.62787874492633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257.96727373333601</v>
      </c>
      <c r="BJ93" s="59">
        <f t="shared" si="92"/>
        <v>194.52809733694494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136.20928477139142</v>
      </c>
      <c r="BQ93" s="21">
        <f>EXP(-LN(2)/25)*BQ92+(1-EXP(-LN(2)/25))/(LN(2)/25)*Calculateur!BL93*Calculateur!BN93*VLOOKUP('Données projet'!$B$11,Paramètres!$A$1:$I$89,3,0)*0.475*44/12</f>
        <v>56.469160342727506</v>
      </c>
      <c r="BR93" s="21">
        <f>EXP(-LN(2)/2)*BR92+(1-EXP(-LN(2)/2))/(LN(2)/2)*BL93*BO93*VLOOKUP('Données projet'!$B$11,Paramètres!$A$1:$I$89,3,0)*0.475*44/12</f>
        <v>2.4224375634204582</v>
      </c>
      <c r="BS93" s="22">
        <f t="shared" si="63"/>
        <v>195.10088267753937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355.23615781077405</v>
      </c>
      <c r="T94" s="59">
        <f t="shared" si="88"/>
        <v>448.84541017639367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137.700367398889</v>
      </c>
      <c r="AA94" s="21">
        <f>EXP(-LN(2)/25)*AA93+(1-EXP(-LN(2)/25))/(LN(2)/25)*Calculateur!V94*Calculateur!X94*VLOOKUP('Données projet'!$B$9,Paramètres!$A$1:$I$89,3,0)*0.475*44/12</f>
        <v>25.671130420203621</v>
      </c>
      <c r="AB94" s="21">
        <f>EXP(-LN(2)/2)*AB93+(1-EXP(-LN(2)/2))/(LN(2)/2)*V94*Y94*VLOOKUP('Données projet'!$B$9,Paramètres!$A$1:$I$89,3,0)*0.475*44/12</f>
        <v>9.3197075519817283E-4</v>
      </c>
      <c r="AC94" s="22">
        <f t="shared" si="57"/>
        <v>163.37242978984781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28.3</v>
      </c>
      <c r="AI94" s="13">
        <f>IF('Données projet'!$A$62&gt;35,AI93+AH94-AQ93,IF(A94&lt;'Données projet'!$A$62,$AF$205^A94,IF(A94='Données projet'!$A$62,'Données projet'!$B$62,AI93+AH94-AQ93)))</f>
        <v>1030.2999999999997</v>
      </c>
      <c r="AJ94" s="13">
        <f>AI94*VLOOKUP('Données projet'!$B$10,Paramètres!$A$1:$I$89,3,0)*VLOOKUP('Données projet'!$B$10,Paramètres!$A$1:$I$89,5,0)</f>
        <v>482.18039999999991</v>
      </c>
      <c r="AK94" s="13">
        <f t="shared" si="89"/>
        <v>108.2520241642348</v>
      </c>
      <c r="AL94" s="20">
        <f t="shared" si="58"/>
        <v>1028.336472086042</v>
      </c>
      <c r="AM94" s="59">
        <f t="shared" si="59"/>
        <v>1321.6698054193753</v>
      </c>
      <c r="AN94" s="59">
        <f ca="1">AVERAGE(OFFSET($AM$3,0,0,'Données projet'!$E$10+1,1))-AVERAGE(OFFSET($H$3,0,0,'Données projet'!$E$10+1,1))</f>
        <v>402.38496642820587</v>
      </c>
      <c r="AO94" s="59">
        <f t="shared" si="90"/>
        <v>196.65158751478987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46.179755548794645</v>
      </c>
      <c r="AV94" s="21">
        <f>EXP(-LN(2)/25)*AV93+(1-EXP(-LN(2)/25))/(LN(2)/25)*Calculateur!AQ94*Calculateur!AS94*VLOOKUP('Données projet'!$B$10,Paramètres!$A$1:$I$89,3,0)*0.475*44/12</f>
        <v>56.736503333318602</v>
      </c>
      <c r="AW94" s="21">
        <f>EXP(-LN(2)/2)*AW93+(1-EXP(-LN(2)/2))/(LN(2)/2)*AQ94*AT94*VLOOKUP('Données projet'!$B$10,Paramètres!$A$1:$I$89,3,0)*0.475*44/12</f>
        <v>3.6719137388709404</v>
      </c>
      <c r="AX94" s="21">
        <f t="shared" si="60"/>
        <v>106.5881726209842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257.96727373333601</v>
      </c>
      <c r="BJ94" s="59">
        <f t="shared" si="92"/>
        <v>194.52809733694494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133.53830377648472</v>
      </c>
      <c r="BQ94" s="21">
        <f>EXP(-LN(2)/25)*BQ93+(1-EXP(-LN(2)/25))/(LN(2)/25)*Calculateur!BL94*Calculateur!BN94*VLOOKUP('Données projet'!$B$11,Paramètres!$A$1:$I$89,3,0)*0.475*44/12</f>
        <v>54.925008183571542</v>
      </c>
      <c r="BR94" s="21">
        <f>EXP(-LN(2)/2)*BR93+(1-EXP(-LN(2)/2))/(LN(2)/2)*BL94*BO94*VLOOKUP('Données projet'!$B$11,Paramètres!$A$1:$I$89,3,0)*0.475*44/12</f>
        <v>1.7129220280956234</v>
      </c>
      <c r="BS94" s="22">
        <f t="shared" si="63"/>
        <v>190.17623398815189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355.23615781077405</v>
      </c>
      <c r="T95" s="59">
        <f t="shared" si="88"/>
        <v>448.84541017639367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135.00014718312769</v>
      </c>
      <c r="AA95" s="21">
        <f>EXP(-LN(2)/25)*AA94+(1-EXP(-LN(2)/25))/(LN(2)/25)*Calculateur!V95*Calculateur!X95*VLOOKUP('Données projet'!$B$9,Paramètres!$A$1:$I$89,3,0)*0.475*44/12</f>
        <v>24.969152008877078</v>
      </c>
      <c r="AB95" s="21">
        <f>EXP(-LN(2)/2)*AB94+(1-EXP(-LN(2)/2))/(LN(2)/2)*V95*Y95*VLOOKUP('Données projet'!$B$9,Paramètres!$A$1:$I$89,3,0)*0.475*44/12</f>
        <v>6.5900284086817587E-4</v>
      </c>
      <c r="AC95" s="22">
        <f t="shared" si="57"/>
        <v>159.96995819484565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28.3</v>
      </c>
      <c r="AI95" s="13">
        <f>IF('Données projet'!$A$62&gt;35,AI94+AH95-AQ94,IF(A95&lt;'Données projet'!$A$62,$AF$205^A95,IF(A95='Données projet'!$A$62,'Données projet'!$B$62,AI94+AH95-AQ94)))</f>
        <v>1058.5999999999997</v>
      </c>
      <c r="AJ95" s="13">
        <f>AI95*VLOOKUP('Données projet'!$B$10,Paramètres!$A$1:$I$89,3,0)*VLOOKUP('Données projet'!$B$10,Paramètres!$A$1:$I$89,5,0)</f>
        <v>495.42479999999989</v>
      </c>
      <c r="AK95" s="13">
        <f t="shared" si="89"/>
        <v>110.87519543303966</v>
      </c>
      <c r="AL95" s="20">
        <f t="shared" si="58"/>
        <v>1055.9724920458773</v>
      </c>
      <c r="AM95" s="59">
        <f t="shared" si="59"/>
        <v>1349.3058253792105</v>
      </c>
      <c r="AN95" s="59">
        <f ca="1">AVERAGE(OFFSET($AM$3,0,0,'Données projet'!$E$10+1,1))-AVERAGE(OFFSET($H$3,0,0,'Données projet'!$E$10+1,1))</f>
        <v>402.38496642820587</v>
      </c>
      <c r="AO95" s="59">
        <f t="shared" si="90"/>
        <v>196.65158751478987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45.274198709352419</v>
      </c>
      <c r="AV95" s="21">
        <f>EXP(-LN(2)/25)*AV94+(1-EXP(-LN(2)/25))/(LN(2)/25)*Calculateur!AQ95*Calculateur!AS95*VLOOKUP('Données projet'!$B$10,Paramètres!$A$1:$I$89,3,0)*0.475*44/12</f>
        <v>55.185040666025969</v>
      </c>
      <c r="AW95" s="21">
        <f>EXP(-LN(2)/2)*AW94+(1-EXP(-LN(2)/2))/(LN(2)/2)*AQ95*AT95*VLOOKUP('Données projet'!$B$10,Paramètres!$A$1:$I$89,3,0)*0.475*44/12</f>
        <v>2.5964351046876919</v>
      </c>
      <c r="AX95" s="21">
        <f t="shared" si="60"/>
        <v>103.05567448006607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257.96727373333601</v>
      </c>
      <c r="BJ95" s="59">
        <f t="shared" si="92"/>
        <v>194.52809733694494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130.91969908975062</v>
      </c>
      <c r="BQ95" s="21">
        <f>EXP(-LN(2)/25)*BQ94+(1-EXP(-LN(2)/25))/(LN(2)/25)*Calculateur!BL95*Calculateur!BN95*VLOOKUP('Données projet'!$B$11,Paramètres!$A$1:$I$89,3,0)*0.475*44/12</f>
        <v>53.423080946411133</v>
      </c>
      <c r="BR95" s="21">
        <f>EXP(-LN(2)/2)*BR94+(1-EXP(-LN(2)/2))/(LN(2)/2)*BL95*BO95*VLOOKUP('Données projet'!$B$11,Paramètres!$A$1:$I$89,3,0)*0.475*44/12</f>
        <v>1.2112187817102293</v>
      </c>
      <c r="BS95" s="22">
        <f t="shared" si="63"/>
        <v>185.55399881787196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355.23615781077405</v>
      </c>
      <c r="T96" s="59">
        <f t="shared" si="88"/>
        <v>448.84541017639367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132.35287663882576</v>
      </c>
      <c r="AA96" s="21">
        <f>EXP(-LN(2)/25)*AA95+(1-EXP(-LN(2)/25))/(LN(2)/25)*Calculateur!V96*Calculateur!X96*VLOOKUP('Données projet'!$B$9,Paramètres!$A$1:$I$89,3,0)*0.475*44/12</f>
        <v>24.286369234123697</v>
      </c>
      <c r="AB96" s="21">
        <f>EXP(-LN(2)/2)*AB95+(1-EXP(-LN(2)/2))/(LN(2)/2)*V96*Y96*VLOOKUP('Données projet'!$B$9,Paramètres!$A$1:$I$89,3,0)*0.475*44/12</f>
        <v>4.6598537759908647E-4</v>
      </c>
      <c r="AC96" s="22">
        <f t="shared" si="57"/>
        <v>156.63971185832705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28.3</v>
      </c>
      <c r="AI96" s="13">
        <f>IF('Données projet'!$A$62&gt;35,AI95+AH96-AQ95,IF(A96&lt;'Données projet'!$A$62,$AF$205^A96,IF(A96='Données projet'!$A$62,'Données projet'!$B$62,AI95+AH96-AQ95)))</f>
        <v>1086.8999999999996</v>
      </c>
      <c r="AJ96" s="13">
        <f>AI96*VLOOKUP('Données projet'!$B$10,Paramètres!$A$1:$I$89,3,0)*VLOOKUP('Données projet'!$B$10,Paramètres!$A$1:$I$89,5,0)</f>
        <v>508.66919999999988</v>
      </c>
      <c r="AK96" s="13">
        <f t="shared" si="89"/>
        <v>113.49021565658826</v>
      </c>
      <c r="AL96" s="20">
        <f t="shared" si="58"/>
        <v>1083.5943156018911</v>
      </c>
      <c r="AM96" s="59">
        <f t="shared" si="59"/>
        <v>1376.9276489352244</v>
      </c>
      <c r="AN96" s="59">
        <f ca="1">AVERAGE(OFFSET($AM$3,0,0,'Données projet'!$E$10+1,1))-AVERAGE(OFFSET($H$3,0,0,'Données projet'!$E$10+1,1))</f>
        <v>402.38496642820587</v>
      </c>
      <c r="AO96" s="59">
        <f t="shared" si="90"/>
        <v>196.65158751478987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44.386399287196525</v>
      </c>
      <c r="AV96" s="21">
        <f>EXP(-LN(2)/25)*AV95+(1-EXP(-LN(2)/25))/(LN(2)/25)*Calculateur!AQ96*Calculateur!AS96*VLOOKUP('Données projet'!$B$10,Paramètres!$A$1:$I$89,3,0)*0.475*44/12</f>
        <v>53.676002826958324</v>
      </c>
      <c r="AW96" s="21">
        <f>EXP(-LN(2)/2)*AW95+(1-EXP(-LN(2)/2))/(LN(2)/2)*AQ96*AT96*VLOOKUP('Données projet'!$B$10,Paramètres!$A$1:$I$89,3,0)*0.475*44/12</f>
        <v>1.8359568694354704</v>
      </c>
      <c r="AX96" s="21">
        <f t="shared" si="60"/>
        <v>99.898358983590313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257.96727373333601</v>
      </c>
      <c r="BJ96" s="59">
        <f t="shared" si="92"/>
        <v>194.52809733694494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128.35244364373222</v>
      </c>
      <c r="BQ96" s="21">
        <f>EXP(-LN(2)/25)*BQ95+(1-EXP(-LN(2)/25))/(LN(2)/25)*Calculateur!BL96*Calculateur!BN96*VLOOKUP('Données projet'!$B$11,Paramètres!$A$1:$I$89,3,0)*0.475*44/12</f>
        <v>51.962223988533793</v>
      </c>
      <c r="BR96" s="21">
        <f>EXP(-LN(2)/2)*BR95+(1-EXP(-LN(2)/2))/(LN(2)/2)*BL96*BO96*VLOOKUP('Données projet'!$B$11,Paramètres!$A$1:$I$89,3,0)*0.475*44/12</f>
        <v>0.85646101404781183</v>
      </c>
      <c r="BS96" s="22">
        <f t="shared" si="63"/>
        <v>181.17112864631383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355.23615781077405</v>
      </c>
      <c r="T97" s="59">
        <f t="shared" si="88"/>
        <v>448.84541017639367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129.75751745522197</v>
      </c>
      <c r="AA97" s="21">
        <f>EXP(-LN(2)/25)*AA96+(1-EXP(-LN(2)/25))/(LN(2)/25)*Calculateur!V97*Calculateur!X97*VLOOKUP('Données projet'!$B$9,Paramètres!$A$1:$I$89,3,0)*0.475*44/12</f>
        <v>23.622257190251933</v>
      </c>
      <c r="AB97" s="21">
        <f>EXP(-LN(2)/2)*AB96+(1-EXP(-LN(2)/2))/(LN(2)/2)*V97*Y97*VLOOKUP('Données projet'!$B$9,Paramètres!$A$1:$I$89,3,0)*0.475*44/12</f>
        <v>3.2950142043408799E-4</v>
      </c>
      <c r="AC97" s="22">
        <f t="shared" si="57"/>
        <v>153.38010414689433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28.3</v>
      </c>
      <c r="AI97" s="13">
        <f>IF('Données projet'!$A$62&gt;35,AI96+AH97-AQ96,IF(A97&lt;'Données projet'!$A$62,$AF$205^A97,IF(A97='Données projet'!$A$62,'Données projet'!$B$62,AI96+AH97-AQ96)))</f>
        <v>1115.1999999999996</v>
      </c>
      <c r="AJ97" s="13">
        <f>AI97*VLOOKUP('Données projet'!$B$10,Paramètres!$A$1:$I$89,3,0)*VLOOKUP('Données projet'!$B$10,Paramètres!$A$1:$I$89,5,0)</f>
        <v>521.91359999999975</v>
      </c>
      <c r="AK97" s="13">
        <f t="shared" si="89"/>
        <v>116.09732146572806</v>
      </c>
      <c r="AL97" s="20">
        <f t="shared" si="58"/>
        <v>1111.2023548861428</v>
      </c>
      <c r="AM97" s="59">
        <f t="shared" si="59"/>
        <v>1404.535688219476</v>
      </c>
      <c r="AN97" s="59">
        <f ca="1">AVERAGE(OFFSET($AM$3,0,0,'Données projet'!$E$10+1,1))-AVERAGE(OFFSET($H$3,0,0,'Données projet'!$E$10+1,1))</f>
        <v>402.38496642820587</v>
      </c>
      <c r="AO97" s="59">
        <f t="shared" si="90"/>
        <v>196.65158751478987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43.51600907020493</v>
      </c>
      <c r="AV97" s="21">
        <f>EXP(-LN(2)/25)*AV96+(1-EXP(-LN(2)/25))/(LN(2)/25)*Calculateur!AQ97*Calculateur!AS97*VLOOKUP('Données projet'!$B$10,Paramètres!$A$1:$I$89,3,0)*0.475*44/12</f>
        <v>52.208229706956836</v>
      </c>
      <c r="AW97" s="21">
        <f>EXP(-LN(2)/2)*AW96+(1-EXP(-LN(2)/2))/(LN(2)/2)*AQ97*AT97*VLOOKUP('Données projet'!$B$10,Paramètres!$A$1:$I$89,3,0)*0.475*44/12</f>
        <v>1.2982175523438462</v>
      </c>
      <c r="AX97" s="21">
        <f t="shared" si="60"/>
        <v>97.022456329505602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257.96727373333601</v>
      </c>
      <c r="BJ97" s="59">
        <f t="shared" si="92"/>
        <v>194.52809733694494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125.83553051113903</v>
      </c>
      <c r="BQ97" s="21">
        <f>EXP(-LN(2)/25)*BQ96+(1-EXP(-LN(2)/25))/(LN(2)/25)*Calculateur!BL97*Calculateur!BN97*VLOOKUP('Données projet'!$B$11,Paramètres!$A$1:$I$89,3,0)*0.475*44/12</f>
        <v>50.54131424099274</v>
      </c>
      <c r="BR97" s="21">
        <f>EXP(-LN(2)/2)*BR96+(1-EXP(-LN(2)/2))/(LN(2)/2)*BL97*BO97*VLOOKUP('Données projet'!$B$11,Paramètres!$A$1:$I$89,3,0)*0.475*44/12</f>
        <v>0.60560939085511478</v>
      </c>
      <c r="BS97" s="22">
        <f t="shared" si="63"/>
        <v>176.98245414298688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355.23615781077405</v>
      </c>
      <c r="T98" s="59">
        <f t="shared" si="88"/>
        <v>448.84541017639367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127.21305168219587</v>
      </c>
      <c r="AA98" s="21">
        <f>EXP(-LN(2)/25)*AA97+(1-EXP(-LN(2)/25))/(LN(2)/25)*Calculateur!V98*Calculateur!X98*VLOOKUP('Données projet'!$B$9,Paramètres!$A$1:$I$89,3,0)*0.475*44/12</f>
        <v>22.976305325143976</v>
      </c>
      <c r="AB98" s="21">
        <f>EXP(-LN(2)/2)*AB97+(1-EXP(-LN(2)/2))/(LN(2)/2)*V98*Y98*VLOOKUP('Données projet'!$B$9,Paramètres!$A$1:$I$89,3,0)*0.475*44/12</f>
        <v>2.3299268879954326E-4</v>
      </c>
      <c r="AC98" s="22">
        <f t="shared" si="57"/>
        <v>150.18959000002866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28.3</v>
      </c>
      <c r="AI98" s="13">
        <f>IF('Données projet'!$A$62&gt;35,AI97+AH98-AQ97,IF(A98&lt;'Données projet'!$A$62,$AF$205^A98,IF(A98='Données projet'!$A$62,'Données projet'!$B$62,AI97+AH98-AQ97)))</f>
        <v>1143.4999999999995</v>
      </c>
      <c r="AJ98" s="13">
        <f>AI98*VLOOKUP('Données projet'!$B$10,Paramètres!$A$1:$I$89,3,0)*VLOOKUP('Données projet'!$B$10,Paramètres!$A$1:$I$89,5,0)</f>
        <v>535.15799999999979</v>
      </c>
      <c r="AK98" s="13">
        <f t="shared" si="89"/>
        <v>118.69673679720047</v>
      </c>
      <c r="AL98" s="20">
        <f t="shared" si="58"/>
        <v>1138.7969999217905</v>
      </c>
      <c r="AM98" s="59">
        <f t="shared" si="59"/>
        <v>1432.1303332551238</v>
      </c>
      <c r="AN98" s="59">
        <f ca="1">AVERAGE(OFFSET($AM$3,0,0,'Données projet'!$E$10+1,1))-AVERAGE(OFFSET($H$3,0,0,'Données projet'!$E$10+1,1))</f>
        <v>402.38496642820587</v>
      </c>
      <c r="AO98" s="59">
        <f t="shared" si="90"/>
        <v>196.65158751478987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42.662686674482927</v>
      </c>
      <c r="AV98" s="21">
        <f>EXP(-LN(2)/25)*AV97+(1-EXP(-LN(2)/25))/(LN(2)/25)*Calculateur!AQ98*Calculateur!AS98*VLOOKUP('Données projet'!$B$10,Paramètres!$A$1:$I$89,3,0)*0.475*44/12</f>
        <v>50.780592920108624</v>
      </c>
      <c r="AW98" s="21">
        <f>EXP(-LN(2)/2)*AW97+(1-EXP(-LN(2)/2))/(LN(2)/2)*AQ98*AT98*VLOOKUP('Données projet'!$B$10,Paramètres!$A$1:$I$89,3,0)*0.475*44/12</f>
        <v>0.91797843471773544</v>
      </c>
      <c r="AX98" s="21">
        <f t="shared" si="60"/>
        <v>94.361258029309298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257.96727373333601</v>
      </c>
      <c r="BJ98" s="59">
        <f t="shared" si="92"/>
        <v>194.52809733694494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123.36797250991056</v>
      </c>
      <c r="BQ98" s="21">
        <f>EXP(-LN(2)/25)*BQ97+(1-EXP(-LN(2)/25))/(LN(2)/25)*Calculateur!BL98*Calculateur!BN98*VLOOKUP('Données projet'!$B$11,Paramètres!$A$1:$I$89,3,0)*0.475*44/12</f>
        <v>49.15925934522059</v>
      </c>
      <c r="BR98" s="21">
        <f>EXP(-LN(2)/2)*BR97+(1-EXP(-LN(2)/2))/(LN(2)/2)*BL98*BO98*VLOOKUP('Données projet'!$B$11,Paramètres!$A$1:$I$89,3,0)*0.475*44/12</f>
        <v>0.42823050702390603</v>
      </c>
      <c r="BS98" s="22">
        <f t="shared" si="63"/>
        <v>172.95546236215506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355.23615781077405</v>
      </c>
      <c r="T99" s="59">
        <f t="shared" si="88"/>
        <v>448.84541017639367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124.71848133100794</v>
      </c>
      <c r="AA99" s="21">
        <f>EXP(-LN(2)/25)*AA98+(1-EXP(-LN(2)/25))/(LN(2)/25)*Calculateur!V99*Calculateur!X99*VLOOKUP('Données projet'!$B$9,Paramètres!$A$1:$I$89,3,0)*0.475*44/12</f>
        <v>22.348017047756528</v>
      </c>
      <c r="AB99" s="21">
        <f>EXP(-LN(2)/2)*AB98+(1-EXP(-LN(2)/2))/(LN(2)/2)*V99*Y99*VLOOKUP('Données projet'!$B$9,Paramètres!$A$1:$I$89,3,0)*0.475*44/12</f>
        <v>1.6475071021704402E-4</v>
      </c>
      <c r="AC99" s="22">
        <f t="shared" si="57"/>
        <v>147.06666312947468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28.3</v>
      </c>
      <c r="AI99" s="13">
        <f>IF('Données projet'!$A$62&gt;35,AI98+AH99-AQ98,IF(A99&lt;'Données projet'!$A$62,$AF$205^A99,IF(A99='Données projet'!$A$62,'Données projet'!$B$62,AI98+AH99-AQ98)))</f>
        <v>1171.7999999999995</v>
      </c>
      <c r="AJ99" s="13">
        <f>AI99*VLOOKUP('Données projet'!$B$10,Paramètres!$A$1:$I$89,3,0)*VLOOKUP('Données projet'!$B$10,Paramètres!$A$1:$I$89,5,0)</f>
        <v>548.40239999999972</v>
      </c>
      <c r="AK99" s="13">
        <f t="shared" si="89"/>
        <v>121.2886738716857</v>
      </c>
      <c r="AL99" s="20">
        <f t="shared" si="58"/>
        <v>1166.3786203265188</v>
      </c>
      <c r="AM99" s="59">
        <f t="shared" si="59"/>
        <v>1459.711953659852</v>
      </c>
      <c r="AN99" s="59">
        <f ca="1">AVERAGE(OFFSET($AM$3,0,0,'Données projet'!$E$10+1,1))-AVERAGE(OFFSET($H$3,0,0,'Données projet'!$E$10+1,1))</f>
        <v>402.38496642820587</v>
      </c>
      <c r="AO99" s="59">
        <f t="shared" si="90"/>
        <v>196.65158751478987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41.826097410465763</v>
      </c>
      <c r="AV99" s="21">
        <f>EXP(-LN(2)/25)*AV98+(1-EXP(-LN(2)/25))/(LN(2)/25)*Calculateur!AQ99*Calculateur!AS99*VLOOKUP('Données projet'!$B$10,Paramètres!$A$1:$I$89,3,0)*0.475*44/12</f>
        <v>49.39199493627293</v>
      </c>
      <c r="AW99" s="21">
        <f>EXP(-LN(2)/2)*AW98+(1-EXP(-LN(2)/2))/(LN(2)/2)*AQ99*AT99*VLOOKUP('Données projet'!$B$10,Paramètres!$A$1:$I$89,3,0)*0.475*44/12</f>
        <v>0.6491087761719232</v>
      </c>
      <c r="AX99" s="21">
        <f t="shared" si="60"/>
        <v>91.867201122910629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257.96727373333601</v>
      </c>
      <c r="BJ99" s="59">
        <f t="shared" si="92"/>
        <v>194.52809733694494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120.94880181602441</v>
      </c>
      <c r="BQ99" s="21">
        <f>EXP(-LN(2)/25)*BQ98+(1-EXP(-LN(2)/25))/(LN(2)/25)*Calculateur!BL99*Calculateur!BN99*VLOOKUP('Données projet'!$B$11,Paramètres!$A$1:$I$89,3,0)*0.475*44/12</f>
        <v>47.814996813252442</v>
      </c>
      <c r="BR99" s="21">
        <f>EXP(-LN(2)/2)*BR98+(1-EXP(-LN(2)/2))/(LN(2)/2)*BL99*BO99*VLOOKUP('Données projet'!$B$11,Paramètres!$A$1:$I$89,3,0)*0.475*44/12</f>
        <v>0.30280469542755745</v>
      </c>
      <c r="BS99" s="22">
        <f t="shared" si="63"/>
        <v>169.06660332470443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355.23615781077405</v>
      </c>
      <c r="T100" s="59">
        <f t="shared" si="88"/>
        <v>448.84541017639367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122.27282798286912</v>
      </c>
      <c r="AA100" s="21">
        <f>EXP(-LN(2)/25)*AA99+(1-EXP(-LN(2)/25))/(LN(2)/25)*Calculateur!V100*Calculateur!X100*VLOOKUP('Données projet'!$B$9,Paramètres!$A$1:$I$89,3,0)*0.475*44/12</f>
        <v>21.736909346354487</v>
      </c>
      <c r="AB100" s="21">
        <f>EXP(-LN(2)/2)*AB99+(1-EXP(-LN(2)/2))/(LN(2)/2)*V100*Y100*VLOOKUP('Données projet'!$B$9,Paramètres!$A$1:$I$89,3,0)*0.475*44/12</f>
        <v>1.1649634439977166E-4</v>
      </c>
      <c r="AC100" s="22">
        <f t="shared" si="57"/>
        <v>144.009853825568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28.3</v>
      </c>
      <c r="AI100" s="13">
        <f>IF('Données projet'!$A$62&gt;35,AI99+AH100-AQ99,IF(A100&lt;'Données projet'!$A$62,$AF$205^A100,IF(A100='Données projet'!$A$62,'Données projet'!$B$62,AI99+AH100-AQ99)))</f>
        <v>1200.0999999999995</v>
      </c>
      <c r="AJ100" s="13">
        <f>AI100*VLOOKUP('Données projet'!$B$10,Paramètres!$A$1:$I$89,3,0)*VLOOKUP('Données projet'!$B$10,Paramètres!$A$1:$I$89,5,0)</f>
        <v>561.64679999999976</v>
      </c>
      <c r="AK100" s="13">
        <f t="shared" si="89"/>
        <v>123.87333407470531</v>
      </c>
      <c r="AL100" s="20">
        <f t="shared" si="58"/>
        <v>1193.9475668467778</v>
      </c>
      <c r="AM100" s="59">
        <f t="shared" si="59"/>
        <v>1487.2809001801111</v>
      </c>
      <c r="AN100" s="59">
        <f ca="1">AVERAGE(OFFSET($AM$3,0,0,'Données projet'!$E$10+1,1))-AVERAGE(OFFSET($H$3,0,0,'Données projet'!$E$10+1,1))</f>
        <v>402.38496642820587</v>
      </c>
      <c r="AO100" s="59">
        <f t="shared" si="90"/>
        <v>196.65158751478987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41.005913151646908</v>
      </c>
      <c r="AV100" s="21">
        <f>EXP(-LN(2)/25)*AV99+(1-EXP(-LN(2)/25))/(LN(2)/25)*Calculateur!AQ100*Calculateur!AS100*VLOOKUP('Données projet'!$B$10,Paramètres!$A$1:$I$89,3,0)*0.475*44/12</f>
        <v>48.04136823732842</v>
      </c>
      <c r="AW100" s="21">
        <f>EXP(-LN(2)/2)*AW99+(1-EXP(-LN(2)/2))/(LN(2)/2)*AQ100*AT100*VLOOKUP('Données projet'!$B$10,Paramètres!$A$1:$I$89,3,0)*0.475*44/12</f>
        <v>0.45898921735886777</v>
      </c>
      <c r="AX100" s="21">
        <f t="shared" si="60"/>
        <v>89.506270606334198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257.96727373333601</v>
      </c>
      <c r="BJ100" s="59">
        <f t="shared" si="92"/>
        <v>194.52809733694494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118.57706958389696</v>
      </c>
      <c r="BQ100" s="21">
        <f>EXP(-LN(2)/25)*BQ99+(1-EXP(-LN(2)/25))/(LN(2)/25)*Calculateur!BL100*Calculateur!BN100*VLOOKUP('Données projet'!$B$11,Paramètres!$A$1:$I$89,3,0)*0.475*44/12</f>
        <v>46.507493210912656</v>
      </c>
      <c r="BR100" s="21">
        <f>EXP(-LN(2)/2)*BR99+(1-EXP(-LN(2)/2))/(LN(2)/2)*BL100*BO100*VLOOKUP('Données projet'!$B$11,Paramètres!$A$1:$I$89,3,0)*0.475*44/12</f>
        <v>0.21411525351195304</v>
      </c>
      <c r="BS100" s="22">
        <f t="shared" si="63"/>
        <v>165.29867804832156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355.23615781077405</v>
      </c>
      <c r="T101" s="59">
        <f t="shared" si="88"/>
        <v>448.84541017639367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119.87513240518605</v>
      </c>
      <c r="AA101" s="21">
        <f>EXP(-LN(2)/25)*AA100+(1-EXP(-LN(2)/25))/(LN(2)/25)*Calculateur!V101*Calculateur!X101*VLOOKUP('Données projet'!$B$9,Paramètres!$A$1:$I$89,3,0)*0.475*44/12</f>
        <v>21.14251241718404</v>
      </c>
      <c r="AB101" s="21">
        <f>EXP(-LN(2)/2)*AB100+(1-EXP(-LN(2)/2))/(LN(2)/2)*V101*Y101*VLOOKUP('Données projet'!$B$9,Paramètres!$A$1:$I$89,3,0)*0.475*44/12</f>
        <v>8.2375355108522025E-5</v>
      </c>
      <c r="AC101" s="22">
        <f t="shared" si="57"/>
        <v>141.01772719772521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28.3</v>
      </c>
      <c r="AI101" s="13">
        <f>IF('Données projet'!$A$62&gt;35,AI100+AH101-AQ100,IF(A101&lt;'Données projet'!$A$62,$AF$205^A101,IF(A101='Données projet'!$A$62,'Données projet'!$B$62,AI100+AH101-AQ100)))</f>
        <v>1228.3999999999994</v>
      </c>
      <c r="AJ101" s="13">
        <f>AI101*VLOOKUP('Données projet'!$B$10,Paramètres!$A$1:$I$89,3,0)*VLOOKUP('Données projet'!$B$10,Paramètres!$A$1:$I$89,5,0)</f>
        <v>574.89119999999969</v>
      </c>
      <c r="AK101" s="13">
        <f t="shared" si="89"/>
        <v>126.45090875209135</v>
      </c>
      <c r="AL101" s="20">
        <f t="shared" si="58"/>
        <v>1221.5041727432251</v>
      </c>
      <c r="AM101" s="59">
        <f t="shared" si="59"/>
        <v>1514.8375060765584</v>
      </c>
      <c r="AN101" s="59">
        <f ca="1">AVERAGE(OFFSET($AM$3,0,0,'Données projet'!$E$10+1,1))-AVERAGE(OFFSET($H$3,0,0,'Données projet'!$E$10+1,1))</f>
        <v>402.38496642820587</v>
      </c>
      <c r="AO101" s="59">
        <f t="shared" si="90"/>
        <v>196.65158751478987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40.201812205880493</v>
      </c>
      <c r="AV101" s="21">
        <f>EXP(-LN(2)/25)*AV100+(1-EXP(-LN(2)/25))/(LN(2)/25)*Calculateur!AQ101*Calculateur!AS101*VLOOKUP('Données projet'!$B$10,Paramètres!$A$1:$I$89,3,0)*0.475*44/12</f>
        <v>46.727674496492916</v>
      </c>
      <c r="AW101" s="21">
        <f>EXP(-LN(2)/2)*AW100+(1-EXP(-LN(2)/2))/(LN(2)/2)*AQ101*AT101*VLOOKUP('Données projet'!$B$10,Paramètres!$A$1:$I$89,3,0)*0.475*44/12</f>
        <v>0.32455438808596165</v>
      </c>
      <c r="AX101" s="21">
        <f t="shared" si="60"/>
        <v>87.254041090459367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257.96727373333601</v>
      </c>
      <c r="BJ101" s="59">
        <f t="shared" si="92"/>
        <v>194.52809733694494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116.2518455742277</v>
      </c>
      <c r="BQ101" s="21">
        <f>EXP(-LN(2)/25)*BQ100+(1-EXP(-LN(2)/25))/(LN(2)/25)*Calculateur!BL101*Calculateur!BN101*VLOOKUP('Données projet'!$B$11,Paramètres!$A$1:$I$89,3,0)*0.475*44/12</f>
        <v>45.235743363337477</v>
      </c>
      <c r="BR101" s="21">
        <f>EXP(-LN(2)/2)*BR100+(1-EXP(-LN(2)/2))/(LN(2)/2)*BL101*BO101*VLOOKUP('Données projet'!$B$11,Paramètres!$A$1:$I$89,3,0)*0.475*44/12</f>
        <v>0.15140234771377875</v>
      </c>
      <c r="BS101" s="22">
        <f t="shared" si="63"/>
        <v>161.63899128527896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355.23615781077405</v>
      </c>
      <c r="T102" s="59">
        <f t="shared" si="88"/>
        <v>448.84541017639367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117.52445417533146</v>
      </c>
      <c r="AA102" s="21">
        <f>EXP(-LN(2)/25)*AA101+(1-EXP(-LN(2)/25))/(LN(2)/25)*Calculateur!V102*Calculateur!X102*VLOOKUP('Données projet'!$B$9,Paramètres!$A$1:$I$89,3,0)*0.475*44/12</f>
        <v>20.564369303299735</v>
      </c>
      <c r="AB102" s="21">
        <f>EXP(-LN(2)/2)*AB101+(1-EXP(-LN(2)/2))/(LN(2)/2)*V102*Y102*VLOOKUP('Données projet'!$B$9,Paramètres!$A$1:$I$89,3,0)*0.475*44/12</f>
        <v>5.8248172199885836E-5</v>
      </c>
      <c r="AC102" s="22">
        <f t="shared" si="57"/>
        <v>138.08888172680338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28.3</v>
      </c>
      <c r="AI102" s="13">
        <f>IF('Données projet'!$A$62&gt;35,AI101+AH102-AQ101,IF(A102&lt;'Données projet'!$A$62,$AF$205^A102,IF(A102='Données projet'!$A$62,'Données projet'!$B$62,AI101+AH102-AQ101)))</f>
        <v>1256.6999999999994</v>
      </c>
      <c r="AJ102" s="13">
        <f>AI102*VLOOKUP('Données projet'!$B$10,Paramètres!$A$1:$I$89,3,0)*VLOOKUP('Données projet'!$B$10,Paramètres!$A$1:$I$89,5,0)</f>
        <v>588.13559999999973</v>
      </c>
      <c r="AK102" s="13">
        <f t="shared" si="89"/>
        <v>129.02157993008601</v>
      </c>
      <c r="AL102" s="20">
        <f t="shared" si="58"/>
        <v>1249.0487550448991</v>
      </c>
      <c r="AM102" s="59">
        <f t="shared" si="59"/>
        <v>1542.3820883782323</v>
      </c>
      <c r="AN102" s="59">
        <f ca="1">AVERAGE(OFFSET($AM$3,0,0,'Données projet'!$E$10+1,1))-AVERAGE(OFFSET($H$3,0,0,'Données projet'!$E$10+1,1))</f>
        <v>402.38496642820587</v>
      </c>
      <c r="AO102" s="59">
        <f t="shared" si="90"/>
        <v>196.65158751478987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39.413479189207408</v>
      </c>
      <c r="AV102" s="21">
        <f>EXP(-LN(2)/25)*AV101+(1-EXP(-LN(2)/25))/(LN(2)/25)*Calculateur!AQ102*Calculateur!AS102*VLOOKUP('Données projet'!$B$10,Paramètres!$A$1:$I$89,3,0)*0.475*44/12</f>
        <v>45.449903780084711</v>
      </c>
      <c r="AW102" s="21">
        <f>EXP(-LN(2)/2)*AW101+(1-EXP(-LN(2)/2))/(LN(2)/2)*AQ102*AT102*VLOOKUP('Données projet'!$B$10,Paramètres!$A$1:$I$89,3,0)*0.475*44/12</f>
        <v>0.22949460867943394</v>
      </c>
      <c r="AX102" s="21">
        <f t="shared" si="60"/>
        <v>85.092877577971549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257.96727373333601</v>
      </c>
      <c r="BJ102" s="59">
        <f t="shared" si="92"/>
        <v>194.52809733694494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113.97221778914145</v>
      </c>
      <c r="BQ102" s="21">
        <f>EXP(-LN(2)/25)*BQ101+(1-EXP(-LN(2)/25))/(LN(2)/25)*Calculateur!BL102*Calculateur!BN102*VLOOKUP('Données projet'!$B$11,Paramètres!$A$1:$I$89,3,0)*0.475*44/12</f>
        <v>43.998769582222657</v>
      </c>
      <c r="BR102" s="21">
        <f>EXP(-LN(2)/2)*BR101+(1-EXP(-LN(2)/2))/(LN(2)/2)*BL102*BO102*VLOOKUP('Données projet'!$B$11,Paramètres!$A$1:$I$89,3,0)*0.475*44/12</f>
        <v>0.10705762675597655</v>
      </c>
      <c r="BS102" s="22">
        <f t="shared" si="63"/>
        <v>158.07804499812011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355.23615781077405</v>
      </c>
      <c r="T103" s="59">
        <f t="shared" si="88"/>
        <v>448.84541017639367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115.21987131179216</v>
      </c>
      <c r="AA103" s="21">
        <f>EXP(-LN(2)/25)*AA102+(1-EXP(-LN(2)/25))/(LN(2)/25)*Calculateur!V103*Calculateur!X103*VLOOKUP('Données projet'!$B$9,Paramètres!$A$1:$I$89,3,0)*0.475*44/12</f>
        <v>20.002035543267823</v>
      </c>
      <c r="AB103" s="21">
        <f>EXP(-LN(2)/2)*AB102+(1-EXP(-LN(2)/2))/(LN(2)/2)*V103*Y103*VLOOKUP('Données projet'!$B$9,Paramètres!$A$1:$I$89,3,0)*0.475*44/12</f>
        <v>4.1187677554261019E-5</v>
      </c>
      <c r="AC103" s="22">
        <f t="shared" si="57"/>
        <v>135.22194804273755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1285</v>
      </c>
      <c r="AG103" s="12">
        <f>VLOOKUP(A103,'Données projet'!$A$61:$I$81,9,0)</f>
        <v>28.3</v>
      </c>
      <c r="AH103" s="12">
        <f t="array" ref="AH103">INDEX(AG:AG,MIN(IF(ISNUMBER(AG103:AG299),ROW(AG103:AG299),"")))</f>
        <v>28.3</v>
      </c>
      <c r="AI103" s="13">
        <f>IF('Données projet'!$A$62&gt;35,AI102+AH103-AQ102,IF(A103&lt;'Données projet'!$A$62,$AF$205^A103,IF(A103='Données projet'!$A$62,'Données projet'!$B$62,AI102+AH103-AQ102)))</f>
        <v>1284.9999999999993</v>
      </c>
      <c r="AJ103" s="13">
        <f>AI103*VLOOKUP('Données projet'!$B$10,Paramètres!$A$1:$I$89,3,0)*VLOOKUP('Données projet'!$B$10,Paramètres!$A$1:$I$89,5,0)</f>
        <v>601.37999999999965</v>
      </c>
      <c r="AK103" s="13">
        <f t="shared" si="89"/>
        <v>131.58552096874726</v>
      </c>
      <c r="AL103" s="20">
        <f t="shared" si="58"/>
        <v>1276.581615687234</v>
      </c>
      <c r="AM103" s="59">
        <f t="shared" si="59"/>
        <v>1569.9149490205673</v>
      </c>
      <c r="AN103" s="59">
        <f ca="1">AVERAGE(OFFSET($AM$3,0,0,'Données projet'!$E$10+1,1))-AVERAGE(OFFSET($H$3,0,0,'Données projet'!$E$10+1,1))</f>
        <v>402.38496642820587</v>
      </c>
      <c r="AO103" s="59">
        <f t="shared" si="90"/>
        <v>196.65158751478987</v>
      </c>
      <c r="AP103" s="15" t="str">
        <f>IF(ISNA(VLOOKUP(A103,'Données projet'!$A$61:$I$81,3,0)),0,VLOOKUP(A103,'Données projet'!$A$61:$I$81,3,0))</f>
        <v>CR</v>
      </c>
      <c r="AQ103" s="15">
        <f>IF(ISNA(VLOOKUP(A103,'Données projet'!$A$61:$I$81,4,0)),0,VLOOKUP(A103,'Données projet'!$A$61:$I$81,4,0))</f>
        <v>1285</v>
      </c>
      <c r="AR103" s="16">
        <f>IF(ISNA(VLOOKUP(A103,'Données projet'!$A$61:$I$81,5,0)),0%,VLOOKUP(A103,'Données projet'!$A$61:$I$81,5,0)*VLOOKUP('Données projet'!$B$10,Paramètres!$A$1:$I$89,7,0))</f>
        <v>0.44000000000000006</v>
      </c>
      <c r="AS103" s="16">
        <f>IF(ISNA(VLOOKUP(A103,'Données projet'!$A$61:$I$81,6,0)),0%,VLOOKUP(A103,'Données projet'!$A$61:$I$81,6,0)*VLOOKUP('Données projet'!$B$10,Paramètres!$A$1:$I$89,7,0))</f>
        <v>5.5000000000000007E-2</v>
      </c>
      <c r="AT103" s="16">
        <f>IF(ISNA(VLOOKUP(A103,'Données projet'!$A$61:$I$81,7,0)),0%,VLOOKUP(A103,'Données projet'!$A$61:$I$81,7,0))</f>
        <v>0.1</v>
      </c>
      <c r="AU103" s="21">
        <f>EXP(-LN(2)/35)*AU102+(1-EXP(-LN(2)/35))/(LN(2)/35)*AQ103*AR103*VLOOKUP('Données projet'!$B$10,Paramètres!$A$1:$I$89,3,0)*0.475*44/12</f>
        <v>389.65911107553711</v>
      </c>
      <c r="AV103" s="21">
        <f>EXP(-LN(2)/25)*AV102+(1-EXP(-LN(2)/25))/(LN(2)/25)*Calculateur!AQ103*Calculateur!AS103*VLOOKUP('Données projet'!$B$10,Paramètres!$A$1:$I$89,3,0)*0.475*44/12</f>
        <v>87.911625341866767</v>
      </c>
      <c r="AW103" s="21">
        <f>EXP(-LN(2)/2)*AW102+(1-EXP(-LN(2)/2))/(LN(2)/2)*AQ103*AT103*VLOOKUP('Données projet'!$B$10,Paramètres!$A$1:$I$89,3,0)*0.475*44/12</f>
        <v>68.252463102689589</v>
      </c>
      <c r="AX103" s="21">
        <f t="shared" si="60"/>
        <v>545.82319952009345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257.96727373333601</v>
      </c>
      <c r="BJ103" s="59">
        <f t="shared" si="92"/>
        <v>194.52809733694494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111.73729211448509</v>
      </c>
      <c r="BQ103" s="21">
        <f>EXP(-LN(2)/25)*BQ102+(1-EXP(-LN(2)/25))/(LN(2)/25)*Calculateur!BL103*Calculateur!BN103*VLOOKUP('Données projet'!$B$11,Paramètres!$A$1:$I$89,3,0)*0.475*44/12</f>
        <v>42.795620914202047</v>
      </c>
      <c r="BR103" s="21">
        <f>EXP(-LN(2)/2)*BR102+(1-EXP(-LN(2)/2))/(LN(2)/2)*BL103*BO103*VLOOKUP('Données projet'!$B$11,Paramètres!$A$1:$I$89,3,0)*0.475*44/12</f>
        <v>7.5701173856889389E-2</v>
      </c>
      <c r="BS103" s="22">
        <f t="shared" si="63"/>
        <v>154.608614202544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355.23615781077405</v>
      </c>
      <c r="T104" s="59">
        <f t="shared" si="88"/>
        <v>448.84541017639367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112.96047991255013</v>
      </c>
      <c r="AA104" s="21">
        <f>EXP(-LN(2)/25)*AA103+(1-EXP(-LN(2)/25))/(LN(2)/25)*Calculateur!V104*Calculateur!X104*VLOOKUP('Données projet'!$B$9,Paramètres!$A$1:$I$89,3,0)*0.475*44/12</f>
        <v>19.455078829475831</v>
      </c>
      <c r="AB104" s="21">
        <f>EXP(-LN(2)/2)*AB103+(1-EXP(-LN(2)/2))/(LN(2)/2)*V104*Y104*VLOOKUP('Données projet'!$B$9,Paramètres!$A$1:$I$89,3,0)*0.475*44/12</f>
        <v>2.9124086099942925E-5</v>
      </c>
      <c r="AC104" s="22">
        <f t="shared" si="57"/>
        <v>132.41558786611205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-6.8212102632969618E-13</v>
      </c>
      <c r="AJ104" s="13">
        <f>AI104*VLOOKUP('Données projet'!$B$10,Paramètres!$A$1:$I$89,3,0)*VLOOKUP('Données projet'!$B$10,Paramètres!$A$1:$I$89,5,0)</f>
        <v>-3.1923264032229784E-13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402.38496642820587</v>
      </c>
      <c r="AO104" s="59">
        <f t="shared" si="90"/>
        <v>196.65158751478987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382.01813357593574</v>
      </c>
      <c r="AV104" s="21">
        <f>EXP(-LN(2)/25)*AV103+(1-EXP(-LN(2)/25))/(LN(2)/25)*Calculateur!AQ104*Calculateur!AS104*VLOOKUP('Données projet'!$B$10,Paramètres!$A$1:$I$89,3,0)*0.475*44/12</f>
        <v>85.507677323821966</v>
      </c>
      <c r="AW104" s="21">
        <f>EXP(-LN(2)/2)*AW103+(1-EXP(-LN(2)/2))/(LN(2)/2)*AQ104*AT104*VLOOKUP('Données projet'!$B$10,Paramètres!$A$1:$I$89,3,0)*0.475*44/12</f>
        <v>48.261779492596439</v>
      </c>
      <c r="AX104" s="21">
        <f t="shared" si="60"/>
        <v>515.7875903923541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257.96727373333601</v>
      </c>
      <c r="BJ104" s="59">
        <f t="shared" si="92"/>
        <v>194.52809733694494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109.54619196913868</v>
      </c>
      <c r="BQ104" s="21">
        <f>EXP(-LN(2)/25)*BQ103+(1-EXP(-LN(2)/25))/(LN(2)/25)*Calculateur!BL104*Calculateur!BN104*VLOOKUP('Données projet'!$B$11,Paramètres!$A$1:$I$89,3,0)*0.475*44/12</f>
        <v>41.625372409779295</v>
      </c>
      <c r="BR104" s="21">
        <f>EXP(-LN(2)/2)*BR103+(1-EXP(-LN(2)/2))/(LN(2)/2)*BL104*BO104*VLOOKUP('Données projet'!$B$11,Paramètres!$A$1:$I$89,3,0)*0.475*44/12</f>
        <v>5.3528813377988281E-2</v>
      </c>
      <c r="BS104" s="22">
        <f t="shared" si="63"/>
        <v>151.22509319229596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355.23615781077405</v>
      </c>
      <c r="T105" s="59">
        <f t="shared" si="88"/>
        <v>448.84541017639367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110.74539380055455</v>
      </c>
      <c r="AA105" s="21">
        <f>EXP(-LN(2)/25)*AA104+(1-EXP(-LN(2)/25))/(LN(2)/25)*Calculateur!V105*Calculateur!X105*VLOOKUP('Données projet'!$B$9,Paramètres!$A$1:$I$89,3,0)*0.475*44/12</f>
        <v>18.923078675785682</v>
      </c>
      <c r="AB105" s="21">
        <f>EXP(-LN(2)/2)*AB104+(1-EXP(-LN(2)/2))/(LN(2)/2)*V105*Y105*VLOOKUP('Données projet'!$B$9,Paramètres!$A$1:$I$89,3,0)*0.475*44/12</f>
        <v>2.0593838777130513E-5</v>
      </c>
      <c r="AC105" s="22">
        <f t="shared" si="57"/>
        <v>129.66849307017901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-6.8212102632969618E-13</v>
      </c>
      <c r="AJ105" s="13">
        <f>AI105*VLOOKUP('Données projet'!$B$10,Paramètres!$A$1:$I$89,3,0)*VLOOKUP('Données projet'!$B$10,Paramètres!$A$1:$I$89,5,0)</f>
        <v>-3.1923264032229784E-13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402.38496642820587</v>
      </c>
      <c r="AO105" s="59">
        <f t="shared" si="90"/>
        <v>196.65158751478987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374.52699098456549</v>
      </c>
      <c r="AV105" s="21">
        <f>EXP(-LN(2)/25)*AV104+(1-EXP(-LN(2)/25))/(LN(2)/25)*Calculateur!AQ105*Calculateur!AS105*VLOOKUP('Données projet'!$B$10,Paramètres!$A$1:$I$89,3,0)*0.475*44/12</f>
        <v>83.169465390748741</v>
      </c>
      <c r="AW105" s="21">
        <f>EXP(-LN(2)/2)*AW104+(1-EXP(-LN(2)/2))/(LN(2)/2)*AQ105*AT105*VLOOKUP('Données projet'!$B$10,Paramètres!$A$1:$I$89,3,0)*0.475*44/12</f>
        <v>34.126231551344802</v>
      </c>
      <c r="AX105" s="21">
        <f t="shared" si="60"/>
        <v>491.82268792665906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257.96727373333601</v>
      </c>
      <c r="BJ105" s="59">
        <f t="shared" si="92"/>
        <v>194.52809733694494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107.39805796120338</v>
      </c>
      <c r="BQ105" s="21">
        <f>EXP(-LN(2)/25)*BQ104+(1-EXP(-LN(2)/25))/(LN(2)/25)*Calculateur!BL105*Calculateur!BN105*VLOOKUP('Données projet'!$B$11,Paramètres!$A$1:$I$89,3,0)*0.475*44/12</f>
        <v>40.487124412250679</v>
      </c>
      <c r="BR105" s="21">
        <f>EXP(-LN(2)/2)*BR104+(1-EXP(-LN(2)/2))/(LN(2)/2)*BL105*BO105*VLOOKUP('Données projet'!$B$11,Paramètres!$A$1:$I$89,3,0)*0.475*44/12</f>
        <v>3.7850586928444702E-2</v>
      </c>
      <c r="BS105" s="22">
        <f t="shared" si="63"/>
        <v>147.9230329603825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355.23615781077405</v>
      </c>
      <c r="T106" s="59">
        <f t="shared" si="88"/>
        <v>448.84541017639367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108.57374417614608</v>
      </c>
      <c r="AA106" s="21">
        <f>EXP(-LN(2)/25)*AA105+(1-EXP(-LN(2)/25))/(LN(2)/25)*Calculateur!V106*Calculateur!X106*VLOOKUP('Données projet'!$B$9,Paramètres!$A$1:$I$89,3,0)*0.475*44/12</f>
        <v>18.405626094274865</v>
      </c>
      <c r="AB106" s="21">
        <f>EXP(-LN(2)/2)*AB105+(1-EXP(-LN(2)/2))/(LN(2)/2)*V106*Y106*VLOOKUP('Données projet'!$B$9,Paramètres!$A$1:$I$89,3,0)*0.475*44/12</f>
        <v>1.4562043049971464E-5</v>
      </c>
      <c r="AC106" s="22">
        <f t="shared" si="57"/>
        <v>126.97938483246399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-6.8212102632969618E-13</v>
      </c>
      <c r="AJ106" s="13">
        <f>AI106*VLOOKUP('Données projet'!$B$10,Paramètres!$A$1:$I$89,3,0)*VLOOKUP('Données projet'!$B$10,Paramètres!$A$1:$I$89,5,0)</f>
        <v>-3.1923264032229784E-13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402.38496642820587</v>
      </c>
      <c r="AO106" s="59">
        <f t="shared" si="90"/>
        <v>196.65158751478987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367.1827451302662</v>
      </c>
      <c r="AV106" s="21">
        <f>EXP(-LN(2)/25)*AV105+(1-EXP(-LN(2)/25))/(LN(2)/25)*Calculateur!AQ106*Calculateur!AS106*VLOOKUP('Données projet'!$B$10,Paramètres!$A$1:$I$89,3,0)*0.475*44/12</f>
        <v>80.895191985946624</v>
      </c>
      <c r="AW106" s="21">
        <f>EXP(-LN(2)/2)*AW105+(1-EXP(-LN(2)/2))/(LN(2)/2)*AQ106*AT106*VLOOKUP('Données projet'!$B$10,Paramètres!$A$1:$I$89,3,0)*0.475*44/12</f>
        <v>24.130889746298223</v>
      </c>
      <c r="AX106" s="21">
        <f t="shared" si="60"/>
        <v>472.20882686251105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257.96727373333601</v>
      </c>
      <c r="BJ106" s="59">
        <f t="shared" si="92"/>
        <v>194.52809733694494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105.29204755093131</v>
      </c>
      <c r="BQ106" s="21">
        <f>EXP(-LN(2)/25)*BQ105+(1-EXP(-LN(2)/25))/(LN(2)/25)*Calculateur!BL106*Calculateur!BN106*VLOOKUP('Données projet'!$B$11,Paramètres!$A$1:$I$89,3,0)*0.475*44/12</f>
        <v>39.380001866072348</v>
      </c>
      <c r="BR106" s="21">
        <f>EXP(-LN(2)/2)*BR105+(1-EXP(-LN(2)/2))/(LN(2)/2)*BL106*BO106*VLOOKUP('Données projet'!$B$11,Paramètres!$A$1:$I$89,3,0)*0.475*44/12</f>
        <v>2.6764406688994144E-2</v>
      </c>
      <c r="BS106" s="22">
        <f t="shared" si="63"/>
        <v>144.69881382369266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355.23615781077405</v>
      </c>
      <c r="T107" s="59">
        <f t="shared" si="88"/>
        <v>448.84541017639367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106.44467927629678</v>
      </c>
      <c r="AA107" s="21">
        <f>EXP(-LN(2)/25)*AA106+(1-EXP(-LN(2)/25))/(LN(2)/25)*Calculateur!V107*Calculateur!X107*VLOOKUP('Données projet'!$B$9,Paramètres!$A$1:$I$89,3,0)*0.475*44/12</f>
        <v>17.902323280817111</v>
      </c>
      <c r="AB107" s="21">
        <f>EXP(-LN(2)/2)*AB106+(1-EXP(-LN(2)/2))/(LN(2)/2)*V107*Y107*VLOOKUP('Données projet'!$B$9,Paramètres!$A$1:$I$89,3,0)*0.475*44/12</f>
        <v>1.0296919388565258E-5</v>
      </c>
      <c r="AC107" s="22">
        <f t="shared" si="57"/>
        <v>124.34701285403328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-6.8212102632969618E-13</v>
      </c>
      <c r="AJ107" s="13">
        <f>AI107*VLOOKUP('Données projet'!$B$10,Paramètres!$A$1:$I$89,3,0)*VLOOKUP('Données projet'!$B$10,Paramètres!$A$1:$I$89,5,0)</f>
        <v>-3.1923264032229784E-13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402.38496642820587</v>
      </c>
      <c r="AO107" s="59">
        <f t="shared" si="90"/>
        <v>196.65158751478987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359.98251545762207</v>
      </c>
      <c r="AV107" s="21">
        <f>EXP(-LN(2)/25)*AV106+(1-EXP(-LN(2)/25))/(LN(2)/25)*Calculateur!AQ107*Calculateur!AS107*VLOOKUP('Données projet'!$B$10,Paramètres!$A$1:$I$89,3,0)*0.475*44/12</f>
        <v>78.683108706997658</v>
      </c>
      <c r="AW107" s="21">
        <f>EXP(-LN(2)/2)*AW106+(1-EXP(-LN(2)/2))/(LN(2)/2)*AQ107*AT107*VLOOKUP('Données projet'!$B$10,Paramètres!$A$1:$I$89,3,0)*0.475*44/12</f>
        <v>17.063115775672401</v>
      </c>
      <c r="AX107" s="21">
        <f t="shared" si="60"/>
        <v>455.72873994029214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257.96727373333601</v>
      </c>
      <c r="BJ107" s="59">
        <f t="shared" si="92"/>
        <v>194.52809733694494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103.22733472026518</v>
      </c>
      <c r="BQ107" s="21">
        <f>EXP(-LN(2)/25)*BQ106+(1-EXP(-LN(2)/25))/(LN(2)/25)*Calculateur!BL107*Calculateur!BN107*VLOOKUP('Données projet'!$B$11,Paramètres!$A$1:$I$89,3,0)*0.475*44/12</f>
        <v>38.303153644140309</v>
      </c>
      <c r="BR107" s="21">
        <f>EXP(-LN(2)/2)*BR106+(1-EXP(-LN(2)/2))/(LN(2)/2)*BL107*BO107*VLOOKUP('Données projet'!$B$11,Paramètres!$A$1:$I$89,3,0)*0.475*44/12</f>
        <v>1.8925293464222351E-2</v>
      </c>
      <c r="BS107" s="22">
        <f t="shared" si="63"/>
        <v>141.54941365786971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355.23615781077405</v>
      </c>
      <c r="T108" s="59">
        <f t="shared" si="88"/>
        <v>448.84541017639367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104.35736404053216</v>
      </c>
      <c r="AA108" s="21">
        <f>EXP(-LN(2)/25)*AA107+(1-EXP(-LN(2)/25))/(LN(2)/25)*Calculateur!V108*Calculateur!X108*VLOOKUP('Données projet'!$B$9,Paramètres!$A$1:$I$89,3,0)*0.475*44/12</f>
        <v>17.412783309260902</v>
      </c>
      <c r="AB108" s="21">
        <f>EXP(-LN(2)/2)*AB107+(1-EXP(-LN(2)/2))/(LN(2)/2)*V108*Y108*VLOOKUP('Données projet'!$B$9,Paramètres!$A$1:$I$89,3,0)*0.475*44/12</f>
        <v>7.2810215249857329E-6</v>
      </c>
      <c r="AC108" s="22">
        <f t="shared" si="57"/>
        <v>121.77015463081459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-6.8212102632969618E-13</v>
      </c>
      <c r="AJ108" s="13">
        <f>AI108*VLOOKUP('Données projet'!$B$10,Paramètres!$A$1:$I$89,3,0)*VLOOKUP('Données projet'!$B$10,Paramètres!$A$1:$I$89,5,0)</f>
        <v>-3.1923264032229784E-13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402.38496642820587</v>
      </c>
      <c r="AO108" s="59">
        <f t="shared" si="90"/>
        <v>196.65158751478987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352.92347789715205</v>
      </c>
      <c r="AV108" s="21">
        <f>EXP(-LN(2)/25)*AV107+(1-EXP(-LN(2)/25))/(LN(2)/25)*Calculateur!AQ108*Calculateur!AS108*VLOOKUP('Données projet'!$B$10,Paramètres!$A$1:$I$89,3,0)*0.475*44/12</f>
        <v>76.531514961639957</v>
      </c>
      <c r="AW108" s="21">
        <f>EXP(-LN(2)/2)*AW107+(1-EXP(-LN(2)/2))/(LN(2)/2)*AQ108*AT108*VLOOKUP('Données projet'!$B$10,Paramètres!$A$1:$I$89,3,0)*0.475*44/12</f>
        <v>12.065444873149112</v>
      </c>
      <c r="AX108" s="21">
        <f t="shared" si="60"/>
        <v>441.52043773194112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257.96727373333601</v>
      </c>
      <c r="BJ108" s="59">
        <f t="shared" si="92"/>
        <v>194.52809733694494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101.20310964885793</v>
      </c>
      <c r="BQ108" s="21">
        <f>EXP(-LN(2)/25)*BQ107+(1-EXP(-LN(2)/25))/(LN(2)/25)*Calculateur!BL108*Calculateur!BN108*VLOOKUP('Données projet'!$B$11,Paramètres!$A$1:$I$89,3,0)*0.475*44/12</f>
        <v>37.255751893465984</v>
      </c>
      <c r="BR108" s="21">
        <f>EXP(-LN(2)/2)*BR107+(1-EXP(-LN(2)/2))/(LN(2)/2)*BL108*BO108*VLOOKUP('Données projet'!$B$11,Paramètres!$A$1:$I$89,3,0)*0.475*44/12</f>
        <v>1.3382203344497072E-2</v>
      </c>
      <c r="BS108" s="22">
        <f t="shared" si="63"/>
        <v>138.47224374566841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355.23615781077405</v>
      </c>
      <c r="T109" s="59">
        <f t="shared" si="88"/>
        <v>448.84541017639367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102.31097978340431</v>
      </c>
      <c r="AA109" s="21">
        <f>EXP(-LN(2)/25)*AA108+(1-EXP(-LN(2)/25))/(LN(2)/25)*Calculateur!V109*Calculateur!X109*VLOOKUP('Données projet'!$B$9,Paramètres!$A$1:$I$89,3,0)*0.475*44/12</f>
        <v>16.936629833970684</v>
      </c>
      <c r="AB109" s="21">
        <f>EXP(-LN(2)/2)*AB108+(1-EXP(-LN(2)/2))/(LN(2)/2)*V109*Y109*VLOOKUP('Données projet'!$B$9,Paramètres!$A$1:$I$89,3,0)*0.475*44/12</f>
        <v>5.1484596942826299E-6</v>
      </c>
      <c r="AC109" s="22">
        <f t="shared" si="57"/>
        <v>119.24761476583468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-6.8212102632969618E-13</v>
      </c>
      <c r="AJ109" s="13">
        <f>AI109*VLOOKUP('Données projet'!$B$10,Paramètres!$A$1:$I$89,3,0)*VLOOKUP('Données projet'!$B$10,Paramètres!$A$1:$I$89,5,0)</f>
        <v>-3.1923264032229784E-13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402.38496642820587</v>
      </c>
      <c r="AO109" s="59">
        <f t="shared" si="90"/>
        <v>196.65158751478987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346.00286375765506</v>
      </c>
      <c r="AV109" s="21">
        <f>EXP(-LN(2)/25)*AV108+(1-EXP(-LN(2)/25))/(LN(2)/25)*Calculateur!AQ109*Calculateur!AS109*VLOOKUP('Données projet'!$B$10,Paramètres!$A$1:$I$89,3,0)*0.475*44/12</f>
        <v>74.43875666039645</v>
      </c>
      <c r="AW109" s="21">
        <f>EXP(-LN(2)/2)*AW108+(1-EXP(-LN(2)/2))/(LN(2)/2)*AQ109*AT109*VLOOKUP('Données projet'!$B$10,Paramètres!$A$1:$I$89,3,0)*0.475*44/12</f>
        <v>8.5315578878362004</v>
      </c>
      <c r="AX109" s="21">
        <f t="shared" si="60"/>
        <v>428.9731783058877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257.96727373333601</v>
      </c>
      <c r="BJ109" s="59">
        <f t="shared" si="92"/>
        <v>194.52809733694494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99.218578396445594</v>
      </c>
      <c r="BQ109" s="21">
        <f>EXP(-LN(2)/25)*BQ108+(1-EXP(-LN(2)/25))/(LN(2)/25)*Calculateur!BL109*Calculateur!BN109*VLOOKUP('Données projet'!$B$11,Paramètres!$A$1:$I$89,3,0)*0.475*44/12</f>
        <v>36.236991398744316</v>
      </c>
      <c r="BR109" s="21">
        <f>EXP(-LN(2)/2)*BR108+(1-EXP(-LN(2)/2))/(LN(2)/2)*BL109*BO109*VLOOKUP('Données projet'!$B$11,Paramètres!$A$1:$I$89,3,0)*0.475*44/12</f>
        <v>9.4626467321111754E-3</v>
      </c>
      <c r="BS109" s="22">
        <f t="shared" si="63"/>
        <v>135.46503244192203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355.23615781077405</v>
      </c>
      <c r="T110" s="59">
        <f t="shared" si="88"/>
        <v>448.84541017639367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100.30472387338757</v>
      </c>
      <c r="AA110" s="21">
        <f>EXP(-LN(2)/25)*AA109+(1-EXP(-LN(2)/25))/(LN(2)/25)*Calculateur!V110*Calculateur!X110*VLOOKUP('Données projet'!$B$9,Paramètres!$A$1:$I$89,3,0)*0.475*44/12</f>
        <v>16.473496800502101</v>
      </c>
      <c r="AB110" s="21">
        <f>EXP(-LN(2)/2)*AB109+(1-EXP(-LN(2)/2))/(LN(2)/2)*V110*Y110*VLOOKUP('Données projet'!$B$9,Paramètres!$A$1:$I$89,3,0)*0.475*44/12</f>
        <v>3.6405107624928673E-6</v>
      </c>
      <c r="AC110" s="22">
        <f t="shared" si="57"/>
        <v>116.77822431440045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-6.8212102632969618E-13</v>
      </c>
      <c r="AJ110" s="13">
        <f>AI110*VLOOKUP('Données projet'!$B$10,Paramètres!$A$1:$I$89,3,0)*VLOOKUP('Données projet'!$B$10,Paramètres!$A$1:$I$89,5,0)</f>
        <v>-3.1923264032229784E-13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402.38496642820587</v>
      </c>
      <c r="AO110" s="59">
        <f t="shared" si="90"/>
        <v>196.65158751478987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339.21795864027575</v>
      </c>
      <c r="AV110" s="21">
        <f>EXP(-LN(2)/25)*AV109+(1-EXP(-LN(2)/25))/(LN(2)/25)*Calculateur!AQ110*Calculateur!AS110*VLOOKUP('Données projet'!$B$10,Paramètres!$A$1:$I$89,3,0)*0.475*44/12</f>
        <v>72.403224944953834</v>
      </c>
      <c r="AW110" s="21">
        <f>EXP(-LN(2)/2)*AW109+(1-EXP(-LN(2)/2))/(LN(2)/2)*AQ110*AT110*VLOOKUP('Données projet'!$B$10,Paramètres!$A$1:$I$89,3,0)*0.475*44/12</f>
        <v>6.0327224365745558</v>
      </c>
      <c r="AX110" s="21">
        <f t="shared" si="60"/>
        <v>417.65390602180412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257.96727373333601</v>
      </c>
      <c r="BJ110" s="59">
        <f t="shared" si="92"/>
        <v>194.52809733694494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97.272962591448518</v>
      </c>
      <c r="BQ110" s="21">
        <f>EXP(-LN(2)/25)*BQ109+(1-EXP(-LN(2)/25))/(LN(2)/25)*Calculateur!BL110*Calculateur!BN110*VLOOKUP('Données projet'!$B$11,Paramètres!$A$1:$I$89,3,0)*0.475*44/12</f>
        <v>35.246088963325093</v>
      </c>
      <c r="BR110" s="21">
        <f>EXP(-LN(2)/2)*BR109+(1-EXP(-LN(2)/2))/(LN(2)/2)*BL110*BO110*VLOOKUP('Données projet'!$B$11,Paramètres!$A$1:$I$89,3,0)*0.475*44/12</f>
        <v>6.691101672248536E-3</v>
      </c>
      <c r="BS110" s="22">
        <f t="shared" si="63"/>
        <v>132.52574265644589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355.23615781077405</v>
      </c>
      <c r="T111" s="59">
        <f t="shared" si="88"/>
        <v>448.84541017639367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98.337809418071004</v>
      </c>
      <c r="AA111" s="21">
        <f>EXP(-LN(2)/25)*AA110+(1-EXP(-LN(2)/25))/(LN(2)/25)*Calculateur!V111*Calculateur!X111*VLOOKUP('Données projet'!$B$9,Paramètres!$A$1:$I$89,3,0)*0.475*44/12</f>
        <v>16.023028164188826</v>
      </c>
      <c r="AB111" s="21">
        <f>EXP(-LN(2)/2)*AB110+(1-EXP(-LN(2)/2))/(LN(2)/2)*V111*Y111*VLOOKUP('Données projet'!$B$9,Paramètres!$A$1:$I$89,3,0)*0.475*44/12</f>
        <v>2.5742298471413154E-6</v>
      </c>
      <c r="AC111" s="22">
        <f t="shared" si="57"/>
        <v>114.36084015648969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-6.8212102632969618E-13</v>
      </c>
      <c r="AJ111" s="13">
        <f>AI111*VLOOKUP('Données projet'!$B$10,Paramètres!$A$1:$I$89,3,0)*VLOOKUP('Données projet'!$B$10,Paramètres!$A$1:$I$89,5,0)</f>
        <v>-3.1923264032229784E-13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402.38496642820587</v>
      </c>
      <c r="AO111" s="59">
        <f t="shared" si="90"/>
        <v>196.65158751478987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332.5661013738648</v>
      </c>
      <c r="AV111" s="21">
        <f>EXP(-LN(2)/25)*AV110+(1-EXP(-LN(2)/25))/(LN(2)/25)*Calculateur!AQ111*Calculateur!AS111*VLOOKUP('Données projet'!$B$10,Paramètres!$A$1:$I$89,3,0)*0.475*44/12</f>
        <v>70.423354951313954</v>
      </c>
      <c r="AW111" s="21">
        <f>EXP(-LN(2)/2)*AW110+(1-EXP(-LN(2)/2))/(LN(2)/2)*AQ111*AT111*VLOOKUP('Données projet'!$B$10,Paramètres!$A$1:$I$89,3,0)*0.475*44/12</f>
        <v>4.2657789439181002</v>
      </c>
      <c r="AX111" s="21">
        <f t="shared" si="60"/>
        <v>407.25523526909689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257.96727373333601</v>
      </c>
      <c r="BJ111" s="59">
        <f t="shared" si="92"/>
        <v>194.52809733694494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95.36549912567898</v>
      </c>
      <c r="BQ111" s="21">
        <f>EXP(-LN(2)/25)*BQ110+(1-EXP(-LN(2)/25))/(LN(2)/25)*Calculateur!BL111*Calculateur!BN111*VLOOKUP('Données projet'!$B$11,Paramètres!$A$1:$I$89,3,0)*0.475*44/12</f>
        <v>34.282282807111706</v>
      </c>
      <c r="BR111" s="21">
        <f>EXP(-LN(2)/2)*BR110+(1-EXP(-LN(2)/2))/(LN(2)/2)*BL111*BO111*VLOOKUP('Données projet'!$B$11,Paramètres!$A$1:$I$89,3,0)*0.475*44/12</f>
        <v>4.7313233660555877E-3</v>
      </c>
      <c r="BS111" s="22">
        <f t="shared" si="63"/>
        <v>129.65251325615674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355.23615781077405</v>
      </c>
      <c r="T112" s="59">
        <f t="shared" si="88"/>
        <v>448.84541017639367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96.409464955523831</v>
      </c>
      <c r="AA112" s="21">
        <f>EXP(-LN(2)/25)*AA111+(1-EXP(-LN(2)/25))/(LN(2)/25)*Calculateur!V112*Calculateur!X112*VLOOKUP('Données projet'!$B$9,Paramètres!$A$1:$I$89,3,0)*0.475*44/12</f>
        <v>15.584877616424652</v>
      </c>
      <c r="AB112" s="21">
        <f>EXP(-LN(2)/2)*AB111+(1-EXP(-LN(2)/2))/(LN(2)/2)*V112*Y112*VLOOKUP('Données projet'!$B$9,Paramètres!$A$1:$I$89,3,0)*0.475*44/12</f>
        <v>1.8202553812464339E-6</v>
      </c>
      <c r="AC112" s="22">
        <f t="shared" si="57"/>
        <v>111.99434439220386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-6.8212102632969618E-13</v>
      </c>
      <c r="AJ112" s="13">
        <f>AI112*VLOOKUP('Données projet'!$B$10,Paramètres!$A$1:$I$89,3,0)*VLOOKUP('Données projet'!$B$10,Paramètres!$A$1:$I$89,5,0)</f>
        <v>-3.1923264032229784E-13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402.38496642820587</v>
      </c>
      <c r="AO112" s="59">
        <f t="shared" si="90"/>
        <v>196.65158751478987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326.04468297121582</v>
      </c>
      <c r="AV112" s="21">
        <f>EXP(-LN(2)/25)*AV111+(1-EXP(-LN(2)/25))/(LN(2)/25)*Calculateur!AQ112*Calculateur!AS112*VLOOKUP('Données projet'!$B$10,Paramètres!$A$1:$I$89,3,0)*0.475*44/12</f>
        <v>68.49762460676699</v>
      </c>
      <c r="AW112" s="21">
        <f>EXP(-LN(2)/2)*AW111+(1-EXP(-LN(2)/2))/(LN(2)/2)*AQ112*AT112*VLOOKUP('Données projet'!$B$10,Paramètres!$A$1:$I$89,3,0)*0.475*44/12</f>
        <v>3.0163612182872779</v>
      </c>
      <c r="AX112" s="21">
        <f t="shared" si="60"/>
        <v>397.55866879627007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257.96727373333601</v>
      </c>
      <c r="BJ112" s="59">
        <f t="shared" si="92"/>
        <v>194.52809733694494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93.495439855035343</v>
      </c>
      <c r="BQ112" s="21">
        <f>EXP(-LN(2)/25)*BQ111+(1-EXP(-LN(2)/25))/(LN(2)/25)*Calculateur!BL112*Calculateur!BN112*VLOOKUP('Données projet'!$B$11,Paramètres!$A$1:$I$89,3,0)*0.475*44/12</f>
        <v>33.34483198092434</v>
      </c>
      <c r="BR112" s="21">
        <f>EXP(-LN(2)/2)*BR111+(1-EXP(-LN(2)/2))/(LN(2)/2)*BL112*BO112*VLOOKUP('Données projet'!$B$11,Paramètres!$A$1:$I$89,3,0)*0.475*44/12</f>
        <v>3.345550836124268E-3</v>
      </c>
      <c r="BS112" s="22">
        <f t="shared" si="63"/>
        <v>126.84361738679581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355.23615781077405</v>
      </c>
      <c r="T113" s="59">
        <f t="shared" si="88"/>
        <v>448.84541017639367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94.518934151713225</v>
      </c>
      <c r="AA113" s="21">
        <f>EXP(-LN(2)/25)*AA112+(1-EXP(-LN(2)/25))/(LN(2)/25)*Calculateur!V113*Calculateur!X113*VLOOKUP('Données projet'!$B$9,Paramètres!$A$1:$I$89,3,0)*0.475*44/12</f>
        <v>15.158708318430426</v>
      </c>
      <c r="AB113" s="21">
        <f>EXP(-LN(2)/2)*AB112+(1-EXP(-LN(2)/2))/(LN(2)/2)*V113*Y113*VLOOKUP('Données projet'!$B$9,Paramètres!$A$1:$I$89,3,0)*0.475*44/12</f>
        <v>1.2871149235706579E-6</v>
      </c>
      <c r="AC113" s="22">
        <f t="shared" si="57"/>
        <v>109.67764375725858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-6.8212102632969618E-13</v>
      </c>
      <c r="AJ113" s="13">
        <f>AI113*VLOOKUP('Données projet'!$B$10,Paramètres!$A$1:$I$89,3,0)*VLOOKUP('Données projet'!$B$10,Paramètres!$A$1:$I$89,5,0)</f>
        <v>-3.1923264032229784E-13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402.38496642820587</v>
      </c>
      <c r="AO113" s="59">
        <f t="shared" si="90"/>
        <v>196.65158751478987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319.65114560577035</v>
      </c>
      <c r="AV113" s="21">
        <f>EXP(-LN(2)/25)*AV112+(1-EXP(-LN(2)/25))/(LN(2)/25)*Calculateur!AQ113*Calculateur!AS113*VLOOKUP('Données projet'!$B$10,Paramètres!$A$1:$I$89,3,0)*0.475*44/12</f>
        <v>66.62455345976143</v>
      </c>
      <c r="AW113" s="21">
        <f>EXP(-LN(2)/2)*AW112+(1-EXP(-LN(2)/2))/(LN(2)/2)*AQ113*AT113*VLOOKUP('Données projet'!$B$10,Paramètres!$A$1:$I$89,3,0)*0.475*44/12</f>
        <v>2.1328894719590501</v>
      </c>
      <c r="AX113" s="21">
        <f t="shared" si="60"/>
        <v>388.40858853749086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257.96727373333601</v>
      </c>
      <c r="BJ113" s="59">
        <f t="shared" si="92"/>
        <v>194.52809733694494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91.662051306065507</v>
      </c>
      <c r="BQ113" s="21">
        <f>EXP(-LN(2)/25)*BQ112+(1-EXP(-LN(2)/25))/(LN(2)/25)*Calculateur!BL113*Calculateur!BN113*VLOOKUP('Données projet'!$B$11,Paramètres!$A$1:$I$89,3,0)*0.475*44/12</f>
        <v>32.433015796877463</v>
      </c>
      <c r="BR113" s="21">
        <f>EXP(-LN(2)/2)*BR112+(1-EXP(-LN(2)/2))/(LN(2)/2)*BL113*BO113*VLOOKUP('Données projet'!$B$11,Paramètres!$A$1:$I$89,3,0)*0.475*44/12</f>
        <v>2.3656616830277939E-3</v>
      </c>
      <c r="BS113" s="22">
        <f t="shared" si="63"/>
        <v>124.09743276462601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355.23615781077405</v>
      </c>
      <c r="T114" s="59">
        <f t="shared" si="88"/>
        <v>448.84541017639367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92.665475503855419</v>
      </c>
      <c r="AA114" s="21">
        <f>EXP(-LN(2)/25)*AA113+(1-EXP(-LN(2)/25))/(LN(2)/25)*Calculateur!V114*Calculateur!X114*VLOOKUP('Données projet'!$B$9,Paramètres!$A$1:$I$89,3,0)*0.475*44/12</f>
        <v>14.744192642301121</v>
      </c>
      <c r="AB114" s="21">
        <f>EXP(-LN(2)/2)*AB113+(1-EXP(-LN(2)/2))/(LN(2)/2)*V114*Y114*VLOOKUP('Données projet'!$B$9,Paramètres!$A$1:$I$89,3,0)*0.475*44/12</f>
        <v>9.1012769062321714E-7</v>
      </c>
      <c r="AC114" s="22">
        <f t="shared" si="57"/>
        <v>107.40966905628423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-6.8212102632969618E-13</v>
      </c>
      <c r="AJ114" s="13">
        <f>AI114*VLOOKUP('Données projet'!$B$10,Paramètres!$A$1:$I$89,3,0)*VLOOKUP('Données projet'!$B$10,Paramètres!$A$1:$I$89,5,0)</f>
        <v>-3.1923264032229784E-13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402.38496642820587</v>
      </c>
      <c r="AO114" s="59">
        <f t="shared" si="90"/>
        <v>196.65158751478987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313.38298160838855</v>
      </c>
      <c r="AV114" s="21">
        <f>EXP(-LN(2)/25)*AV113+(1-EXP(-LN(2)/25))/(LN(2)/25)*Calculateur!AQ114*Calculateur!AS114*VLOOKUP('Données projet'!$B$10,Paramètres!$A$1:$I$89,3,0)*0.475*44/12</f>
        <v>64.802701541771256</v>
      </c>
      <c r="AW114" s="21">
        <f>EXP(-LN(2)/2)*AW113+(1-EXP(-LN(2)/2))/(LN(2)/2)*AQ114*AT114*VLOOKUP('Données projet'!$B$10,Paramètres!$A$1:$I$89,3,0)*0.475*44/12</f>
        <v>1.5081806091436389</v>
      </c>
      <c r="AX114" s="21">
        <f t="shared" si="60"/>
        <v>379.69386375930344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257.96727373333601</v>
      </c>
      <c r="BJ114" s="59">
        <f t="shared" si="92"/>
        <v>194.52809733694494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89.864614388284366</v>
      </c>
      <c r="BQ114" s="21">
        <f>EXP(-LN(2)/25)*BQ113+(1-EXP(-LN(2)/25))/(LN(2)/25)*Calculateur!BL114*Calculateur!BN114*VLOOKUP('Données projet'!$B$11,Paramètres!$A$1:$I$89,3,0)*0.475*44/12</f>
        <v>31.546133274333673</v>
      </c>
      <c r="BR114" s="21">
        <f>EXP(-LN(2)/2)*BR113+(1-EXP(-LN(2)/2))/(LN(2)/2)*BL114*BO114*VLOOKUP('Données projet'!$B$11,Paramètres!$A$1:$I$89,3,0)*0.475*44/12</f>
        <v>1.672775418062134E-3</v>
      </c>
      <c r="BS114" s="22">
        <f t="shared" si="63"/>
        <v>121.41242043803609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355.23615781077405</v>
      </c>
      <c r="T115" s="59">
        <f t="shared" si="88"/>
        <v>448.84541017639367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90.848362049583955</v>
      </c>
      <c r="AA115" s="21">
        <f>EXP(-LN(2)/25)*AA114+(1-EXP(-LN(2)/25))/(LN(2)/25)*Calculateur!V115*Calculateur!X115*VLOOKUP('Données projet'!$B$9,Paramètres!$A$1:$I$89,3,0)*0.475*44/12</f>
        <v>14.341011919134004</v>
      </c>
      <c r="AB115" s="21">
        <f>EXP(-LN(2)/2)*AB114+(1-EXP(-LN(2)/2))/(LN(2)/2)*V115*Y115*VLOOKUP('Données projet'!$B$9,Paramètres!$A$1:$I$89,3,0)*0.475*44/12</f>
        <v>6.4355746178532906E-7</v>
      </c>
      <c r="AC115" s="22">
        <f t="shared" si="57"/>
        <v>105.18937461227542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-6.8212102632969618E-13</v>
      </c>
      <c r="AJ115" s="13">
        <f>AI115*VLOOKUP('Données projet'!$B$10,Paramètres!$A$1:$I$89,3,0)*VLOOKUP('Données projet'!$B$10,Paramètres!$A$1:$I$89,5,0)</f>
        <v>-3.1923264032229784E-13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402.38496642820587</v>
      </c>
      <c r="AO115" s="59">
        <f t="shared" si="90"/>
        <v>196.65158751478987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307.23773248379285</v>
      </c>
      <c r="AV115" s="21">
        <f>EXP(-LN(2)/25)*AV114+(1-EXP(-LN(2)/25))/(LN(2)/25)*Calculateur!AQ115*Calculateur!AS115*VLOOKUP('Données projet'!$B$10,Paramètres!$A$1:$I$89,3,0)*0.475*44/12</f>
        <v>63.030668260285559</v>
      </c>
      <c r="AW115" s="21">
        <f>EXP(-LN(2)/2)*AW114+(1-EXP(-LN(2)/2))/(LN(2)/2)*AQ115*AT115*VLOOKUP('Données projet'!$B$10,Paramètres!$A$1:$I$89,3,0)*0.475*44/12</f>
        <v>1.066444735979525</v>
      </c>
      <c r="AX115" s="21">
        <f t="shared" si="60"/>
        <v>371.33484548005794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257.96727373333601</v>
      </c>
      <c r="BJ115" s="59">
        <f t="shared" si="92"/>
        <v>194.52809733694494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88.102424112132653</v>
      </c>
      <c r="BQ115" s="21">
        <f>EXP(-LN(2)/25)*BQ114+(1-EXP(-LN(2)/25))/(LN(2)/25)*Calculateur!BL115*Calculateur!BN115*VLOOKUP('Données projet'!$B$11,Paramètres!$A$1:$I$89,3,0)*0.475*44/12</f>
        <v>30.683502601007969</v>
      </c>
      <c r="BR115" s="21">
        <f>EXP(-LN(2)/2)*BR114+(1-EXP(-LN(2)/2))/(LN(2)/2)*BL115*BO115*VLOOKUP('Données projet'!$B$11,Paramètres!$A$1:$I$89,3,0)*0.475*44/12</f>
        <v>1.1828308415138969E-3</v>
      </c>
      <c r="BS115" s="22">
        <f t="shared" si="63"/>
        <v>118.78710954398214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355.23615781077405</v>
      </c>
      <c r="T116" s="59">
        <f t="shared" si="88"/>
        <v>448.84541017639367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89.066881081820981</v>
      </c>
      <c r="AA116" s="21">
        <f>EXP(-LN(2)/25)*AA115+(1-EXP(-LN(2)/25))/(LN(2)/25)*Calculateur!V116*Calculateur!X116*VLOOKUP('Données projet'!$B$9,Paramètres!$A$1:$I$89,3,0)*0.475*44/12</f>
        <v>13.948856194044245</v>
      </c>
      <c r="AB116" s="21">
        <f>EXP(-LN(2)/2)*AB115+(1-EXP(-LN(2)/2))/(LN(2)/2)*V116*Y116*VLOOKUP('Données projet'!$B$9,Paramètres!$A$1:$I$89,3,0)*0.475*44/12</f>
        <v>4.5506384531160862E-7</v>
      </c>
      <c r="AC116" s="22">
        <f t="shared" si="57"/>
        <v>103.01573773092906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-6.8212102632969618E-13</v>
      </c>
      <c r="AJ116" s="13">
        <f>AI116*VLOOKUP('Données projet'!$B$10,Paramètres!$A$1:$I$89,3,0)*VLOOKUP('Données projet'!$B$10,Paramètres!$A$1:$I$89,5,0)</f>
        <v>-3.1923264032229784E-13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402.38496642820587</v>
      </c>
      <c r="AO116" s="59">
        <f t="shared" si="90"/>
        <v>196.65158751478987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301.2129879462986</v>
      </c>
      <c r="AV116" s="21">
        <f>EXP(-LN(2)/25)*AV115+(1-EXP(-LN(2)/25))/(LN(2)/25)*Calculateur!AQ116*Calculateur!AS116*VLOOKUP('Données projet'!$B$10,Paramètres!$A$1:$I$89,3,0)*0.475*44/12</f>
        <v>61.307091322069262</v>
      </c>
      <c r="AW116" s="21">
        <f>EXP(-LN(2)/2)*AW115+(1-EXP(-LN(2)/2))/(LN(2)/2)*AQ116*AT116*VLOOKUP('Données projet'!$B$10,Paramètres!$A$1:$I$89,3,0)*0.475*44/12</f>
        <v>0.75409030457181947</v>
      </c>
      <c r="AX116" s="21">
        <f t="shared" si="60"/>
        <v>363.27416957293968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257.96727373333601</v>
      </c>
      <c r="BJ116" s="59">
        <f t="shared" si="92"/>
        <v>194.52809733694494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86.374789312466334</v>
      </c>
      <c r="BQ116" s="21">
        <f>EXP(-LN(2)/25)*BQ115+(1-EXP(-LN(2)/25))/(LN(2)/25)*Calculateur!BL116*Calculateur!BN116*VLOOKUP('Données projet'!$B$11,Paramètres!$A$1:$I$89,3,0)*0.475*44/12</f>
        <v>29.844460608808134</v>
      </c>
      <c r="BR116" s="21">
        <f>EXP(-LN(2)/2)*BR115+(1-EXP(-LN(2)/2))/(LN(2)/2)*BL116*BO116*VLOOKUP('Données projet'!$B$11,Paramètres!$A$1:$I$89,3,0)*0.475*44/12</f>
        <v>8.36387709031067E-4</v>
      </c>
      <c r="BS116" s="22">
        <f t="shared" si="63"/>
        <v>116.2200863089835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355.23615781077405</v>
      </c>
      <c r="T117" s="59">
        <f t="shared" si="88"/>
        <v>448.84541017639367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87.320333869239747</v>
      </c>
      <c r="AA117" s="21">
        <f>EXP(-LN(2)/25)*AA116+(1-EXP(-LN(2)/25))/(LN(2)/25)*Calculateur!V117*Calculateur!X117*VLOOKUP('Données projet'!$B$9,Paramètres!$A$1:$I$89,3,0)*0.475*44/12</f>
        <v>13.567423987879637</v>
      </c>
      <c r="AB117" s="21">
        <f>EXP(-LN(2)/2)*AB116+(1-EXP(-LN(2)/2))/(LN(2)/2)*V117*Y117*VLOOKUP('Données projet'!$B$9,Paramètres!$A$1:$I$89,3,0)*0.475*44/12</f>
        <v>3.2177873089266458E-7</v>
      </c>
      <c r="AC117" s="22">
        <f t="shared" si="57"/>
        <v>100.88775817889811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-6.8212102632969618E-13</v>
      </c>
      <c r="AJ117" s="13">
        <f>AI117*VLOOKUP('Données projet'!$B$10,Paramètres!$A$1:$I$89,3,0)*VLOOKUP('Données projet'!$B$10,Paramètres!$A$1:$I$89,5,0)</f>
        <v>-3.1923264032229784E-13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402.38496642820587</v>
      </c>
      <c r="AO117" s="59">
        <f t="shared" si="90"/>
        <v>196.65158751478987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295.30638497445329</v>
      </c>
      <c r="AV117" s="21">
        <f>EXP(-LN(2)/25)*AV116+(1-EXP(-LN(2)/25))/(LN(2)/25)*Calculateur!AQ117*Calculateur!AS117*VLOOKUP('Données projet'!$B$10,Paramètres!$A$1:$I$89,3,0)*0.475*44/12</f>
        <v>59.630645685867464</v>
      </c>
      <c r="AW117" s="21">
        <f>EXP(-LN(2)/2)*AW116+(1-EXP(-LN(2)/2))/(LN(2)/2)*AQ117*AT117*VLOOKUP('Données projet'!$B$10,Paramètres!$A$1:$I$89,3,0)*0.475*44/12</f>
        <v>0.53322236798976252</v>
      </c>
      <c r="AX117" s="21">
        <f t="shared" si="60"/>
        <v>355.47025302831054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257.96727373333601</v>
      </c>
      <c r="BJ117" s="59">
        <f t="shared" si="92"/>
        <v>194.52809733694494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84.681032377468298</v>
      </c>
      <c r="BQ117" s="21">
        <f>EXP(-LN(2)/25)*BQ116+(1-EXP(-LN(2)/25))/(LN(2)/25)*Calculateur!BL117*Calculateur!BN117*VLOOKUP('Données projet'!$B$11,Paramètres!$A$1:$I$89,3,0)*0.475*44/12</f>
        <v>29.028362264008305</v>
      </c>
      <c r="BR117" s="21">
        <f>EXP(-LN(2)/2)*BR116+(1-EXP(-LN(2)/2))/(LN(2)/2)*BL117*BO117*VLOOKUP('Données projet'!$B$11,Paramètres!$A$1:$I$89,3,0)*0.475*44/12</f>
        <v>5.9141542075694846E-4</v>
      </c>
      <c r="BS117" s="22">
        <f t="shared" si="63"/>
        <v>113.70998605689736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355.23615781077405</v>
      </c>
      <c r="T118" s="59">
        <f t="shared" si="88"/>
        <v>448.84541017639367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85.608035382208612</v>
      </c>
      <c r="AA118" s="21">
        <f>EXP(-LN(2)/25)*AA117+(1-EXP(-LN(2)/25))/(LN(2)/25)*Calculateur!V118*Calculateur!X118*VLOOKUP('Données projet'!$B$9,Paramètres!$A$1:$I$89,3,0)*0.475*44/12</f>
        <v>13.19642206545125</v>
      </c>
      <c r="AB118" s="21">
        <f>EXP(-LN(2)/2)*AB117+(1-EXP(-LN(2)/2))/(LN(2)/2)*V118*Y118*VLOOKUP('Données projet'!$B$9,Paramètres!$A$1:$I$89,3,0)*0.475*44/12</f>
        <v>2.2753192265580436E-7</v>
      </c>
      <c r="AC118" s="22">
        <f t="shared" si="57"/>
        <v>98.804457675191784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-6.8212102632969618E-13</v>
      </c>
      <c r="AJ118" s="13">
        <f>AI118*VLOOKUP('Données projet'!$B$10,Paramètres!$A$1:$I$89,3,0)*VLOOKUP('Données projet'!$B$10,Paramètres!$A$1:$I$89,5,0)</f>
        <v>-3.1923264032229784E-13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402.38496642820587</v>
      </c>
      <c r="AO118" s="59">
        <f t="shared" si="90"/>
        <v>196.65158751478987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289.51560688421381</v>
      </c>
      <c r="AV118" s="21">
        <f>EXP(-LN(2)/25)*AV117+(1-EXP(-LN(2)/25))/(LN(2)/25)*Calculateur!AQ118*Calculateur!AS118*VLOOKUP('Données projet'!$B$10,Paramètres!$A$1:$I$89,3,0)*0.475*44/12</f>
        <v>58.000042543748052</v>
      </c>
      <c r="AW118" s="21">
        <f>EXP(-LN(2)/2)*AW117+(1-EXP(-LN(2)/2))/(LN(2)/2)*AQ118*AT118*VLOOKUP('Données projet'!$B$10,Paramètres!$A$1:$I$89,3,0)*0.475*44/12</f>
        <v>0.37704515228590973</v>
      </c>
      <c r="AX118" s="21">
        <f t="shared" si="60"/>
        <v>347.89269458024779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257.96727373333601</v>
      </c>
      <c r="BJ118" s="59">
        <f t="shared" si="92"/>
        <v>194.52809733694494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83.020488982875847</v>
      </c>
      <c r="BQ118" s="21">
        <f>EXP(-LN(2)/25)*BQ117+(1-EXP(-LN(2)/25))/(LN(2)/25)*Calculateur!BL118*Calculateur!BN118*VLOOKUP('Données projet'!$B$11,Paramètres!$A$1:$I$89,3,0)*0.475*44/12</f>
        <v>28.234580171363771</v>
      </c>
      <c r="BR118" s="21">
        <f>EXP(-LN(2)/2)*BR117+(1-EXP(-LN(2)/2))/(LN(2)/2)*BL118*BO118*VLOOKUP('Données projet'!$B$11,Paramètres!$A$1:$I$89,3,0)*0.475*44/12</f>
        <v>4.181938545155335E-4</v>
      </c>
      <c r="BS118" s="22">
        <f t="shared" si="63"/>
        <v>111.25548734809414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355.23615781077405</v>
      </c>
      <c r="T119" s="59">
        <f t="shared" si="88"/>
        <v>448.84541017639367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83.929314024109203</v>
      </c>
      <c r="AA119" s="21">
        <f>EXP(-LN(2)/25)*AA118+(1-EXP(-LN(2)/25))/(LN(2)/25)*Calculateur!V119*Calculateur!X119*VLOOKUP('Données projet'!$B$9,Paramètres!$A$1:$I$89,3,0)*0.475*44/12</f>
        <v>12.835565210101811</v>
      </c>
      <c r="AB119" s="21">
        <f>EXP(-LN(2)/2)*AB118+(1-EXP(-LN(2)/2))/(LN(2)/2)*V119*Y119*VLOOKUP('Données projet'!$B$9,Paramètres!$A$1:$I$89,3,0)*0.475*44/12</f>
        <v>1.6088936544633232E-7</v>
      </c>
      <c r="AC119" s="22">
        <f t="shared" si="57"/>
        <v>96.76487939510038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-6.8212102632969618E-13</v>
      </c>
      <c r="AJ119" s="13">
        <f>AI119*VLOOKUP('Données projet'!$B$10,Paramètres!$A$1:$I$89,3,0)*VLOOKUP('Données projet'!$B$10,Paramètres!$A$1:$I$89,5,0)</f>
        <v>-3.1923264032229784E-13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402.38496642820587</v>
      </c>
      <c r="AO119" s="59">
        <f t="shared" si="90"/>
        <v>196.65158751478987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283.83838242029805</v>
      </c>
      <c r="AV119" s="21">
        <f>EXP(-LN(2)/25)*AV118+(1-EXP(-LN(2)/25))/(LN(2)/25)*Calculateur!AQ119*Calculateur!AS119*VLOOKUP('Données projet'!$B$10,Paramètres!$A$1:$I$89,3,0)*0.475*44/12</f>
        <v>56.414028330299587</v>
      </c>
      <c r="AW119" s="21">
        <f>EXP(-LN(2)/2)*AW118+(1-EXP(-LN(2)/2))/(LN(2)/2)*AQ119*AT119*VLOOKUP('Données projet'!$B$10,Paramètres!$A$1:$I$89,3,0)*0.475*44/12</f>
        <v>0.26661118399488126</v>
      </c>
      <c r="AX119" s="21">
        <f t="shared" si="60"/>
        <v>340.5190219345925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257.96727373333601</v>
      </c>
      <c r="BJ119" s="59">
        <f t="shared" si="92"/>
        <v>194.52809733694494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81.392507831419891</v>
      </c>
      <c r="BQ119" s="21">
        <f>EXP(-LN(2)/25)*BQ118+(1-EXP(-LN(2)/25))/(LN(2)/25)*Calculateur!BL119*Calculateur!BN119*VLOOKUP('Données projet'!$B$11,Paramètres!$A$1:$I$89,3,0)*0.475*44/12</f>
        <v>27.462504091785789</v>
      </c>
      <c r="BR119" s="21">
        <f>EXP(-LN(2)/2)*BR118+(1-EXP(-LN(2)/2))/(LN(2)/2)*BL119*BO119*VLOOKUP('Données projet'!$B$11,Paramètres!$A$1:$I$89,3,0)*0.475*44/12</f>
        <v>2.9570771037847423E-4</v>
      </c>
      <c r="BS119" s="22">
        <f t="shared" si="63"/>
        <v>108.85530763091606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355.23615781077405</v>
      </c>
      <c r="T120" s="59">
        <f t="shared" si="88"/>
        <v>448.84541017639367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82.283511367923197</v>
      </c>
      <c r="AA120" s="21">
        <f>EXP(-LN(2)/25)*AA119+(1-EXP(-LN(2)/25))/(LN(2)/25)*Calculateur!V120*Calculateur!X120*VLOOKUP('Données projet'!$B$9,Paramètres!$A$1:$I$89,3,0)*0.475*44/12</f>
        <v>12.484576004438539</v>
      </c>
      <c r="AB120" s="21">
        <f>EXP(-LN(2)/2)*AB119+(1-EXP(-LN(2)/2))/(LN(2)/2)*V120*Y120*VLOOKUP('Données projet'!$B$9,Paramètres!$A$1:$I$89,3,0)*0.475*44/12</f>
        <v>1.137659613279022E-7</v>
      </c>
      <c r="AC120" s="22">
        <f t="shared" si="57"/>
        <v>94.768087486127698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-6.8212102632969618E-13</v>
      </c>
      <c r="AJ120" s="13">
        <f>AI120*VLOOKUP('Données projet'!$B$10,Paramètres!$A$1:$I$89,3,0)*VLOOKUP('Données projet'!$B$10,Paramètres!$A$1:$I$89,5,0)</f>
        <v>-3.1923264032229784E-13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402.38496642820587</v>
      </c>
      <c r="AO120" s="59">
        <f t="shared" si="90"/>
        <v>196.65158751478987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278.27248486535467</v>
      </c>
      <c r="AV120" s="21">
        <f>EXP(-LN(2)/25)*AV119+(1-EXP(-LN(2)/25))/(LN(2)/25)*Calculateur!AQ120*Calculateur!AS120*VLOOKUP('Données projet'!$B$10,Paramètres!$A$1:$I$89,3,0)*0.475*44/12</f>
        <v>54.871383758922732</v>
      </c>
      <c r="AW120" s="21">
        <f>EXP(-LN(2)/2)*AW119+(1-EXP(-LN(2)/2))/(LN(2)/2)*AQ120*AT120*VLOOKUP('Données projet'!$B$10,Paramètres!$A$1:$I$89,3,0)*0.475*44/12</f>
        <v>0.18852257614295487</v>
      </c>
      <c r="AX120" s="21">
        <f t="shared" si="60"/>
        <v>333.33239120042032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257.96727373333601</v>
      </c>
      <c r="BJ120" s="59">
        <f t="shared" si="92"/>
        <v>194.52809733694494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79.796450397373533</v>
      </c>
      <c r="BQ120" s="21">
        <f>EXP(-LN(2)/25)*BQ119+(1-EXP(-LN(2)/25))/(LN(2)/25)*Calculateur!BL120*Calculateur!BN120*VLOOKUP('Données projet'!$B$11,Paramètres!$A$1:$I$89,3,0)*0.475*44/12</f>
        <v>26.711540473205584</v>
      </c>
      <c r="BR120" s="21">
        <f>EXP(-LN(2)/2)*BR119+(1-EXP(-LN(2)/2))/(LN(2)/2)*BL120*BO120*VLOOKUP('Données projet'!$B$11,Paramètres!$A$1:$I$89,3,0)*0.475*44/12</f>
        <v>2.0909692725776675E-4</v>
      </c>
      <c r="BS120" s="22">
        <f t="shared" si="63"/>
        <v>106.50819996750639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355.23615781077405</v>
      </c>
      <c r="T121" s="59">
        <f t="shared" si="88"/>
        <v>448.84541017639367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80.669981897984499</v>
      </c>
      <c r="AA121" s="21">
        <f>EXP(-LN(2)/25)*AA120+(1-EXP(-LN(2)/25))/(LN(2)/25)*Calculateur!V121*Calculateur!X121*VLOOKUP('Données projet'!$B$9,Paramètres!$A$1:$I$89,3,0)*0.475*44/12</f>
        <v>12.143184617061848</v>
      </c>
      <c r="AB121" s="21">
        <f>EXP(-LN(2)/2)*AB120+(1-EXP(-LN(2)/2))/(LN(2)/2)*V121*Y121*VLOOKUP('Données projet'!$B$9,Paramètres!$A$1:$I$89,3,0)*0.475*44/12</f>
        <v>8.0444682723166172E-8</v>
      </c>
      <c r="AC121" s="22">
        <f t="shared" si="57"/>
        <v>92.813166595491026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-6.8212102632969618E-13</v>
      </c>
      <c r="AJ121" s="13">
        <f>AI121*VLOOKUP('Données projet'!$B$10,Paramètres!$A$1:$I$89,3,0)*VLOOKUP('Données projet'!$B$10,Paramètres!$A$1:$I$89,5,0)</f>
        <v>-3.1923264032229784E-13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402.38496642820587</v>
      </c>
      <c r="AO121" s="59">
        <f t="shared" si="90"/>
        <v>196.65158751478987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272.81573116660144</v>
      </c>
      <c r="AV121" s="21">
        <f>EXP(-LN(2)/25)*AV120+(1-EXP(-LN(2)/25))/(LN(2)/25)*Calculateur!AQ121*Calculateur!AS121*VLOOKUP('Données projet'!$B$10,Paramètres!$A$1:$I$89,3,0)*0.475*44/12</f>
        <v>53.370922884474332</v>
      </c>
      <c r="AW121" s="21">
        <f>EXP(-LN(2)/2)*AW120+(1-EXP(-LN(2)/2))/(LN(2)/2)*AQ121*AT121*VLOOKUP('Données projet'!$B$10,Paramètres!$A$1:$I$89,3,0)*0.475*44/12</f>
        <v>0.13330559199744063</v>
      </c>
      <c r="AX121" s="21">
        <f t="shared" si="60"/>
        <v>326.31995964307322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257.96727373333601</v>
      </c>
      <c r="BJ121" s="59">
        <f t="shared" si="92"/>
        <v>194.52809733694494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78.23169067610992</v>
      </c>
      <c r="BQ121" s="21">
        <f>EXP(-LN(2)/25)*BQ120+(1-EXP(-LN(2)/25))/(LN(2)/25)*Calculateur!BL121*Calculateur!BN121*VLOOKUP('Données projet'!$B$11,Paramètres!$A$1:$I$89,3,0)*0.475*44/12</f>
        <v>25.981111994266914</v>
      </c>
      <c r="BR121" s="21">
        <f>EXP(-LN(2)/2)*BR120+(1-EXP(-LN(2)/2))/(LN(2)/2)*BL121*BO121*VLOOKUP('Données projet'!$B$11,Paramètres!$A$1:$I$89,3,0)*0.475*44/12</f>
        <v>1.4785385518923712E-4</v>
      </c>
      <c r="BS121" s="22">
        <f t="shared" si="63"/>
        <v>104.21295052423201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355.23615781077405</v>
      </c>
      <c r="T122" s="59">
        <f t="shared" si="88"/>
        <v>448.84541017639367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79.088092756795504</v>
      </c>
      <c r="AA122" s="21">
        <f>EXP(-LN(2)/25)*AA121+(1-EXP(-LN(2)/25))/(LN(2)/25)*Calculateur!V122*Calculateur!X122*VLOOKUP('Données projet'!$B$9,Paramètres!$A$1:$I$89,3,0)*0.475*44/12</f>
        <v>11.811128595125966</v>
      </c>
      <c r="AB122" s="21">
        <f>EXP(-LN(2)/2)*AB121+(1-EXP(-LN(2)/2))/(LN(2)/2)*V122*Y122*VLOOKUP('Données projet'!$B$9,Paramètres!$A$1:$I$89,3,0)*0.475*44/12</f>
        <v>5.6882980663951104E-8</v>
      </c>
      <c r="AC122" s="22">
        <f t="shared" si="57"/>
        <v>90.899221408804451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-6.8212102632969618E-13</v>
      </c>
      <c r="AJ122" s="13">
        <f>AI122*VLOOKUP('Données projet'!$B$10,Paramètres!$A$1:$I$89,3,0)*VLOOKUP('Données projet'!$B$10,Paramètres!$A$1:$I$89,5,0)</f>
        <v>-3.1923264032229784E-13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402.38496642820587</v>
      </c>
      <c r="AO122" s="59">
        <f t="shared" si="90"/>
        <v>196.65158751478987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267.46598107958965</v>
      </c>
      <c r="AV122" s="21">
        <f>EXP(-LN(2)/25)*AV121+(1-EXP(-LN(2)/25))/(LN(2)/25)*Calculateur!AQ122*Calculateur!AS122*VLOOKUP('Données projet'!$B$10,Paramètres!$A$1:$I$89,3,0)*0.475*44/12</f>
        <v>51.91149219154353</v>
      </c>
      <c r="AW122" s="21">
        <f>EXP(-LN(2)/2)*AW121+(1-EXP(-LN(2)/2))/(LN(2)/2)*AQ122*AT122*VLOOKUP('Données projet'!$B$10,Paramètres!$A$1:$I$89,3,0)*0.475*44/12</f>
        <v>9.4261288071477434E-2</v>
      </c>
      <c r="AX122" s="21">
        <f t="shared" si="60"/>
        <v>319.47173455920466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257.96727373333601</v>
      </c>
      <c r="BJ122" s="59">
        <f t="shared" si="92"/>
        <v>194.52809733694494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76.697614938571093</v>
      </c>
      <c r="BQ122" s="21">
        <f>EXP(-LN(2)/25)*BQ121+(1-EXP(-LN(2)/25))/(LN(2)/25)*Calculateur!BL122*Calculateur!BN122*VLOOKUP('Données projet'!$B$11,Paramètres!$A$1:$I$89,3,0)*0.475*44/12</f>
        <v>25.270657120496388</v>
      </c>
      <c r="BR122" s="21">
        <f>EXP(-LN(2)/2)*BR121+(1-EXP(-LN(2)/2))/(LN(2)/2)*BL122*BO122*VLOOKUP('Données projet'!$B$11,Paramètres!$A$1:$I$89,3,0)*0.475*44/12</f>
        <v>1.0454846362888337E-4</v>
      </c>
      <c r="BS122" s="22">
        <f t="shared" si="63"/>
        <v>101.96837660753111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355.23615781077405</v>
      </c>
      <c r="T123" s="59">
        <f t="shared" si="88"/>
        <v>448.84541017639367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77.537223496808124</v>
      </c>
      <c r="AA123" s="21">
        <f>EXP(-LN(2)/25)*AA122+(1-EXP(-LN(2)/25))/(LN(2)/25)*Calculateur!V123*Calculateur!X123*VLOOKUP('Données projet'!$B$9,Paramètres!$A$1:$I$89,3,0)*0.475*44/12</f>
        <v>11.488152662571988</v>
      </c>
      <c r="AB123" s="21">
        <f>EXP(-LN(2)/2)*AB122+(1-EXP(-LN(2)/2))/(LN(2)/2)*V123*Y123*VLOOKUP('Données projet'!$B$9,Paramètres!$A$1:$I$89,3,0)*0.475*44/12</f>
        <v>4.0222341361583093E-8</v>
      </c>
      <c r="AC123" s="22">
        <f t="shared" si="57"/>
        <v>89.025376199602462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-6.8212102632969618E-13</v>
      </c>
      <c r="AJ123" s="13">
        <f>AI123*VLOOKUP('Données projet'!$B$10,Paramètres!$A$1:$I$89,3,0)*VLOOKUP('Données projet'!$B$10,Paramètres!$A$1:$I$89,5,0)</f>
        <v>-3.1923264032229784E-13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402.38496642820587</v>
      </c>
      <c r="AO123" s="59">
        <f t="shared" si="90"/>
        <v>196.65158751478987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262.2211363287588</v>
      </c>
      <c r="AV123" s="21">
        <f>EXP(-LN(2)/25)*AV122+(1-EXP(-LN(2)/25))/(LN(2)/25)*Calculateur!AQ123*Calculateur!AS123*VLOOKUP('Données projet'!$B$10,Paramètres!$A$1:$I$89,3,0)*0.475*44/12</f>
        <v>50.491969707659045</v>
      </c>
      <c r="AW123" s="21">
        <f>EXP(-LN(2)/2)*AW122+(1-EXP(-LN(2)/2))/(LN(2)/2)*AQ123*AT123*VLOOKUP('Données projet'!$B$10,Paramètres!$A$1:$I$89,3,0)*0.475*44/12</f>
        <v>6.6652795998720316E-2</v>
      </c>
      <c r="AX123" s="21">
        <f t="shared" si="60"/>
        <v>312.77975883241658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257.96727373333601</v>
      </c>
      <c r="BJ123" s="59">
        <f t="shared" si="92"/>
        <v>194.52809733694494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75.193621490551593</v>
      </c>
      <c r="BQ123" s="21">
        <f>EXP(-LN(2)/25)*BQ122+(1-EXP(-LN(2)/25))/(LN(2)/25)*Calculateur!BL123*Calculateur!BN123*VLOOKUP('Données projet'!$B$11,Paramètres!$A$1:$I$89,3,0)*0.475*44/12</f>
        <v>24.579629672610313</v>
      </c>
      <c r="BR123" s="21">
        <f>EXP(-LN(2)/2)*BR122+(1-EXP(-LN(2)/2))/(LN(2)/2)*BL123*BO123*VLOOKUP('Données projet'!$B$11,Paramètres!$A$1:$I$89,3,0)*0.475*44/12</f>
        <v>7.3926927594618558E-5</v>
      </c>
      <c r="BS123" s="22">
        <f t="shared" si="63"/>
        <v>99.7733250900895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355.23615781077405</v>
      </c>
      <c r="T124" s="59">
        <f t="shared" si="88"/>
        <v>448.84541017639367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76.016765837072256</v>
      </c>
      <c r="AA124" s="21">
        <f>EXP(-LN(2)/25)*AA123+(1-EXP(-LN(2)/25))/(LN(2)/25)*Calculateur!V124*Calculateur!X124*VLOOKUP('Données projet'!$B$9,Paramètres!$A$1:$I$89,3,0)*0.475*44/12</f>
        <v>11.174008523878264</v>
      </c>
      <c r="AB124" s="21">
        <f>EXP(-LN(2)/2)*AB123+(1-EXP(-LN(2)/2))/(LN(2)/2)*V124*Y124*VLOOKUP('Données projet'!$B$9,Paramètres!$A$1:$I$89,3,0)*0.475*44/12</f>
        <v>2.8441490331975559E-8</v>
      </c>
      <c r="AC124" s="22">
        <f t="shared" si="57"/>
        <v>87.190774389392004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-6.8212102632969618E-13</v>
      </c>
      <c r="AJ124" s="13">
        <f>AI124*VLOOKUP('Données projet'!$B$10,Paramètres!$A$1:$I$89,3,0)*VLOOKUP('Données projet'!$B$10,Paramètres!$A$1:$I$89,5,0)</f>
        <v>-3.1923264032229784E-13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402.38496642820587</v>
      </c>
      <c r="AO124" s="59">
        <f t="shared" si="90"/>
        <v>196.65158751478987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257.07913978445231</v>
      </c>
      <c r="AV124" s="21">
        <f>EXP(-LN(2)/25)*AV123+(1-EXP(-LN(2)/25))/(LN(2)/25)*Calculateur!AQ124*Calculateur!AS124*VLOOKUP('Données projet'!$B$10,Paramètres!$A$1:$I$89,3,0)*0.475*44/12</f>
        <v>49.111264140745824</v>
      </c>
      <c r="AW124" s="21">
        <f>EXP(-LN(2)/2)*AW123+(1-EXP(-LN(2)/2))/(LN(2)/2)*AQ124*AT124*VLOOKUP('Données projet'!$B$10,Paramètres!$A$1:$I$89,3,0)*0.475*44/12</f>
        <v>4.7130644035738717E-2</v>
      </c>
      <c r="AX124" s="21">
        <f t="shared" si="60"/>
        <v>306.2375345692339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257.96727373333601</v>
      </c>
      <c r="BJ124" s="59">
        <f t="shared" si="92"/>
        <v>194.52809733694494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73.719120436702326</v>
      </c>
      <c r="BQ124" s="21">
        <f>EXP(-LN(2)/25)*BQ123+(1-EXP(-LN(2)/25))/(LN(2)/25)*Calculateur!BL124*Calculateur!BN124*VLOOKUP('Données projet'!$B$11,Paramètres!$A$1:$I$89,3,0)*0.475*44/12</f>
        <v>23.907498406626235</v>
      </c>
      <c r="BR124" s="21">
        <f>EXP(-LN(2)/2)*BR123+(1-EXP(-LN(2)/2))/(LN(2)/2)*BL124*BO124*VLOOKUP('Données projet'!$B$11,Paramètres!$A$1:$I$89,3,0)*0.475*44/12</f>
        <v>5.2274231814441687E-5</v>
      </c>
      <c r="BS124" s="22">
        <f t="shared" si="63"/>
        <v>97.626671117560377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355.23615781077405</v>
      </c>
      <c r="T125" s="59">
        <f t="shared" si="88"/>
        <v>448.84541017639367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74.526123424656205</v>
      </c>
      <c r="AA125" s="21">
        <f>EXP(-LN(2)/25)*AA124+(1-EXP(-LN(2)/25))/(LN(2)/25)*Calculateur!V125*Calculateur!X125*VLOOKUP('Données projet'!$B$9,Paramètres!$A$1:$I$89,3,0)*0.475*44/12</f>
        <v>10.868454673177244</v>
      </c>
      <c r="AB125" s="21">
        <f>EXP(-LN(2)/2)*AB124+(1-EXP(-LN(2)/2))/(LN(2)/2)*V125*Y125*VLOOKUP('Données projet'!$B$9,Paramètres!$A$1:$I$89,3,0)*0.475*44/12</f>
        <v>2.011117068079155E-8</v>
      </c>
      <c r="AC125" s="22">
        <f t="shared" si="57"/>
        <v>85.394578117944619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-6.8212102632969618E-13</v>
      </c>
      <c r="AJ125" s="13">
        <f>AI125*VLOOKUP('Données projet'!$B$10,Paramètres!$A$1:$I$89,3,0)*VLOOKUP('Données projet'!$B$10,Paramètres!$A$1:$I$89,5,0)</f>
        <v>-3.1923264032229784E-13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402.38496642820587</v>
      </c>
      <c r="AO125" s="59">
        <f t="shared" si="90"/>
        <v>196.65158751478987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252.03797465607147</v>
      </c>
      <c r="AV125" s="21">
        <f>EXP(-LN(2)/25)*AV124+(1-EXP(-LN(2)/25))/(LN(2)/25)*Calculateur!AQ125*Calculateur!AS125*VLOOKUP('Données projet'!$B$10,Paramètres!$A$1:$I$89,3,0)*0.475*44/12</f>
        <v>47.768314040167994</v>
      </c>
      <c r="AW125" s="21">
        <f>EXP(-LN(2)/2)*AW124+(1-EXP(-LN(2)/2))/(LN(2)/2)*AQ125*AT125*VLOOKUP('Données projet'!$B$10,Paramètres!$A$1:$I$89,3,0)*0.475*44/12</f>
        <v>3.3326397999360158E-2</v>
      </c>
      <c r="AX125" s="21">
        <f t="shared" si="60"/>
        <v>299.83961509423881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257.96727373333601</v>
      </c>
      <c r="BJ125" s="59">
        <f t="shared" si="92"/>
        <v>194.52809733694494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72.273533449162215</v>
      </c>
      <c r="BQ125" s="21">
        <f>EXP(-LN(2)/25)*BQ124+(1-EXP(-LN(2)/25))/(LN(2)/25)*Calculateur!BL125*Calculateur!BN125*VLOOKUP('Données projet'!$B$11,Paramètres!$A$1:$I$89,3,0)*0.475*44/12</f>
        <v>23.253746605456342</v>
      </c>
      <c r="BR125" s="21">
        <f>EXP(-LN(2)/2)*BR124+(1-EXP(-LN(2)/2))/(LN(2)/2)*BL125*BO125*VLOOKUP('Données projet'!$B$11,Paramètres!$A$1:$I$89,3,0)*0.475*44/12</f>
        <v>3.6963463797309279E-5</v>
      </c>
      <c r="BS125" s="22">
        <f t="shared" si="63"/>
        <v>95.527317018082357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355.23615781077405</v>
      </c>
      <c r="T126" s="59">
        <f t="shared" si="88"/>
        <v>448.84541017639367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73.064711600745539</v>
      </c>
      <c r="AA126" s="21">
        <f>EXP(-LN(2)/25)*AA125+(1-EXP(-LN(2)/25))/(LN(2)/25)*Calculateur!V126*Calculateur!X126*VLOOKUP('Données projet'!$B$9,Paramètres!$A$1:$I$89,3,0)*0.475*44/12</f>
        <v>10.57125620859202</v>
      </c>
      <c r="AB126" s="21">
        <f>EXP(-LN(2)/2)*AB125+(1-EXP(-LN(2)/2))/(LN(2)/2)*V126*Y126*VLOOKUP('Données projet'!$B$9,Paramètres!$A$1:$I$89,3,0)*0.475*44/12</f>
        <v>1.4220745165987781E-8</v>
      </c>
      <c r="AC126" s="22">
        <f t="shared" si="57"/>
        <v>83.635967823558303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-6.8212102632969618E-13</v>
      </c>
      <c r="AJ126" s="13">
        <f>AI126*VLOOKUP('Données projet'!$B$10,Paramètres!$A$1:$I$89,3,0)*VLOOKUP('Données projet'!$B$10,Paramètres!$A$1:$I$89,5,0)</f>
        <v>-3.1923264032229784E-13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402.38496642820587</v>
      </c>
      <c r="AO126" s="59">
        <f t="shared" si="90"/>
        <v>196.65158751478987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247.09566370105108</v>
      </c>
      <c r="AV126" s="21">
        <f>EXP(-LN(2)/25)*AV125+(1-EXP(-LN(2)/25))/(LN(2)/25)*Calculateur!AQ126*Calculateur!AS126*VLOOKUP('Données projet'!$B$10,Paramètres!$A$1:$I$89,3,0)*0.475*44/12</f>
        <v>46.462086980713138</v>
      </c>
      <c r="AW126" s="21">
        <f>EXP(-LN(2)/2)*AW125+(1-EXP(-LN(2)/2))/(LN(2)/2)*AQ126*AT126*VLOOKUP('Données projet'!$B$10,Paramètres!$A$1:$I$89,3,0)*0.475*44/12</f>
        <v>2.3565322017869358E-2</v>
      </c>
      <c r="AX126" s="21">
        <f t="shared" si="60"/>
        <v>293.58131600378209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257.96727373333601</v>
      </c>
      <c r="BJ126" s="59">
        <f t="shared" si="92"/>
        <v>194.52809733694494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70.856293540726767</v>
      </c>
      <c r="BQ126" s="21">
        <f>EXP(-LN(2)/25)*BQ125+(1-EXP(-LN(2)/25))/(LN(2)/25)*Calculateur!BL126*Calculateur!BN126*VLOOKUP('Données projet'!$B$11,Paramètres!$A$1:$I$89,3,0)*0.475*44/12</f>
        <v>22.617871681668753</v>
      </c>
      <c r="BR126" s="21">
        <f>EXP(-LN(2)/2)*BR125+(1-EXP(-LN(2)/2))/(LN(2)/2)*BL126*BO126*VLOOKUP('Données projet'!$B$11,Paramètres!$A$1:$I$89,3,0)*0.475*44/12</f>
        <v>2.6137115907220844E-5</v>
      </c>
      <c r="BS126" s="22">
        <f t="shared" si="63"/>
        <v>93.474191359511437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355.23615781077405</v>
      </c>
      <c r="T127" s="59">
        <f t="shared" si="88"/>
        <v>448.84541017639367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71.631957171328565</v>
      </c>
      <c r="AA127" s="21">
        <f>EXP(-LN(2)/25)*AA126+(1-EXP(-LN(2)/25))/(LN(2)/25)*Calculateur!V127*Calculateur!X127*VLOOKUP('Données projet'!$B$9,Paramètres!$A$1:$I$89,3,0)*0.475*44/12</f>
        <v>10.282184651649867</v>
      </c>
      <c r="AB127" s="21">
        <f>EXP(-LN(2)/2)*AB126+(1-EXP(-LN(2)/2))/(LN(2)/2)*V127*Y127*VLOOKUP('Données projet'!$B$9,Paramètres!$A$1:$I$89,3,0)*0.475*44/12</f>
        <v>1.0055585340395776E-8</v>
      </c>
      <c r="AC127" s="22">
        <f t="shared" si="57"/>
        <v>81.914141833034023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-6.8212102632969618E-13</v>
      </c>
      <c r="AJ127" s="13">
        <f>AI127*VLOOKUP('Données projet'!$B$10,Paramètres!$A$1:$I$89,3,0)*VLOOKUP('Données projet'!$B$10,Paramètres!$A$1:$I$89,5,0)</f>
        <v>-3.1923264032229784E-13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402.38496642820587</v>
      </c>
      <c r="AO127" s="59">
        <f t="shared" si="90"/>
        <v>196.65158751478987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242.25026844934661</v>
      </c>
      <c r="AV127" s="21">
        <f>EXP(-LN(2)/25)*AV126+(1-EXP(-LN(2)/25))/(LN(2)/25)*Calculateur!AQ127*Calculateur!AS127*VLOOKUP('Données projet'!$B$10,Paramètres!$A$1:$I$89,3,0)*0.475*44/12</f>
        <v>45.191578768890572</v>
      </c>
      <c r="AW127" s="21">
        <f>EXP(-LN(2)/2)*AW126+(1-EXP(-LN(2)/2))/(LN(2)/2)*AQ127*AT127*VLOOKUP('Données projet'!$B$10,Paramètres!$A$1:$I$89,3,0)*0.475*44/12</f>
        <v>1.6663198999680079E-2</v>
      </c>
      <c r="AX127" s="21">
        <f t="shared" si="60"/>
        <v>287.45851041723682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257.96727373333601</v>
      </c>
      <c r="BJ127" s="59">
        <f t="shared" si="92"/>
        <v>194.52809733694494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69.466844842464752</v>
      </c>
      <c r="BQ127" s="21">
        <f>EXP(-LN(2)/25)*BQ126+(1-EXP(-LN(2)/25))/(LN(2)/25)*Calculateur!BL127*Calculateur!BN127*VLOOKUP('Données projet'!$B$11,Paramètres!$A$1:$I$89,3,0)*0.475*44/12</f>
        <v>21.999384791111343</v>
      </c>
      <c r="BR127" s="21">
        <f>EXP(-LN(2)/2)*BR126+(1-EXP(-LN(2)/2))/(LN(2)/2)*BL127*BO127*VLOOKUP('Données projet'!$B$11,Paramètres!$A$1:$I$89,3,0)*0.475*44/12</f>
        <v>1.8481731898654639E-5</v>
      </c>
      <c r="BS127" s="22">
        <f t="shared" si="63"/>
        <v>91.466248115307991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355.23615781077405</v>
      </c>
      <c r="T128" s="59">
        <f t="shared" si="88"/>
        <v>448.84541017639367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70.227298182378547</v>
      </c>
      <c r="AA128" s="21">
        <f>EXP(-LN(2)/25)*AA127+(1-EXP(-LN(2)/25))/(LN(2)/25)*Calculateur!V128*Calculateur!X128*VLOOKUP('Données projet'!$B$9,Paramètres!$A$1:$I$89,3,0)*0.475*44/12</f>
        <v>10.001017771633911</v>
      </c>
      <c r="AB128" s="21">
        <f>EXP(-LN(2)/2)*AB127+(1-EXP(-LN(2)/2))/(LN(2)/2)*V128*Y128*VLOOKUP('Données projet'!$B$9,Paramètres!$A$1:$I$89,3,0)*0.475*44/12</f>
        <v>7.1103725829938922E-9</v>
      </c>
      <c r="AC128" s="22">
        <f t="shared" si="57"/>
        <v>80.228315961122831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-6.8212102632969618E-13</v>
      </c>
      <c r="AJ128" s="13">
        <f>AI128*VLOOKUP('Données projet'!$B$10,Paramètres!$A$1:$I$89,3,0)*VLOOKUP('Données projet'!$B$10,Paramètres!$A$1:$I$89,5,0)</f>
        <v>-3.1923264032229784E-13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402.38496642820587</v>
      </c>
      <c r="AO128" s="59">
        <f t="shared" si="90"/>
        <v>196.65158751478987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237.49988844312878</v>
      </c>
      <c r="AV128" s="21">
        <f>EXP(-LN(2)/25)*AV127+(1-EXP(-LN(2)/25))/(LN(2)/25)*Calculateur!AQ128*Calculateur!AS128*VLOOKUP('Données projet'!$B$10,Paramètres!$A$1:$I$89,3,0)*0.475*44/12</f>
        <v>43.955812670933419</v>
      </c>
      <c r="AW128" s="21">
        <f>EXP(-LN(2)/2)*AW127+(1-EXP(-LN(2)/2))/(LN(2)/2)*AQ128*AT128*VLOOKUP('Données projet'!$B$10,Paramètres!$A$1:$I$89,3,0)*0.475*44/12</f>
        <v>1.1782661008934679E-2</v>
      </c>
      <c r="AX128" s="21">
        <f t="shared" si="60"/>
        <v>281.46748377507112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257.96727373333601</v>
      </c>
      <c r="BJ128" s="59">
        <f t="shared" si="92"/>
        <v>194.52809733694494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68.104642385695627</v>
      </c>
      <c r="BQ128" s="21">
        <f>EXP(-LN(2)/25)*BQ127+(1-EXP(-LN(2)/25))/(LN(2)/25)*Calculateur!BL128*Calculateur!BN128*VLOOKUP('Données projet'!$B$11,Paramètres!$A$1:$I$89,3,0)*0.475*44/12</f>
        <v>21.397810457101038</v>
      </c>
      <c r="BR128" s="21">
        <f>EXP(-LN(2)/2)*BR127+(1-EXP(-LN(2)/2))/(LN(2)/2)*BL128*BO128*VLOOKUP('Données projet'!$B$11,Paramètres!$A$1:$I$89,3,0)*0.475*44/12</f>
        <v>1.3068557953610422E-5</v>
      </c>
      <c r="BS128" s="22">
        <f t="shared" si="63"/>
        <v>89.502465911354605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355.23615781077405</v>
      </c>
      <c r="T129" s="59">
        <f t="shared" si="88"/>
        <v>448.84541017639367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68.850183699444443</v>
      </c>
      <c r="AA129" s="21">
        <f>EXP(-LN(2)/25)*AA128+(1-EXP(-LN(2)/25))/(LN(2)/25)*Calculateur!V129*Calculateur!X129*VLOOKUP('Données projet'!$B$9,Paramètres!$A$1:$I$89,3,0)*0.475*44/12</f>
        <v>9.7275394147379153</v>
      </c>
      <c r="AB129" s="21">
        <f>EXP(-LN(2)/2)*AB128+(1-EXP(-LN(2)/2))/(LN(2)/2)*V129*Y129*VLOOKUP('Données projet'!$B$9,Paramètres!$A$1:$I$89,3,0)*0.475*44/12</f>
        <v>5.0277926701978891E-9</v>
      </c>
      <c r="AC129" s="22">
        <f t="shared" si="57"/>
        <v>78.577723119210148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-6.8212102632969618E-13</v>
      </c>
      <c r="AJ129" s="13">
        <f>AI129*VLOOKUP('Données projet'!$B$10,Paramètres!$A$1:$I$89,3,0)*VLOOKUP('Données projet'!$B$10,Paramètres!$A$1:$I$89,5,0)</f>
        <v>-3.1923264032229784E-13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402.38496642820587</v>
      </c>
      <c r="AO129" s="59">
        <f t="shared" si="90"/>
        <v>196.65158751478987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232.84266049138716</v>
      </c>
      <c r="AV129" s="21">
        <f>EXP(-LN(2)/25)*AV128+(1-EXP(-LN(2)/25))/(LN(2)/25)*Calculateur!AQ129*Calculateur!AS129*VLOOKUP('Données projet'!$B$10,Paramètres!$A$1:$I$89,3,0)*0.475*44/12</f>
        <v>42.753838661911018</v>
      </c>
      <c r="AW129" s="21">
        <f>EXP(-LN(2)/2)*AW128+(1-EXP(-LN(2)/2))/(LN(2)/2)*AQ129*AT129*VLOOKUP('Données projet'!$B$10,Paramètres!$A$1:$I$89,3,0)*0.475*44/12</f>
        <v>8.3315994998400394E-3</v>
      </c>
      <c r="AX129" s="21">
        <f t="shared" si="60"/>
        <v>275.60483075279802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257.96727373333601</v>
      </c>
      <c r="BJ129" s="59">
        <f t="shared" si="92"/>
        <v>194.52809733694494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66.769151888242277</v>
      </c>
      <c r="BQ129" s="21">
        <f>EXP(-LN(2)/25)*BQ128+(1-EXP(-LN(2)/25))/(LN(2)/25)*Calculateur!BL129*Calculateur!BN129*VLOOKUP('Données projet'!$B$11,Paramètres!$A$1:$I$89,3,0)*0.475*44/12</f>
        <v>20.812686204889662</v>
      </c>
      <c r="BR129" s="21">
        <f>EXP(-LN(2)/2)*BR128+(1-EXP(-LN(2)/2))/(LN(2)/2)*BL129*BO129*VLOOKUP('Données projet'!$B$11,Paramètres!$A$1:$I$89,3,0)*0.475*44/12</f>
        <v>9.2408659493273197E-6</v>
      </c>
      <c r="BS129" s="22">
        <f t="shared" si="63"/>
        <v>87.581847333997885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355.23615781077405</v>
      </c>
      <c r="T130" s="59">
        <f t="shared" si="88"/>
        <v>448.84541017639367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67.50007359156379</v>
      </c>
      <c r="AA130" s="21">
        <f>EXP(-LN(2)/25)*AA129+(1-EXP(-LN(2)/25))/(LN(2)/25)*Calculateur!V130*Calculateur!X130*VLOOKUP('Données projet'!$B$9,Paramètres!$A$1:$I$89,3,0)*0.475*44/12</f>
        <v>9.461539337892841</v>
      </c>
      <c r="AB130" s="21">
        <f>EXP(-LN(2)/2)*AB129+(1-EXP(-LN(2)/2))/(LN(2)/2)*V130*Y130*VLOOKUP('Données projet'!$B$9,Paramètres!$A$1:$I$89,3,0)*0.475*44/12</f>
        <v>3.5551862914969465E-9</v>
      </c>
      <c r="AC130" s="22">
        <f t="shared" si="57"/>
        <v>76.961612933011821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-6.8212102632969618E-13</v>
      </c>
      <c r="AJ130" s="13">
        <f>AI130*VLOOKUP('Données projet'!$B$10,Paramètres!$A$1:$I$89,3,0)*VLOOKUP('Données projet'!$B$10,Paramètres!$A$1:$I$89,5,0)</f>
        <v>-3.1923264032229784E-13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402.38496642820587</v>
      </c>
      <c r="AO130" s="59">
        <f t="shared" si="90"/>
        <v>196.65158751478987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228.27675793915066</v>
      </c>
      <c r="AV130" s="21">
        <f>EXP(-LN(2)/25)*AV129+(1-EXP(-LN(2)/25))/(LN(2)/25)*Calculateur!AQ130*Calculateur!AS130*VLOOKUP('Données projet'!$B$10,Paramètres!$A$1:$I$89,3,0)*0.475*44/12</f>
        <v>41.584732695374399</v>
      </c>
      <c r="AW130" s="21">
        <f>EXP(-LN(2)/2)*AW129+(1-EXP(-LN(2)/2))/(LN(2)/2)*AQ130*AT130*VLOOKUP('Données projet'!$B$10,Paramètres!$A$1:$I$89,3,0)*0.475*44/12</f>
        <v>5.8913305044673396E-3</v>
      </c>
      <c r="AX130" s="21">
        <f t="shared" si="60"/>
        <v>269.86738196502955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257.96727373333601</v>
      </c>
      <c r="BJ130" s="59">
        <f t="shared" si="92"/>
        <v>194.52809733694494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65.459849544875226</v>
      </c>
      <c r="BQ130" s="21">
        <f>EXP(-LN(2)/25)*BQ129+(1-EXP(-LN(2)/25))/(LN(2)/25)*Calculateur!BL130*Calculateur!BN130*VLOOKUP('Données projet'!$B$11,Paramètres!$A$1:$I$89,3,0)*0.475*44/12</f>
        <v>20.243562206125354</v>
      </c>
      <c r="BR130" s="21">
        <f>EXP(-LN(2)/2)*BR129+(1-EXP(-LN(2)/2))/(LN(2)/2)*BL130*BO130*VLOOKUP('Données projet'!$B$11,Paramètres!$A$1:$I$89,3,0)*0.475*44/12</f>
        <v>6.5342789768052109E-6</v>
      </c>
      <c r="BS130" s="22">
        <f t="shared" si="63"/>
        <v>85.703418285279554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355.23615781077405</v>
      </c>
      <c r="T131" s="59">
        <f t="shared" si="88"/>
        <v>448.84541017639367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66.176438319412824</v>
      </c>
      <c r="AA131" s="21">
        <f>EXP(-LN(2)/25)*AA130+(1-EXP(-LN(2)/25))/(LN(2)/25)*Calculateur!V131*Calculateur!X131*VLOOKUP('Données projet'!$B$9,Paramètres!$A$1:$I$89,3,0)*0.475*44/12</f>
        <v>9.2028130471374325</v>
      </c>
      <c r="AB131" s="21">
        <f>EXP(-LN(2)/2)*AB130+(1-EXP(-LN(2)/2))/(LN(2)/2)*V131*Y131*VLOOKUP('Données projet'!$B$9,Paramètres!$A$1:$I$89,3,0)*0.475*44/12</f>
        <v>2.513896335098945E-9</v>
      </c>
      <c r="AC131" s="22">
        <f t="shared" si="57"/>
        <v>75.37925136906415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-6.8212102632969618E-13</v>
      </c>
      <c r="AJ131" s="13">
        <f>AI131*VLOOKUP('Données projet'!$B$10,Paramètres!$A$1:$I$89,3,0)*VLOOKUP('Données projet'!$B$10,Paramètres!$A$1:$I$89,5,0)</f>
        <v>-3.1923264032229784E-13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402.38496642820587</v>
      </c>
      <c r="AO131" s="59">
        <f t="shared" si="90"/>
        <v>196.65158751478987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223.80038995103794</v>
      </c>
      <c r="AV131" s="21">
        <f>EXP(-LN(2)/25)*AV130+(1-EXP(-LN(2)/25))/(LN(2)/25)*Calculateur!AQ131*Calculateur!AS131*VLOOKUP('Données projet'!$B$10,Paramètres!$A$1:$I$89,3,0)*0.475*44/12</f>
        <v>40.447595992973334</v>
      </c>
      <c r="AW131" s="21">
        <f>EXP(-LN(2)/2)*AW130+(1-EXP(-LN(2)/2))/(LN(2)/2)*AQ131*AT131*VLOOKUP('Données projet'!$B$10,Paramètres!$A$1:$I$89,3,0)*0.475*44/12</f>
        <v>4.1657997499200197E-3</v>
      </c>
      <c r="AX131" s="21">
        <f t="shared" si="60"/>
        <v>264.25215174376115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257.96727373333601</v>
      </c>
      <c r="BJ131" s="59">
        <f t="shared" si="92"/>
        <v>194.52809733694494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64.176221821866022</v>
      </c>
      <c r="BQ131" s="21">
        <f>EXP(-LN(2)/25)*BQ130+(1-EXP(-LN(2)/25))/(LN(2)/25)*Calculateur!BL131*Calculateur!BN131*VLOOKUP('Données projet'!$B$11,Paramètres!$A$1:$I$89,3,0)*0.475*44/12</f>
        <v>19.690000933036188</v>
      </c>
      <c r="BR131" s="21">
        <f>EXP(-LN(2)/2)*BR130+(1-EXP(-LN(2)/2))/(LN(2)/2)*BL131*BO131*VLOOKUP('Données projet'!$B$11,Paramètres!$A$1:$I$89,3,0)*0.475*44/12</f>
        <v>4.6204329746636599E-6</v>
      </c>
      <c r="BS131" s="22">
        <f t="shared" si="63"/>
        <v>83.866227375335185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355.23615781077405</v>
      </c>
      <c r="T132" s="59">
        <f t="shared" si="88"/>
        <v>448.84541017639367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64.878758727610929</v>
      </c>
      <c r="AA132" s="21">
        <f>EXP(-LN(2)/25)*AA131+(1-EXP(-LN(2)/25))/(LN(2)/25)*Calculateur!V132*Calculateur!X132*VLOOKUP('Données projet'!$B$9,Paramètres!$A$1:$I$89,3,0)*0.475*44/12</f>
        <v>8.9511616404085554</v>
      </c>
      <c r="AB132" s="21">
        <f>EXP(-LN(2)/2)*AB131+(1-EXP(-LN(2)/2))/(LN(2)/2)*V132*Y132*VLOOKUP('Données projet'!$B$9,Paramètres!$A$1:$I$89,3,0)*0.475*44/12</f>
        <v>1.7775931457484735E-9</v>
      </c>
      <c r="AC132" s="22">
        <f t="shared" ref="AC132:AC153" si="111">SUM(Z132:AB132)</f>
        <v>73.82992036979708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-6.8212102632969618E-13</v>
      </c>
      <c r="AJ132" s="13">
        <f>AI132*VLOOKUP('Données projet'!$B$10,Paramètres!$A$1:$I$89,3,0)*VLOOKUP('Données projet'!$B$10,Paramètres!$A$1:$I$89,5,0)</f>
        <v>-3.1923264032229784E-13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402.38496642820587</v>
      </c>
      <c r="AO132" s="59">
        <f t="shared" si="90"/>
        <v>196.65158751478987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219.41180080885724</v>
      </c>
      <c r="AV132" s="21">
        <f>EXP(-LN(2)/25)*AV131+(1-EXP(-LN(2)/25))/(LN(2)/25)*Calculateur!AQ132*Calculateur!AS132*VLOOKUP('Données projet'!$B$10,Paramètres!$A$1:$I$89,3,0)*0.475*44/12</f>
        <v>39.34155435349885</v>
      </c>
      <c r="AW132" s="21">
        <f>EXP(-LN(2)/2)*AW131+(1-EXP(-LN(2)/2))/(LN(2)/2)*AQ132*AT132*VLOOKUP('Données projet'!$B$10,Paramètres!$A$1:$I$89,3,0)*0.475*44/12</f>
        <v>2.9456652522336698E-3</v>
      </c>
      <c r="AX132" s="21">
        <f t="shared" ref="AX132:AX153" si="114">SUM(AU132:AW132)</f>
        <v>258.75630082760836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257.96727373333601</v>
      </c>
      <c r="BJ132" s="59">
        <f t="shared" si="92"/>
        <v>194.52809733694494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62.917765255569428</v>
      </c>
      <c r="BQ132" s="21">
        <f>EXP(-LN(2)/25)*BQ131+(1-EXP(-LN(2)/25))/(LN(2)/25)*Calculateur!BL132*Calculateur!BN132*VLOOKUP('Données projet'!$B$11,Paramètres!$A$1:$I$89,3,0)*0.475*44/12</f>
        <v>19.151576822070165</v>
      </c>
      <c r="BR132" s="21">
        <f>EXP(-LN(2)/2)*BR131+(1-EXP(-LN(2)/2))/(LN(2)/2)*BL132*BO132*VLOOKUP('Données projet'!$B$11,Paramètres!$A$1:$I$89,3,0)*0.475*44/12</f>
        <v>3.2671394884026055E-6</v>
      </c>
      <c r="BS132" s="22">
        <f t="shared" ref="BS132:BS153" si="117">SUM(BP132:BR132)</f>
        <v>82.06934534477908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355.23615781077405</v>
      </c>
      <c r="T133" s="59">
        <f t="shared" ref="T133:T196" si="142">$T$3</f>
        <v>448.84541017639367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63.606525841097877</v>
      </c>
      <c r="AA133" s="21">
        <f>EXP(-LN(2)/25)*AA132+(1-EXP(-LN(2)/25))/(LN(2)/25)*Calculateur!V133*Calculateur!X133*VLOOKUP('Données projet'!$B$9,Paramètres!$A$1:$I$89,3,0)*0.475*44/12</f>
        <v>8.7063916546304512</v>
      </c>
      <c r="AB133" s="21">
        <f>EXP(-LN(2)/2)*AB132+(1-EXP(-LN(2)/2))/(LN(2)/2)*V133*Y133*VLOOKUP('Données projet'!$B$9,Paramètres!$A$1:$I$89,3,0)*0.475*44/12</f>
        <v>1.2569481675494727E-9</v>
      </c>
      <c r="AC133" s="22">
        <f t="shared" si="111"/>
        <v>72.312917496985278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-6.8212102632969618E-13</v>
      </c>
      <c r="AJ133" s="13">
        <f>AI133*VLOOKUP('Données projet'!$B$10,Paramètres!$A$1:$I$89,3,0)*VLOOKUP('Données projet'!$B$10,Paramètres!$A$1:$I$89,5,0)</f>
        <v>-3.1923264032229784E-13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402.38496642820587</v>
      </c>
      <c r="AO133" s="59">
        <f t="shared" ref="AO133:AO196" si="144">$AO$3</f>
        <v>196.65158751478987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215.10926922297963</v>
      </c>
      <c r="AV133" s="21">
        <f>EXP(-LN(2)/25)*AV132+(1-EXP(-LN(2)/25))/(LN(2)/25)*Calculateur!AQ133*Calculateur!AS133*VLOOKUP('Données projet'!$B$10,Paramètres!$A$1:$I$89,3,0)*0.475*44/12</f>
        <v>38.26575748082</v>
      </c>
      <c r="AW133" s="21">
        <f>EXP(-LN(2)/2)*AW132+(1-EXP(-LN(2)/2))/(LN(2)/2)*AQ133*AT133*VLOOKUP('Données projet'!$B$10,Paramètres!$A$1:$I$89,3,0)*0.475*44/12</f>
        <v>2.0828998749600099E-3</v>
      </c>
      <c r="AX133" s="21">
        <f t="shared" si="114"/>
        <v>253.37710960367457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257.96727373333601</v>
      </c>
      <c r="BJ133" s="59">
        <f t="shared" ref="BJ133:BJ196" si="146">$BJ$3</f>
        <v>194.52809733694494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61.683986254955201</v>
      </c>
      <c r="BQ133" s="21">
        <f>EXP(-LN(2)/25)*BQ132+(1-EXP(-LN(2)/25))/(LN(2)/25)*Calculateur!BL133*Calculateur!BN133*VLOOKUP('Données projet'!$B$11,Paramètres!$A$1:$I$89,3,0)*0.475*44/12</f>
        <v>18.627875946733003</v>
      </c>
      <c r="BR133" s="21">
        <f>EXP(-LN(2)/2)*BR132+(1-EXP(-LN(2)/2))/(LN(2)/2)*BL133*BO133*VLOOKUP('Données projet'!$B$11,Paramètres!$A$1:$I$89,3,0)*0.475*44/12</f>
        <v>2.3102164873318299E-6</v>
      </c>
      <c r="BS133" s="22">
        <f t="shared" si="117"/>
        <v>80.311864511904687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355.23615781077405</v>
      </c>
      <c r="T134" s="59">
        <f t="shared" si="142"/>
        <v>448.84541017639367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62.359240665503911</v>
      </c>
      <c r="AA134" s="21">
        <f>EXP(-LN(2)/25)*AA133+(1-EXP(-LN(2)/25))/(LN(2)/25)*Calculateur!V134*Calculateur!X134*VLOOKUP('Données projet'!$B$9,Paramètres!$A$1:$I$89,3,0)*0.475*44/12</f>
        <v>8.4683149169853422</v>
      </c>
      <c r="AB134" s="21">
        <f>EXP(-LN(2)/2)*AB133+(1-EXP(-LN(2)/2))/(LN(2)/2)*V134*Y134*VLOOKUP('Données projet'!$B$9,Paramètres!$A$1:$I$89,3,0)*0.475*44/12</f>
        <v>8.8879657287423694E-10</v>
      </c>
      <c r="AC134" s="22">
        <f t="shared" si="111"/>
        <v>70.827555583378043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-6.8212102632969618E-13</v>
      </c>
      <c r="AJ134" s="13">
        <f>AI134*VLOOKUP('Données projet'!$B$10,Paramètres!$A$1:$I$89,3,0)*VLOOKUP('Données projet'!$B$10,Paramètres!$A$1:$I$89,5,0)</f>
        <v>-3.1923264032229784E-13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402.38496642820587</v>
      </c>
      <c r="AO134" s="59">
        <f t="shared" si="144"/>
        <v>196.65158751478987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210.89110765721594</v>
      </c>
      <c r="AV134" s="21">
        <f>EXP(-LN(2)/25)*AV133+(1-EXP(-LN(2)/25))/(LN(2)/25)*Calculateur!AQ134*Calculateur!AS134*VLOOKUP('Données projet'!$B$10,Paramètres!$A$1:$I$89,3,0)*0.475*44/12</f>
        <v>37.219378330198246</v>
      </c>
      <c r="AW134" s="21">
        <f>EXP(-LN(2)/2)*AW133+(1-EXP(-LN(2)/2))/(LN(2)/2)*AQ134*AT134*VLOOKUP('Données projet'!$B$10,Paramètres!$A$1:$I$89,3,0)*0.475*44/12</f>
        <v>1.4728326261168349E-3</v>
      </c>
      <c r="AX134" s="21">
        <f t="shared" si="114"/>
        <v>248.11195882004031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257.96727373333601</v>
      </c>
      <c r="BJ134" s="59">
        <f t="shared" si="146"/>
        <v>194.52809733694494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60.474400908012129</v>
      </c>
      <c r="BQ134" s="21">
        <f>EXP(-LN(2)/25)*BQ133+(1-EXP(-LN(2)/25))/(LN(2)/25)*Calculateur!BL134*Calculateur!BN134*VLOOKUP('Données projet'!$B$11,Paramètres!$A$1:$I$89,3,0)*0.475*44/12</f>
        <v>18.118495699372168</v>
      </c>
      <c r="BR134" s="21">
        <f>EXP(-LN(2)/2)*BR133+(1-EXP(-LN(2)/2))/(LN(2)/2)*BL134*BO134*VLOOKUP('Données projet'!$B$11,Paramètres!$A$1:$I$89,3,0)*0.475*44/12</f>
        <v>1.6335697442013027E-6</v>
      </c>
      <c r="BS134" s="22">
        <f t="shared" si="117"/>
        <v>78.592898240954028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355.23615781077405</v>
      </c>
      <c r="T135" s="59">
        <f t="shared" si="142"/>
        <v>448.84541017639367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61.136413991434502</v>
      </c>
      <c r="AA135" s="21">
        <f>EXP(-LN(2)/25)*AA134+(1-EXP(-LN(2)/25))/(LN(2)/25)*Calculateur!V135*Calculateur!X135*VLOOKUP('Données projet'!$B$9,Paramètres!$A$1:$I$89,3,0)*0.475*44/12</f>
        <v>8.2367484002510505</v>
      </c>
      <c r="AB135" s="21">
        <f>EXP(-LN(2)/2)*AB134+(1-EXP(-LN(2)/2))/(LN(2)/2)*V135*Y135*VLOOKUP('Données projet'!$B$9,Paramètres!$A$1:$I$89,3,0)*0.475*44/12</f>
        <v>6.2847408377473644E-10</v>
      </c>
      <c r="AC135" s="22">
        <f t="shared" si="111"/>
        <v>69.373162392314029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-6.8212102632969618E-13</v>
      </c>
      <c r="AJ135" s="13">
        <f>AI135*VLOOKUP('Données projet'!$B$10,Paramètres!$A$1:$I$89,3,0)*VLOOKUP('Données projet'!$B$10,Paramètres!$A$1:$I$89,5,0)</f>
        <v>-3.1923264032229784E-13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402.38496642820587</v>
      </c>
      <c r="AO135" s="59">
        <f t="shared" si="144"/>
        <v>196.65158751478987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206.75566166693235</v>
      </c>
      <c r="AV135" s="21">
        <f>EXP(-LN(2)/25)*AV134+(1-EXP(-LN(2)/25))/(LN(2)/25)*Calculateur!AQ135*Calculateur!AS135*VLOOKUP('Données projet'!$B$10,Paramètres!$A$1:$I$89,3,0)*0.475*44/12</f>
        <v>36.201612472476938</v>
      </c>
      <c r="AW135" s="21">
        <f>EXP(-LN(2)/2)*AW134+(1-EXP(-LN(2)/2))/(LN(2)/2)*AQ135*AT135*VLOOKUP('Données projet'!$B$10,Paramètres!$A$1:$I$89,3,0)*0.475*44/12</f>
        <v>1.0414499374800049E-3</v>
      </c>
      <c r="AX135" s="21">
        <f t="shared" si="114"/>
        <v>242.95831558934677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257.96727373333601</v>
      </c>
      <c r="BJ135" s="59">
        <f t="shared" si="146"/>
        <v>194.52809733694494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59.2885347919484</v>
      </c>
      <c r="BQ135" s="21">
        <f>EXP(-LN(2)/25)*BQ134+(1-EXP(-LN(2)/25))/(LN(2)/25)*Calculateur!BL135*Calculateur!BN135*VLOOKUP('Données projet'!$B$11,Paramètres!$A$1:$I$89,3,0)*0.475*44/12</f>
        <v>17.623044481662557</v>
      </c>
      <c r="BR135" s="21">
        <f>EXP(-LN(2)/2)*BR134+(1-EXP(-LN(2)/2))/(LN(2)/2)*BL135*BO135*VLOOKUP('Données projet'!$B$11,Paramètres!$A$1:$I$89,3,0)*0.475*44/12</f>
        <v>1.155108243665915E-6</v>
      </c>
      <c r="BS135" s="22">
        <f t="shared" si="117"/>
        <v>76.911580428719191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355.23615781077405</v>
      </c>
      <c r="T136" s="59">
        <f t="shared" si="142"/>
        <v>448.84541017639367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59.937566202592969</v>
      </c>
      <c r="AA136" s="21">
        <f>EXP(-LN(2)/25)*AA135+(1-EXP(-LN(2)/25))/(LN(2)/25)*Calculateur!V136*Calculateur!X136*VLOOKUP('Données projet'!$B$9,Paramètres!$A$1:$I$89,3,0)*0.475*44/12</f>
        <v>8.0115140820944131</v>
      </c>
      <c r="AB136" s="21">
        <f>EXP(-LN(2)/2)*AB135+(1-EXP(-LN(2)/2))/(LN(2)/2)*V136*Y136*VLOOKUP('Données projet'!$B$9,Paramètres!$A$1:$I$89,3,0)*0.475*44/12</f>
        <v>4.4439828643711852E-10</v>
      </c>
      <c r="AC136" s="22">
        <f t="shared" si="111"/>
        <v>67.949080285131785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-6.8212102632969618E-13</v>
      </c>
      <c r="AJ136" s="13">
        <f>AI136*VLOOKUP('Données projet'!$B$10,Paramètres!$A$1:$I$89,3,0)*VLOOKUP('Données projet'!$B$10,Paramètres!$A$1:$I$89,5,0)</f>
        <v>-3.1923264032229784E-13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402.38496642820587</v>
      </c>
      <c r="AO136" s="59">
        <f t="shared" si="144"/>
        <v>196.65158751478987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202.70130925014524</v>
      </c>
      <c r="AV136" s="21">
        <f>EXP(-LN(2)/25)*AV135+(1-EXP(-LN(2)/25))/(LN(2)/25)*Calculateur!AQ136*Calculateur!AS136*VLOOKUP('Données projet'!$B$10,Paramètres!$A$1:$I$89,3,0)*0.475*44/12</f>
        <v>35.211677475656998</v>
      </c>
      <c r="AW136" s="21">
        <f>EXP(-LN(2)/2)*AW135+(1-EXP(-LN(2)/2))/(LN(2)/2)*AQ136*AT136*VLOOKUP('Données projet'!$B$10,Paramètres!$A$1:$I$89,3,0)*0.475*44/12</f>
        <v>7.3641631305841745E-4</v>
      </c>
      <c r="AX136" s="21">
        <f t="shared" si="114"/>
        <v>237.91372314211529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257.96727373333601</v>
      </c>
      <c r="BJ136" s="59">
        <f t="shared" si="146"/>
        <v>194.52809733694494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58.125922787113772</v>
      </c>
      <c r="BQ136" s="21">
        <f>EXP(-LN(2)/25)*BQ135+(1-EXP(-LN(2)/25))/(LN(2)/25)*Calculateur!BL136*Calculateur!BN136*VLOOKUP('Données projet'!$B$11,Paramètres!$A$1:$I$89,3,0)*0.475*44/12</f>
        <v>17.141141403555864</v>
      </c>
      <c r="BR136" s="21">
        <f>EXP(-LN(2)/2)*BR135+(1-EXP(-LN(2)/2))/(LN(2)/2)*BL136*BO136*VLOOKUP('Données projet'!$B$11,Paramètres!$A$1:$I$89,3,0)*0.475*44/12</f>
        <v>8.1678487210065137E-7</v>
      </c>
      <c r="BS136" s="22">
        <f t="shared" si="117"/>
        <v>75.267065007454505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355.23615781077405</v>
      </c>
      <c r="T137" s="59">
        <f t="shared" si="142"/>
        <v>448.84541017639367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58.762227087665671</v>
      </c>
      <c r="AA137" s="21">
        <f>EXP(-LN(2)/25)*AA136+(1-EXP(-LN(2)/25))/(LN(2)/25)*Calculateur!V137*Calculateur!X137*VLOOKUP('Données projet'!$B$9,Paramètres!$A$1:$I$89,3,0)*0.475*44/12</f>
        <v>7.7924388082123262</v>
      </c>
      <c r="AB137" s="21">
        <f>EXP(-LN(2)/2)*AB136+(1-EXP(-LN(2)/2))/(LN(2)/2)*V137*Y137*VLOOKUP('Données projet'!$B$9,Paramètres!$A$1:$I$89,3,0)*0.475*44/12</f>
        <v>3.1423704188736827E-10</v>
      </c>
      <c r="AC137" s="22">
        <f t="shared" si="111"/>
        <v>66.554665896192233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-6.8212102632969618E-13</v>
      </c>
      <c r="AJ137" s="13">
        <f>AI137*VLOOKUP('Données projet'!$B$10,Paramètres!$A$1:$I$89,3,0)*VLOOKUP('Données projet'!$B$10,Paramètres!$A$1:$I$89,5,0)</f>
        <v>-3.1923264032229784E-13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402.38496642820587</v>
      </c>
      <c r="AO137" s="59">
        <f t="shared" si="144"/>
        <v>196.65158751478987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198.72646021134054</v>
      </c>
      <c r="AV137" s="21">
        <f>EXP(-LN(2)/25)*AV136+(1-EXP(-LN(2)/25))/(LN(2)/25)*Calculateur!AQ137*Calculateur!AS137*VLOOKUP('Données projet'!$B$10,Paramètres!$A$1:$I$89,3,0)*0.475*44/12</f>
        <v>34.248812303383517</v>
      </c>
      <c r="AW137" s="21">
        <f>EXP(-LN(2)/2)*AW136+(1-EXP(-LN(2)/2))/(LN(2)/2)*AQ137*AT137*VLOOKUP('Données projet'!$B$10,Paramètres!$A$1:$I$89,3,0)*0.475*44/12</f>
        <v>5.2072496874000247E-4</v>
      </c>
      <c r="AX137" s="21">
        <f t="shared" si="114"/>
        <v>232.97579323969279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257.96727373333601</v>
      </c>
      <c r="BJ137" s="59">
        <f t="shared" si="146"/>
        <v>194.52809733694494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56.986108894570648</v>
      </c>
      <c r="BQ137" s="21">
        <f>EXP(-LN(2)/25)*BQ136+(1-EXP(-LN(2)/25))/(LN(2)/25)*Calculateur!BL137*Calculateur!BN137*VLOOKUP('Données projet'!$B$11,Paramètres!$A$1:$I$89,3,0)*0.475*44/12</f>
        <v>16.672415990462177</v>
      </c>
      <c r="BR137" s="21">
        <f>EXP(-LN(2)/2)*BR136+(1-EXP(-LN(2)/2))/(LN(2)/2)*BL137*BO137*VLOOKUP('Données projet'!$B$11,Paramètres!$A$1:$I$89,3,0)*0.475*44/12</f>
        <v>5.7755412183295748E-7</v>
      </c>
      <c r="BS137" s="22">
        <f t="shared" si="117"/>
        <v>73.658525462586937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355.23615781077405</v>
      </c>
      <c r="T138" s="59">
        <f t="shared" si="142"/>
        <v>448.84541017639367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57.609935655896024</v>
      </c>
      <c r="AA138" s="21">
        <f>EXP(-LN(2)/25)*AA137+(1-EXP(-LN(2)/25))/(LN(2)/25)*Calculateur!V138*Calculateur!X138*VLOOKUP('Données projet'!$B$9,Paramètres!$A$1:$I$89,3,0)*0.475*44/12</f>
        <v>7.5793541592152129</v>
      </c>
      <c r="AB138" s="21">
        <f>EXP(-LN(2)/2)*AB137+(1-EXP(-LN(2)/2))/(LN(2)/2)*V138*Y138*VLOOKUP('Données projet'!$B$9,Paramètres!$A$1:$I$89,3,0)*0.475*44/12</f>
        <v>2.2219914321855931E-10</v>
      </c>
      <c r="AC138" s="22">
        <f t="shared" si="111"/>
        <v>65.189289815333439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-6.8212102632969618E-13</v>
      </c>
      <c r="AJ138" s="13">
        <f>AI138*VLOOKUP('Données projet'!$B$10,Paramètres!$A$1:$I$89,3,0)*VLOOKUP('Données projet'!$B$10,Paramètres!$A$1:$I$89,5,0)</f>
        <v>-3.1923264032229784E-13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402.38496642820587</v>
      </c>
      <c r="AO138" s="59">
        <f t="shared" si="144"/>
        <v>196.65158751478987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194.82955553776827</v>
      </c>
      <c r="AV138" s="21">
        <f>EXP(-LN(2)/25)*AV137+(1-EXP(-LN(2)/25))/(LN(2)/25)*Calculateur!AQ138*Calculateur!AS138*VLOOKUP('Données projet'!$B$10,Paramètres!$A$1:$I$89,3,0)*0.475*44/12</f>
        <v>33.312276729880729</v>
      </c>
      <c r="AW138" s="21">
        <f>EXP(-LN(2)/2)*AW137+(1-EXP(-LN(2)/2))/(LN(2)/2)*AQ138*AT138*VLOOKUP('Données projet'!$B$10,Paramètres!$A$1:$I$89,3,0)*0.475*44/12</f>
        <v>3.6820815652920873E-4</v>
      </c>
      <c r="AX138" s="21">
        <f t="shared" si="114"/>
        <v>228.14220047580551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257.96727373333601</v>
      </c>
      <c r="BJ138" s="59">
        <f t="shared" si="146"/>
        <v>194.52809733694494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55.868646057242465</v>
      </c>
      <c r="BQ138" s="21">
        <f>EXP(-LN(2)/25)*BQ137+(1-EXP(-LN(2)/25))/(LN(2)/25)*Calculateur!BL138*Calculateur!BN138*VLOOKUP('Données projet'!$B$11,Paramètres!$A$1:$I$89,3,0)*0.475*44/12</f>
        <v>16.216507898438739</v>
      </c>
      <c r="BR138" s="21">
        <f>EXP(-LN(2)/2)*BR137+(1-EXP(-LN(2)/2))/(LN(2)/2)*BL138*BO138*VLOOKUP('Données projet'!$B$11,Paramètres!$A$1:$I$89,3,0)*0.475*44/12</f>
        <v>4.0839243605032568E-7</v>
      </c>
      <c r="BS138" s="22">
        <f t="shared" si="117"/>
        <v>72.085154364073645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355.23615781077405</v>
      </c>
      <c r="T139" s="59">
        <f t="shared" si="142"/>
        <v>448.84541017639367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56.480239956275007</v>
      </c>
      <c r="AA139" s="21">
        <f>EXP(-LN(2)/25)*AA138+(1-EXP(-LN(2)/25))/(LN(2)/25)*Calculateur!V139*Calculateur!X139*VLOOKUP('Données projet'!$B$9,Paramètres!$A$1:$I$89,3,0)*0.475*44/12</f>
        <v>7.3720963211505603</v>
      </c>
      <c r="AB139" s="21">
        <f>EXP(-LN(2)/2)*AB138+(1-EXP(-LN(2)/2))/(LN(2)/2)*V139*Y139*VLOOKUP('Données projet'!$B$9,Paramètres!$A$1:$I$89,3,0)*0.475*44/12</f>
        <v>1.5711852094368416E-10</v>
      </c>
      <c r="AC139" s="22">
        <f t="shared" si="111"/>
        <v>63.85233627758268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-6.8212102632969618E-13</v>
      </c>
      <c r="AJ139" s="13">
        <f>AI139*VLOOKUP('Données projet'!$B$10,Paramètres!$A$1:$I$89,3,0)*VLOOKUP('Données projet'!$B$10,Paramètres!$A$1:$I$89,5,0)</f>
        <v>-3.1923264032229784E-13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402.38496642820587</v>
      </c>
      <c r="AO139" s="59">
        <f t="shared" si="144"/>
        <v>196.65158751478987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191.00906678796761</v>
      </c>
      <c r="AV139" s="21">
        <f>EXP(-LN(2)/25)*AV138+(1-EXP(-LN(2)/25))/(LN(2)/25)*Calculateur!AQ139*Calculateur!AS139*VLOOKUP('Données projet'!$B$10,Paramètres!$A$1:$I$89,3,0)*0.475*44/12</f>
        <v>32.401350770885642</v>
      </c>
      <c r="AW139" s="21">
        <f>EXP(-LN(2)/2)*AW138+(1-EXP(-LN(2)/2))/(LN(2)/2)*AQ139*AT139*VLOOKUP('Données projet'!$B$10,Paramètres!$A$1:$I$89,3,0)*0.475*44/12</f>
        <v>2.6036248437000123E-4</v>
      </c>
      <c r="AX139" s="21">
        <f t="shared" si="114"/>
        <v>223.41067792133762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257.96727373333601</v>
      </c>
      <c r="BJ139" s="59">
        <f t="shared" si="146"/>
        <v>194.52809733694494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54.77309598456926</v>
      </c>
      <c r="BQ139" s="21">
        <f>EXP(-LN(2)/25)*BQ138+(1-EXP(-LN(2)/25))/(LN(2)/25)*Calculateur!BL139*Calculateur!BN139*VLOOKUP('Données projet'!$B$11,Paramètres!$A$1:$I$89,3,0)*0.475*44/12</f>
        <v>15.773066637166844</v>
      </c>
      <c r="BR139" s="21">
        <f>EXP(-LN(2)/2)*BR138+(1-EXP(-LN(2)/2))/(LN(2)/2)*BL139*BO139*VLOOKUP('Données projet'!$B$11,Paramètres!$A$1:$I$89,3,0)*0.475*44/12</f>
        <v>2.8877706091647874E-7</v>
      </c>
      <c r="BS139" s="22">
        <f t="shared" si="117"/>
        <v>70.546162910513161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355.23615781077405</v>
      </c>
      <c r="T140" s="59">
        <f t="shared" si="142"/>
        <v>448.84541017639367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55.372696900277219</v>
      </c>
      <c r="AA140" s="21">
        <f>EXP(-LN(2)/25)*AA139+(1-EXP(-LN(2)/25))/(LN(2)/25)*Calculateur!V140*Calculateur!X140*VLOOKUP('Données projet'!$B$9,Paramètres!$A$1:$I$89,3,0)*0.475*44/12</f>
        <v>7.1705059595670022</v>
      </c>
      <c r="AB140" s="21">
        <f>EXP(-LN(2)/2)*AB139+(1-EXP(-LN(2)/2))/(LN(2)/2)*V140*Y140*VLOOKUP('Données projet'!$B$9,Paramètres!$A$1:$I$89,3,0)*0.475*44/12</f>
        <v>1.1109957160927967E-10</v>
      </c>
      <c r="AC140" s="22">
        <f t="shared" si="111"/>
        <v>62.543202859955322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-6.8212102632969618E-13</v>
      </c>
      <c r="AJ140" s="13">
        <f>AI140*VLOOKUP('Données projet'!$B$10,Paramètres!$A$1:$I$89,3,0)*VLOOKUP('Données projet'!$B$10,Paramètres!$A$1:$I$89,5,0)</f>
        <v>-3.1923264032229784E-13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402.38496642820587</v>
      </c>
      <c r="AO140" s="59">
        <f t="shared" si="144"/>
        <v>196.65158751478987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187.26349549228249</v>
      </c>
      <c r="AV140" s="21">
        <f>EXP(-LN(2)/25)*AV139+(1-EXP(-LN(2)/25))/(LN(2)/25)*Calculateur!AQ140*Calculateur!AS140*VLOOKUP('Données projet'!$B$10,Paramètres!$A$1:$I$89,3,0)*0.475*44/12</f>
        <v>31.51533413014279</v>
      </c>
      <c r="AW140" s="21">
        <f>EXP(-LN(2)/2)*AW139+(1-EXP(-LN(2)/2))/(LN(2)/2)*AQ140*AT140*VLOOKUP('Données projet'!$B$10,Paramètres!$A$1:$I$89,3,0)*0.475*44/12</f>
        <v>1.8410407826460436E-4</v>
      </c>
      <c r="AX140" s="21">
        <f t="shared" si="114"/>
        <v>218.77901372650356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257.96727373333601</v>
      </c>
      <c r="BJ140" s="59">
        <f t="shared" si="146"/>
        <v>194.52809733694494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53.699028980601611</v>
      </c>
      <c r="BQ140" s="21">
        <f>EXP(-LN(2)/25)*BQ139+(1-EXP(-LN(2)/25))/(LN(2)/25)*Calculateur!BL140*Calculateur!BN140*VLOOKUP('Données projet'!$B$11,Paramètres!$A$1:$I$89,3,0)*0.475*44/12</f>
        <v>15.341751300503992</v>
      </c>
      <c r="BR140" s="21">
        <f>EXP(-LN(2)/2)*BR139+(1-EXP(-LN(2)/2))/(LN(2)/2)*BL140*BO140*VLOOKUP('Données projet'!$B$11,Paramètres!$A$1:$I$89,3,0)*0.475*44/12</f>
        <v>2.0419621802516284E-7</v>
      </c>
      <c r="BS140" s="22">
        <f t="shared" si="117"/>
        <v>69.040780485301809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355.23615781077405</v>
      </c>
      <c r="T141" s="59">
        <f t="shared" si="142"/>
        <v>448.84541017639367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54.286872088072982</v>
      </c>
      <c r="AA141" s="21">
        <f>EXP(-LN(2)/25)*AA140+(1-EXP(-LN(2)/25))/(LN(2)/25)*Calculateur!V141*Calculateur!X141*VLOOKUP('Données projet'!$B$9,Paramètres!$A$1:$I$89,3,0)*0.475*44/12</f>
        <v>6.9744280970221224</v>
      </c>
      <c r="AB141" s="21">
        <f>EXP(-LN(2)/2)*AB140+(1-EXP(-LN(2)/2))/(LN(2)/2)*V141*Y141*VLOOKUP('Données projet'!$B$9,Paramètres!$A$1:$I$89,3,0)*0.475*44/12</f>
        <v>7.8559260471842094E-11</v>
      </c>
      <c r="AC141" s="22">
        <f t="shared" si="111"/>
        <v>61.26130018517366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-6.8212102632969618E-13</v>
      </c>
      <c r="AJ141" s="13">
        <f>AI141*VLOOKUP('Données projet'!$B$10,Paramètres!$A$1:$I$89,3,0)*VLOOKUP('Données projet'!$B$10,Paramètres!$A$1:$I$89,5,0)</f>
        <v>-3.1923264032229784E-13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402.38496642820587</v>
      </c>
      <c r="AO141" s="59">
        <f t="shared" si="144"/>
        <v>196.65158751478987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183.59137256513284</v>
      </c>
      <c r="AV141" s="21">
        <f>EXP(-LN(2)/25)*AV140+(1-EXP(-LN(2)/25))/(LN(2)/25)*Calculateur!AQ141*Calculateur!AS141*VLOOKUP('Données projet'!$B$10,Paramètres!$A$1:$I$89,3,0)*0.475*44/12</f>
        <v>30.653545661034642</v>
      </c>
      <c r="AW141" s="21">
        <f>EXP(-LN(2)/2)*AW140+(1-EXP(-LN(2)/2))/(LN(2)/2)*AQ141*AT141*VLOOKUP('Données projet'!$B$10,Paramètres!$A$1:$I$89,3,0)*0.475*44/12</f>
        <v>1.3018124218500062E-4</v>
      </c>
      <c r="AX141" s="21">
        <f t="shared" si="114"/>
        <v>214.24504840740968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257.96727373333601</v>
      </c>
      <c r="BJ141" s="59">
        <f t="shared" si="146"/>
        <v>194.52809733694494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52.646023775465586</v>
      </c>
      <c r="BQ141" s="21">
        <f>EXP(-LN(2)/25)*BQ140+(1-EXP(-LN(2)/25))/(LN(2)/25)*Calculateur!BL141*Calculateur!BN141*VLOOKUP('Données projet'!$B$11,Paramètres!$A$1:$I$89,3,0)*0.475*44/12</f>
        <v>14.922230304404072</v>
      </c>
      <c r="BR141" s="21">
        <f>EXP(-LN(2)/2)*BR140+(1-EXP(-LN(2)/2))/(LN(2)/2)*BL141*BO141*VLOOKUP('Données projet'!$B$11,Paramètres!$A$1:$I$89,3,0)*0.475*44/12</f>
        <v>1.4438853045823937E-7</v>
      </c>
      <c r="BS141" s="22">
        <f t="shared" si="117"/>
        <v>67.568254224258197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355.23615781077405</v>
      </c>
      <c r="T142" s="59">
        <f t="shared" si="142"/>
        <v>448.84541017639367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53.222339638148334</v>
      </c>
      <c r="AA142" s="21">
        <f>EXP(-LN(2)/25)*AA141+(1-EXP(-LN(2)/25))/(LN(2)/25)*Calculateur!V142*Calculateur!X142*VLOOKUP('Données projet'!$B$9,Paramètres!$A$1:$I$89,3,0)*0.475*44/12</f>
        <v>6.7837119939398187</v>
      </c>
      <c r="AB142" s="21">
        <f>EXP(-LN(2)/2)*AB141+(1-EXP(-LN(2)/2))/(LN(2)/2)*V142*Y142*VLOOKUP('Données projet'!$B$9,Paramètres!$A$1:$I$89,3,0)*0.475*44/12</f>
        <v>5.5549785804639841E-11</v>
      </c>
      <c r="AC142" s="22">
        <f t="shared" si="111"/>
        <v>60.006051632143702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-6.8212102632969618E-13</v>
      </c>
      <c r="AJ142" s="13">
        <f>AI142*VLOOKUP('Données projet'!$B$10,Paramètres!$A$1:$I$89,3,0)*VLOOKUP('Données projet'!$B$10,Paramètres!$A$1:$I$89,5,0)</f>
        <v>-3.1923264032229784E-13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402.38496642820587</v>
      </c>
      <c r="AO142" s="59">
        <f t="shared" si="144"/>
        <v>196.65158751478987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179.99125772881078</v>
      </c>
      <c r="AV142" s="21">
        <f>EXP(-LN(2)/25)*AV141+(1-EXP(-LN(2)/25))/(LN(2)/25)*Calculateur!AQ142*Calculateur!AS142*VLOOKUP('Données projet'!$B$10,Paramètres!$A$1:$I$89,3,0)*0.475*44/12</f>
        <v>29.815322842933742</v>
      </c>
      <c r="AW142" s="21">
        <f>EXP(-LN(2)/2)*AW141+(1-EXP(-LN(2)/2))/(LN(2)/2)*AQ142*AT142*VLOOKUP('Données projet'!$B$10,Paramètres!$A$1:$I$89,3,0)*0.475*44/12</f>
        <v>9.2052039132302181E-5</v>
      </c>
      <c r="AX142" s="21">
        <f t="shared" si="114"/>
        <v>209.80667262378364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257.96727373333601</v>
      </c>
      <c r="BJ142" s="59">
        <f t="shared" si="146"/>
        <v>194.52809733694494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51.613667360132524</v>
      </c>
      <c r="BQ142" s="21">
        <f>EXP(-LN(2)/25)*BQ141+(1-EXP(-LN(2)/25))/(LN(2)/25)*Calculateur!BL142*Calculateur!BN142*VLOOKUP('Données projet'!$B$11,Paramètres!$A$1:$I$89,3,0)*0.475*44/12</f>
        <v>14.514181132004156</v>
      </c>
      <c r="BR142" s="21">
        <f>EXP(-LN(2)/2)*BR141+(1-EXP(-LN(2)/2))/(LN(2)/2)*BL142*BO142*VLOOKUP('Données projet'!$B$11,Paramètres!$A$1:$I$89,3,0)*0.475*44/12</f>
        <v>1.0209810901258142E-7</v>
      </c>
      <c r="BS142" s="22">
        <f t="shared" si="117"/>
        <v>66.127848594234791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355.23615781077405</v>
      </c>
      <c r="T143" s="59">
        <f t="shared" si="142"/>
        <v>448.84541017639367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52.178682020266024</v>
      </c>
      <c r="AA143" s="21">
        <f>EXP(-LN(2)/25)*AA142+(1-EXP(-LN(2)/25))/(LN(2)/25)*Calculateur!V143*Calculateur!X143*VLOOKUP('Données projet'!$B$9,Paramètres!$A$1:$I$89,3,0)*0.475*44/12</f>
        <v>6.5982110327256249</v>
      </c>
      <c r="AB143" s="21">
        <f>EXP(-LN(2)/2)*AB142+(1-EXP(-LN(2)/2))/(LN(2)/2)*V143*Y143*VLOOKUP('Données projet'!$B$9,Paramètres!$A$1:$I$89,3,0)*0.475*44/12</f>
        <v>3.9279630235921047E-11</v>
      </c>
      <c r="AC143" s="22">
        <f t="shared" si="111"/>
        <v>58.776893053030925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-6.8212102632969618E-13</v>
      </c>
      <c r="AJ143" s="13">
        <f>AI143*VLOOKUP('Données projet'!$B$10,Paramètres!$A$1:$I$89,3,0)*VLOOKUP('Données projet'!$B$10,Paramètres!$A$1:$I$89,5,0)</f>
        <v>-3.1923264032229784E-13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402.38496642820587</v>
      </c>
      <c r="AO143" s="59">
        <f t="shared" si="144"/>
        <v>196.65158751478987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176.46173894857577</v>
      </c>
      <c r="AV143" s="21">
        <f>EXP(-LN(2)/25)*AV142+(1-EXP(-LN(2)/25))/(LN(2)/25)*Calculateur!AQ143*Calculateur!AS143*VLOOKUP('Données projet'!$B$10,Paramètres!$A$1:$I$89,3,0)*0.475*44/12</f>
        <v>29.000021271874036</v>
      </c>
      <c r="AW143" s="21">
        <f>EXP(-LN(2)/2)*AW142+(1-EXP(-LN(2)/2))/(LN(2)/2)*AQ143*AT143*VLOOKUP('Données projet'!$B$10,Paramètres!$A$1:$I$89,3,0)*0.475*44/12</f>
        <v>6.5090621092500308E-5</v>
      </c>
      <c r="AX143" s="21">
        <f t="shared" si="114"/>
        <v>205.4618253110709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257.96727373333601</v>
      </c>
      <c r="BJ143" s="59">
        <f t="shared" si="146"/>
        <v>194.52809733694494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50.601554824428902</v>
      </c>
      <c r="BQ143" s="21">
        <f>EXP(-LN(2)/25)*BQ142+(1-EXP(-LN(2)/25))/(LN(2)/25)*Calculateur!BL143*Calculateur!BN143*VLOOKUP('Données projet'!$B$11,Paramètres!$A$1:$I$89,3,0)*0.475*44/12</f>
        <v>14.117290085681889</v>
      </c>
      <c r="BR143" s="21">
        <f>EXP(-LN(2)/2)*BR142+(1-EXP(-LN(2)/2))/(LN(2)/2)*BL143*BO143*VLOOKUP('Données projet'!$B$11,Paramètres!$A$1:$I$89,3,0)*0.475*44/12</f>
        <v>7.2194265229119685E-8</v>
      </c>
      <c r="BS143" s="22">
        <f t="shared" si="117"/>
        <v>64.718844982305058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355.23615781077405</v>
      </c>
      <c r="T144" s="59">
        <f t="shared" si="142"/>
        <v>448.84541017639367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51.155489891702096</v>
      </c>
      <c r="AA144" s="21">
        <f>EXP(-LN(2)/25)*AA143+(1-EXP(-LN(2)/25))/(LN(2)/25)*Calculateur!V144*Calculateur!X144*VLOOKUP('Données projet'!$B$9,Paramètres!$A$1:$I$89,3,0)*0.475*44/12</f>
        <v>6.4177826050509053</v>
      </c>
      <c r="AB144" s="21">
        <f>EXP(-LN(2)/2)*AB143+(1-EXP(-LN(2)/2))/(LN(2)/2)*V144*Y144*VLOOKUP('Données projet'!$B$9,Paramètres!$A$1:$I$89,3,0)*0.475*44/12</f>
        <v>2.777489290231992E-11</v>
      </c>
      <c r="AC144" s="22">
        <f t="shared" si="111"/>
        <v>57.573272496780774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-6.8212102632969618E-13</v>
      </c>
      <c r="AJ144" s="13">
        <f>AI144*VLOOKUP('Données projet'!$B$10,Paramètres!$A$1:$I$89,3,0)*VLOOKUP('Données projet'!$B$10,Paramètres!$A$1:$I$89,5,0)</f>
        <v>-3.1923264032229784E-13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402.38496642820587</v>
      </c>
      <c r="AO144" s="59">
        <f t="shared" si="144"/>
        <v>196.65158751478987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173.00143187882728</v>
      </c>
      <c r="AV144" s="21">
        <f>EXP(-LN(2)/25)*AV143+(1-EXP(-LN(2)/25))/(LN(2)/25)*Calculateur!AQ144*Calculateur!AS144*VLOOKUP('Données projet'!$B$10,Paramètres!$A$1:$I$89,3,0)*0.475*44/12</f>
        <v>28.207014165149804</v>
      </c>
      <c r="AW144" s="21">
        <f>EXP(-LN(2)/2)*AW143+(1-EXP(-LN(2)/2))/(LN(2)/2)*AQ144*AT144*VLOOKUP('Données projet'!$B$10,Paramètres!$A$1:$I$89,3,0)*0.475*44/12</f>
        <v>4.6026019566151091E-5</v>
      </c>
      <c r="AX144" s="21">
        <f t="shared" si="114"/>
        <v>201.20849206999665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257.96727373333601</v>
      </c>
      <c r="BJ144" s="59">
        <f t="shared" si="146"/>
        <v>194.52809733694494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49.60928919822274</v>
      </c>
      <c r="BQ144" s="21">
        <f>EXP(-LN(2)/25)*BQ143+(1-EXP(-LN(2)/25))/(LN(2)/25)*Calculateur!BL144*Calculateur!BN144*VLOOKUP('Données projet'!$B$11,Paramètres!$A$1:$I$89,3,0)*0.475*44/12</f>
        <v>13.731252045892898</v>
      </c>
      <c r="BR144" s="21">
        <f>EXP(-LN(2)/2)*BR143+(1-EXP(-LN(2)/2))/(LN(2)/2)*BL144*BO144*VLOOKUP('Données projet'!$B$11,Paramètres!$A$1:$I$89,3,0)*0.475*44/12</f>
        <v>5.104905450629071E-8</v>
      </c>
      <c r="BS144" s="22">
        <f t="shared" si="117"/>
        <v>63.340541295164698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355.23615781077405</v>
      </c>
      <c r="T145" s="59">
        <f t="shared" si="142"/>
        <v>448.84541017639367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50.152361936693737</v>
      </c>
      <c r="AA145" s="21">
        <f>EXP(-LN(2)/25)*AA144+(1-EXP(-LN(2)/25))/(LN(2)/25)*Calculateur!V145*Calculateur!X145*VLOOKUP('Données projet'!$B$9,Paramètres!$A$1:$I$89,3,0)*0.475*44/12</f>
        <v>6.2422880022192695</v>
      </c>
      <c r="AB145" s="21">
        <f>EXP(-LN(2)/2)*AB144+(1-EXP(-LN(2)/2))/(LN(2)/2)*V145*Y145*VLOOKUP('Données projet'!$B$9,Paramètres!$A$1:$I$89,3,0)*0.475*44/12</f>
        <v>1.9639815117960524E-11</v>
      </c>
      <c r="AC145" s="22">
        <f t="shared" si="111"/>
        <v>56.394649938932645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-6.8212102632969618E-13</v>
      </c>
      <c r="AJ145" s="13">
        <f>AI145*VLOOKUP('Données projet'!$B$10,Paramètres!$A$1:$I$89,3,0)*VLOOKUP('Données projet'!$B$10,Paramètres!$A$1:$I$89,5,0)</f>
        <v>-3.1923264032229784E-13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402.38496642820587</v>
      </c>
      <c r="AO145" s="59">
        <f t="shared" si="144"/>
        <v>196.65158751478987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169.60897932013765</v>
      </c>
      <c r="AV145" s="21">
        <f>EXP(-LN(2)/25)*AV144+(1-EXP(-LN(2)/25))/(LN(2)/25)*Calculateur!AQ145*Calculateur!AS145*VLOOKUP('Données projet'!$B$10,Paramètres!$A$1:$I$89,3,0)*0.475*44/12</f>
        <v>27.435691879461377</v>
      </c>
      <c r="AW145" s="21">
        <f>EXP(-LN(2)/2)*AW144+(1-EXP(-LN(2)/2))/(LN(2)/2)*AQ145*AT145*VLOOKUP('Données projet'!$B$10,Paramètres!$A$1:$I$89,3,0)*0.475*44/12</f>
        <v>3.2545310546250154E-5</v>
      </c>
      <c r="AX145" s="21">
        <f t="shared" si="114"/>
        <v>197.04470374490958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257.96727373333601</v>
      </c>
      <c r="BJ145" s="59">
        <f t="shared" si="146"/>
        <v>194.52809733694494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48.636481295724209</v>
      </c>
      <c r="BQ145" s="21">
        <f>EXP(-LN(2)/25)*BQ144+(1-EXP(-LN(2)/25))/(LN(2)/25)*Calculateur!BL145*Calculateur!BN145*VLOOKUP('Données projet'!$B$11,Paramètres!$A$1:$I$89,3,0)*0.475*44/12</f>
        <v>13.355770236602794</v>
      </c>
      <c r="BR145" s="21">
        <f>EXP(-LN(2)/2)*BR144+(1-EXP(-LN(2)/2))/(LN(2)/2)*BL145*BO145*VLOOKUP('Données projet'!$B$11,Paramètres!$A$1:$I$89,3,0)*0.475*44/12</f>
        <v>3.6097132614559843E-8</v>
      </c>
      <c r="BS145" s="22">
        <f t="shared" si="117"/>
        <v>61.992251568424138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355.23615781077405</v>
      </c>
      <c r="T146" s="59">
        <f t="shared" si="142"/>
        <v>448.84541017639367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49.168904709035452</v>
      </c>
      <c r="AA146" s="21">
        <f>EXP(-LN(2)/25)*AA145+(1-EXP(-LN(2)/25))/(LN(2)/25)*Calculateur!V146*Calculateur!X146*VLOOKUP('Données projet'!$B$9,Paramètres!$A$1:$I$89,3,0)*0.475*44/12</f>
        <v>6.0715923085309242</v>
      </c>
      <c r="AB146" s="21">
        <f>EXP(-LN(2)/2)*AB145+(1-EXP(-LN(2)/2))/(LN(2)/2)*V146*Y146*VLOOKUP('Données projet'!$B$9,Paramètres!$A$1:$I$89,3,0)*0.475*44/12</f>
        <v>1.388744645115996E-11</v>
      </c>
      <c r="AC146" s="22">
        <f t="shared" si="111"/>
        <v>55.24049701758026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-6.8212102632969618E-13</v>
      </c>
      <c r="AJ146" s="13">
        <f>AI146*VLOOKUP('Données projet'!$B$10,Paramètres!$A$1:$I$89,3,0)*VLOOKUP('Données projet'!$B$10,Paramètres!$A$1:$I$89,5,0)</f>
        <v>-3.1923264032229784E-13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402.38496642820587</v>
      </c>
      <c r="AO146" s="59">
        <f t="shared" si="144"/>
        <v>196.65158751478987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166.28305068693217</v>
      </c>
      <c r="AV146" s="21">
        <f>EXP(-LN(2)/25)*AV145+(1-EXP(-LN(2)/25))/(LN(2)/25)*Calculateur!AQ146*Calculateur!AS146*VLOOKUP('Données projet'!$B$10,Paramètres!$A$1:$I$89,3,0)*0.475*44/12</f>
        <v>26.685461442237173</v>
      </c>
      <c r="AW146" s="21">
        <f>EXP(-LN(2)/2)*AW145+(1-EXP(-LN(2)/2))/(LN(2)/2)*AQ146*AT146*VLOOKUP('Données projet'!$B$10,Paramètres!$A$1:$I$89,3,0)*0.475*44/12</f>
        <v>2.3013009783075545E-5</v>
      </c>
      <c r="AX146" s="21">
        <f t="shared" si="114"/>
        <v>192.96853514217912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257.96727373333601</v>
      </c>
      <c r="BJ146" s="59">
        <f t="shared" si="146"/>
        <v>194.52809733694494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47.68274956283944</v>
      </c>
      <c r="BQ146" s="21">
        <f>EXP(-LN(2)/25)*BQ145+(1-EXP(-LN(2)/25))/(LN(2)/25)*Calculateur!BL146*Calculateur!BN146*VLOOKUP('Données projet'!$B$11,Paramètres!$A$1:$I$89,3,0)*0.475*44/12</f>
        <v>12.990555997133459</v>
      </c>
      <c r="BR146" s="21">
        <f>EXP(-LN(2)/2)*BR145+(1-EXP(-LN(2)/2))/(LN(2)/2)*BL146*BO146*VLOOKUP('Données projet'!$B$11,Paramètres!$A$1:$I$89,3,0)*0.475*44/12</f>
        <v>2.5524527253145355E-8</v>
      </c>
      <c r="BS146" s="22">
        <f t="shared" si="117"/>
        <v>60.673305585497431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355.23615781077405</v>
      </c>
      <c r="T147" s="59">
        <f t="shared" si="142"/>
        <v>448.84541017639367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48.204732477761866</v>
      </c>
      <c r="AA147" s="21">
        <f>EXP(-LN(2)/25)*AA146+(1-EXP(-LN(2)/25))/(LN(2)/25)*Calculateur!V147*Calculateur!X147*VLOOKUP('Données projet'!$B$9,Paramètres!$A$1:$I$89,3,0)*0.475*44/12</f>
        <v>5.9055642975629832</v>
      </c>
      <c r="AB147" s="21">
        <f>EXP(-LN(2)/2)*AB146+(1-EXP(-LN(2)/2))/(LN(2)/2)*V147*Y147*VLOOKUP('Données projet'!$B$9,Paramètres!$A$1:$I$89,3,0)*0.475*44/12</f>
        <v>9.8199075589802618E-12</v>
      </c>
      <c r="AC147" s="22">
        <f t="shared" si="111"/>
        <v>54.110296775334668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-6.8212102632969618E-13</v>
      </c>
      <c r="AJ147" s="13">
        <f>AI147*VLOOKUP('Données projet'!$B$10,Paramètres!$A$1:$I$89,3,0)*VLOOKUP('Données projet'!$B$10,Paramètres!$A$1:$I$89,5,0)</f>
        <v>-3.1923264032229784E-13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402.38496642820587</v>
      </c>
      <c r="AO147" s="59">
        <f t="shared" si="144"/>
        <v>196.65158751478987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163.02234148560768</v>
      </c>
      <c r="AV147" s="21">
        <f>EXP(-LN(2)/25)*AV146+(1-EXP(-LN(2)/25))/(LN(2)/25)*Calculateur!AQ147*Calculateur!AS147*VLOOKUP('Données projet'!$B$10,Paramètres!$A$1:$I$89,3,0)*0.475*44/12</f>
        <v>25.955746095771772</v>
      </c>
      <c r="AW147" s="21">
        <f>EXP(-LN(2)/2)*AW146+(1-EXP(-LN(2)/2))/(LN(2)/2)*AQ147*AT147*VLOOKUP('Données projet'!$B$10,Paramètres!$A$1:$I$89,3,0)*0.475*44/12</f>
        <v>1.6272655273125077E-5</v>
      </c>
      <c r="AX147" s="21">
        <f t="shared" si="114"/>
        <v>188.97810385403471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257.96727373333601</v>
      </c>
      <c r="BJ147" s="59">
        <f t="shared" si="146"/>
        <v>194.52809733694494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46.747719927517622</v>
      </c>
      <c r="BQ147" s="21">
        <f>EXP(-LN(2)/25)*BQ146+(1-EXP(-LN(2)/25))/(LN(2)/25)*Calculateur!BL147*Calculateur!BN147*VLOOKUP('Données projet'!$B$11,Paramètres!$A$1:$I$89,3,0)*0.475*44/12</f>
        <v>12.635328560248196</v>
      </c>
      <c r="BR147" s="21">
        <f>EXP(-LN(2)/2)*BR146+(1-EXP(-LN(2)/2))/(LN(2)/2)*BL147*BO147*VLOOKUP('Données projet'!$B$11,Paramètres!$A$1:$I$89,3,0)*0.475*44/12</f>
        <v>1.8048566307279921E-8</v>
      </c>
      <c r="BS147" s="22">
        <f t="shared" si="117"/>
        <v>59.383048505814386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355.23615781077405</v>
      </c>
      <c r="T148" s="59">
        <f t="shared" si="142"/>
        <v>448.84541017639367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47.259467075856563</v>
      </c>
      <c r="AA148" s="21">
        <f>EXP(-LN(2)/25)*AA147+(1-EXP(-LN(2)/25))/(LN(2)/25)*Calculateur!V148*Calculateur!X148*VLOOKUP('Données projet'!$B$9,Paramètres!$A$1:$I$89,3,0)*0.475*44/12</f>
        <v>5.7440763312859939</v>
      </c>
      <c r="AB148" s="21">
        <f>EXP(-LN(2)/2)*AB147+(1-EXP(-LN(2)/2))/(LN(2)/2)*V148*Y148*VLOOKUP('Données projet'!$B$9,Paramètres!$A$1:$I$89,3,0)*0.475*44/12</f>
        <v>6.9437232255799801E-12</v>
      </c>
      <c r="AC148" s="22">
        <f t="shared" si="111"/>
        <v>53.0035434071495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-6.8212102632969618E-13</v>
      </c>
      <c r="AJ148" s="13">
        <f>AI148*VLOOKUP('Données projet'!$B$10,Paramètres!$A$1:$I$89,3,0)*VLOOKUP('Données projet'!$B$10,Paramètres!$A$1:$I$89,5,0)</f>
        <v>-3.1923264032229784E-13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402.38496642820587</v>
      </c>
      <c r="AO148" s="59">
        <f t="shared" si="144"/>
        <v>196.65158751478987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159.82557280288495</v>
      </c>
      <c r="AV148" s="21">
        <f>EXP(-LN(2)/25)*AV147+(1-EXP(-LN(2)/25))/(LN(2)/25)*Calculateur!AQ148*Calculateur!AS148*VLOOKUP('Données projet'!$B$10,Paramètres!$A$1:$I$89,3,0)*0.475*44/12</f>
        <v>25.24598485382953</v>
      </c>
      <c r="AW148" s="21">
        <f>EXP(-LN(2)/2)*AW147+(1-EXP(-LN(2)/2))/(LN(2)/2)*AQ148*AT148*VLOOKUP('Données projet'!$B$10,Paramètres!$A$1:$I$89,3,0)*0.475*44/12</f>
        <v>1.1506504891537773E-5</v>
      </c>
      <c r="AX148" s="21">
        <f t="shared" si="114"/>
        <v>185.07156916321938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257.96727373333601</v>
      </c>
      <c r="BJ148" s="59">
        <f t="shared" si="146"/>
        <v>194.52809733694494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45.831025653032704</v>
      </c>
      <c r="BQ148" s="21">
        <f>EXP(-LN(2)/25)*BQ147+(1-EXP(-LN(2)/25))/(LN(2)/25)*Calculateur!BL148*Calculateur!BN148*VLOOKUP('Données projet'!$B$11,Paramètres!$A$1:$I$89,3,0)*0.475*44/12</f>
        <v>12.289814836305158</v>
      </c>
      <c r="BR148" s="21">
        <f>EXP(-LN(2)/2)*BR147+(1-EXP(-LN(2)/2))/(LN(2)/2)*BL148*BO148*VLOOKUP('Données projet'!$B$11,Paramètres!$A$1:$I$89,3,0)*0.475*44/12</f>
        <v>1.2762263626572678E-8</v>
      </c>
      <c r="BS148" s="22">
        <f t="shared" si="117"/>
        <v>58.12084050210013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355.23615781077405</v>
      </c>
      <c r="T149" s="59">
        <f t="shared" si="142"/>
        <v>448.84541017639367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46.33273775192766</v>
      </c>
      <c r="AA149" s="21">
        <f>EXP(-LN(2)/25)*AA148+(1-EXP(-LN(2)/25))/(LN(2)/25)*Calculateur!V149*Calculateur!X149*VLOOKUP('Données projet'!$B$9,Paramètres!$A$1:$I$89,3,0)*0.475*44/12</f>
        <v>5.587004261939132</v>
      </c>
      <c r="AB149" s="21">
        <f>EXP(-LN(2)/2)*AB148+(1-EXP(-LN(2)/2))/(LN(2)/2)*V149*Y149*VLOOKUP('Données projet'!$B$9,Paramètres!$A$1:$I$89,3,0)*0.475*44/12</f>
        <v>4.9099537794901309E-12</v>
      </c>
      <c r="AC149" s="22">
        <f t="shared" si="111"/>
        <v>51.919742013871705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-6.8212102632969618E-13</v>
      </c>
      <c r="AJ149" s="13">
        <f>AI149*VLOOKUP('Données projet'!$B$10,Paramètres!$A$1:$I$89,3,0)*VLOOKUP('Données projet'!$B$10,Paramètres!$A$1:$I$89,5,0)</f>
        <v>-3.1923264032229784E-13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402.38496642820587</v>
      </c>
      <c r="AO149" s="59">
        <f t="shared" si="144"/>
        <v>196.65158751478987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156.69149080419405</v>
      </c>
      <c r="AV149" s="21">
        <f>EXP(-LN(2)/25)*AV148+(1-EXP(-LN(2)/25))/(LN(2)/25)*Calculateur!AQ149*Calculateur!AS149*VLOOKUP('Données projet'!$B$10,Paramètres!$A$1:$I$89,3,0)*0.475*44/12</f>
        <v>24.555632070372919</v>
      </c>
      <c r="AW149" s="21">
        <f>EXP(-LN(2)/2)*AW148+(1-EXP(-LN(2)/2))/(LN(2)/2)*AQ149*AT149*VLOOKUP('Données projet'!$B$10,Paramètres!$A$1:$I$89,3,0)*0.475*44/12</f>
        <v>8.1363276365625385E-6</v>
      </c>
      <c r="AX149" s="21">
        <f t="shared" si="114"/>
        <v>181.24713101089461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257.96727373333601</v>
      </c>
      <c r="BJ149" s="59">
        <f t="shared" si="146"/>
        <v>194.52809733694494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44.932307194142133</v>
      </c>
      <c r="BQ149" s="21">
        <f>EXP(-LN(2)/25)*BQ148+(1-EXP(-LN(2)/25))/(LN(2)/25)*Calculateur!BL149*Calculateur!BN149*VLOOKUP('Données projet'!$B$11,Paramètres!$A$1:$I$89,3,0)*0.475*44/12</f>
        <v>11.953749203313119</v>
      </c>
      <c r="BR149" s="21">
        <f>EXP(-LN(2)/2)*BR148+(1-EXP(-LN(2)/2))/(LN(2)/2)*BL149*BO149*VLOOKUP('Données projet'!$B$11,Paramètres!$A$1:$I$89,3,0)*0.475*44/12</f>
        <v>9.0242831536399607E-9</v>
      </c>
      <c r="BS149" s="22">
        <f t="shared" si="117"/>
        <v>56.886056406479533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355.23615781077405</v>
      </c>
      <c r="T150" s="59">
        <f t="shared" si="142"/>
        <v>448.84541017639367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45.424181024791928</v>
      </c>
      <c r="AA150" s="21">
        <f>EXP(-LN(2)/25)*AA149+(1-EXP(-LN(2)/25))/(LN(2)/25)*Calculateur!V150*Calculateur!X150*VLOOKUP('Données projet'!$B$9,Paramètres!$A$1:$I$89,3,0)*0.475*44/12</f>
        <v>5.4342273365886218</v>
      </c>
      <c r="AB150" s="21">
        <f>EXP(-LN(2)/2)*AB149+(1-EXP(-LN(2)/2))/(LN(2)/2)*V150*Y150*VLOOKUP('Données projet'!$B$9,Paramètres!$A$1:$I$89,3,0)*0.475*44/12</f>
        <v>3.47186161278999E-12</v>
      </c>
      <c r="AC150" s="22">
        <f t="shared" si="111"/>
        <v>50.858408361384022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-6.8212102632969618E-13</v>
      </c>
      <c r="AJ150" s="13">
        <f>AI150*VLOOKUP('Données projet'!$B$10,Paramètres!$A$1:$I$89,3,0)*VLOOKUP('Données projet'!$B$10,Paramètres!$A$1:$I$89,5,0)</f>
        <v>-3.1923264032229784E-13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402.38496642820587</v>
      </c>
      <c r="AO150" s="59">
        <f t="shared" si="144"/>
        <v>196.65158751478987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153.6188662418962</v>
      </c>
      <c r="AV150" s="21">
        <f>EXP(-LN(2)/25)*AV149+(1-EXP(-LN(2)/25))/(LN(2)/25)*Calculateur!AQ150*Calculateur!AS150*VLOOKUP('Données projet'!$B$10,Paramètres!$A$1:$I$89,3,0)*0.475*44/12</f>
        <v>23.884157020084004</v>
      </c>
      <c r="AW150" s="21">
        <f>EXP(-LN(2)/2)*AW149+(1-EXP(-LN(2)/2))/(LN(2)/2)*AQ150*AT150*VLOOKUP('Données projet'!$B$10,Paramètres!$A$1:$I$89,3,0)*0.475*44/12</f>
        <v>5.7532524457688863E-6</v>
      </c>
      <c r="AX150" s="21">
        <f t="shared" si="114"/>
        <v>177.50302901523267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257.96727373333601</v>
      </c>
      <c r="BJ150" s="59">
        <f t="shared" si="146"/>
        <v>194.52809733694494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44.051212056066277</v>
      </c>
      <c r="BQ150" s="21">
        <f>EXP(-LN(2)/25)*BQ149+(1-EXP(-LN(2)/25))/(LN(2)/25)*Calculateur!BL150*Calculateur!BN150*VLOOKUP('Données projet'!$B$11,Paramètres!$A$1:$I$89,3,0)*0.475*44/12</f>
        <v>11.626873302728173</v>
      </c>
      <c r="BR150" s="21">
        <f>EXP(-LN(2)/2)*BR149+(1-EXP(-LN(2)/2))/(LN(2)/2)*BL150*BO150*VLOOKUP('Données projet'!$B$11,Paramètres!$A$1:$I$89,3,0)*0.475*44/12</f>
        <v>6.3811318132863388E-9</v>
      </c>
      <c r="BS150" s="22">
        <f t="shared" si="117"/>
        <v>55.678085365175576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355.23615781077405</v>
      </c>
      <c r="T151" s="59">
        <f t="shared" si="142"/>
        <v>448.84541017639367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44.533440540910441</v>
      </c>
      <c r="AA151" s="21">
        <f>EXP(-LN(2)/25)*AA150+(1-EXP(-LN(2)/25))/(LN(2)/25)*Calculateur!V151*Calculateur!X151*VLOOKUP('Données projet'!$B$9,Paramètres!$A$1:$I$89,3,0)*0.475*44/12</f>
        <v>5.28562810429601</v>
      </c>
      <c r="AB151" s="21">
        <f>EXP(-LN(2)/2)*AB150+(1-EXP(-LN(2)/2))/(LN(2)/2)*V151*Y151*VLOOKUP('Données projet'!$B$9,Paramètres!$A$1:$I$89,3,0)*0.475*44/12</f>
        <v>2.4549768897450654E-12</v>
      </c>
      <c r="AC151" s="22">
        <f t="shared" si="111"/>
        <v>49.819068645208908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-6.8212102632969618E-13</v>
      </c>
      <c r="AJ151" s="13">
        <f>AI151*VLOOKUP('Données projet'!$B$10,Paramètres!$A$1:$I$89,3,0)*VLOOKUP('Données projet'!$B$10,Paramètres!$A$1:$I$89,5,0)</f>
        <v>-3.1923264032229784E-13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402.38496642820587</v>
      </c>
      <c r="AO151" s="59">
        <f t="shared" si="144"/>
        <v>196.65158751478987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150.6064939731491</v>
      </c>
      <c r="AV151" s="21">
        <f>EXP(-LN(2)/25)*AV150+(1-EXP(-LN(2)/25))/(LN(2)/25)*Calculateur!AQ151*Calculateur!AS151*VLOOKUP('Données projet'!$B$10,Paramètres!$A$1:$I$89,3,0)*0.475*44/12</f>
        <v>23.231043490356576</v>
      </c>
      <c r="AW151" s="21">
        <f>EXP(-LN(2)/2)*AW150+(1-EXP(-LN(2)/2))/(LN(2)/2)*AQ151*AT151*VLOOKUP('Données projet'!$B$10,Paramètres!$A$1:$I$89,3,0)*0.475*44/12</f>
        <v>4.0681638182812693E-6</v>
      </c>
      <c r="AX151" s="21">
        <f t="shared" si="114"/>
        <v>173.8375415316695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257.96727373333601</v>
      </c>
      <c r="BJ151" s="59">
        <f t="shared" si="146"/>
        <v>194.52809733694494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43.187394656233117</v>
      </c>
      <c r="BQ151" s="21">
        <f>EXP(-LN(2)/25)*BQ150+(1-EXP(-LN(2)/25))/(LN(2)/25)*Calculateur!BL151*Calculateur!BN151*VLOOKUP('Données projet'!$B$11,Paramètres!$A$1:$I$89,3,0)*0.475*44/12</f>
        <v>11.308935840834378</v>
      </c>
      <c r="BR151" s="21">
        <f>EXP(-LN(2)/2)*BR150+(1-EXP(-LN(2)/2))/(LN(2)/2)*BL151*BO151*VLOOKUP('Données projet'!$B$11,Paramètres!$A$1:$I$89,3,0)*0.475*44/12</f>
        <v>4.5121415768199803E-9</v>
      </c>
      <c r="BS151" s="22">
        <f t="shared" si="117"/>
        <v>54.496330501579635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355.23615781077405</v>
      </c>
      <c r="T152" s="59">
        <f t="shared" si="142"/>
        <v>448.84541017639367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43.660166934619824</v>
      </c>
      <c r="AA152" s="21">
        <f>EXP(-LN(2)/25)*AA151+(1-EXP(-LN(2)/25))/(LN(2)/25)*Calculateur!V152*Calculateur!X152*VLOOKUP('Données projet'!$B$9,Paramètres!$A$1:$I$89,3,0)*0.475*44/12</f>
        <v>5.1410923258249337</v>
      </c>
      <c r="AB152" s="21">
        <f>EXP(-LN(2)/2)*AB151+(1-EXP(-LN(2)/2))/(LN(2)/2)*V152*Y152*VLOOKUP('Données projet'!$B$9,Paramètres!$A$1:$I$89,3,0)*0.475*44/12</f>
        <v>1.735930806394995E-12</v>
      </c>
      <c r="AC152" s="22">
        <f t="shared" si="111"/>
        <v>48.801259260446493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-6.8212102632969618E-13</v>
      </c>
      <c r="AJ152" s="13">
        <f>AI152*VLOOKUP('Données projet'!$B$10,Paramètres!$A$1:$I$89,3,0)*VLOOKUP('Données projet'!$B$10,Paramètres!$A$1:$I$89,5,0)</f>
        <v>-3.1923264032229784E-13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402.38496642820587</v>
      </c>
      <c r="AO152" s="59">
        <f t="shared" si="144"/>
        <v>196.65158751478987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147.65319248722645</v>
      </c>
      <c r="AV152" s="21">
        <f>EXP(-LN(2)/25)*AV151+(1-EXP(-LN(2)/25))/(LN(2)/25)*Calculateur!AQ152*Calculateur!AS152*VLOOKUP('Données projet'!$B$10,Paramètres!$A$1:$I$89,3,0)*0.475*44/12</f>
        <v>22.595789384445293</v>
      </c>
      <c r="AW152" s="21">
        <f>EXP(-LN(2)/2)*AW151+(1-EXP(-LN(2)/2))/(LN(2)/2)*AQ152*AT152*VLOOKUP('Données projet'!$B$10,Paramètres!$A$1:$I$89,3,0)*0.475*44/12</f>
        <v>2.8766262228844432E-6</v>
      </c>
      <c r="AX152" s="21">
        <f t="shared" si="114"/>
        <v>170.24898474829794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257.96727373333601</v>
      </c>
      <c r="BJ152" s="59">
        <f t="shared" si="146"/>
        <v>194.52809733694494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42.3405161887341</v>
      </c>
      <c r="BQ152" s="21">
        <f>EXP(-LN(2)/25)*BQ151+(1-EXP(-LN(2)/25))/(LN(2)/25)*Calculateur!BL152*Calculateur!BN152*VLOOKUP('Données projet'!$B$11,Paramètres!$A$1:$I$89,3,0)*0.475*44/12</f>
        <v>10.999692395555673</v>
      </c>
      <c r="BR152" s="21">
        <f>EXP(-LN(2)/2)*BR151+(1-EXP(-LN(2)/2))/(LN(2)/2)*BL152*BO152*VLOOKUP('Données projet'!$B$11,Paramètres!$A$1:$I$89,3,0)*0.475*44/12</f>
        <v>3.1905659066431694E-9</v>
      </c>
      <c r="BS152" s="22">
        <f t="shared" si="117"/>
        <v>53.340208587480333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355.23615781077405</v>
      </c>
      <c r="T153" s="59">
        <f t="shared" si="142"/>
        <v>448.84541017639367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42.804017691104256</v>
      </c>
      <c r="AA153" s="21">
        <f>EXP(-LN(2)/25)*AA152+(1-EXP(-LN(2)/25))/(LN(2)/25)*Calculateur!V153*Calculateur!X153*VLOOKUP('Données projet'!$B$9,Paramètres!$A$1:$I$89,3,0)*0.475*44/12</f>
        <v>5.0005088858169557</v>
      </c>
      <c r="AB153" s="21">
        <f>EXP(-LN(2)/2)*AB152+(1-EXP(-LN(2)/2))/(LN(2)/2)*V153*Y153*VLOOKUP('Données projet'!$B$9,Paramètres!$A$1:$I$89,3,0)*0.475*44/12</f>
        <v>1.2274884448725327E-12</v>
      </c>
      <c r="AC153" s="22">
        <f t="shared" si="111"/>
        <v>47.804526576922441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-6.8212102632969618E-13</v>
      </c>
      <c r="AJ153" s="13">
        <f>AI153*VLOOKUP('Données projet'!$B$10,Paramètres!$A$1:$I$89,3,0)*VLOOKUP('Données projet'!$B$10,Paramètres!$A$1:$I$89,5,0)</f>
        <v>-3.1923264032229784E-13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402.38496642820587</v>
      </c>
      <c r="AO153" s="59">
        <f t="shared" si="144"/>
        <v>196.65158751478987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144.75780344210671</v>
      </c>
      <c r="AV153" s="21">
        <f>EXP(-LN(2)/25)*AV152+(1-EXP(-LN(2)/25))/(LN(2)/25)*Calculateur!AQ153*Calculateur!AS153*VLOOKUP('Données projet'!$B$10,Paramètres!$A$1:$I$89,3,0)*0.475*44/12</f>
        <v>21.977906335466717</v>
      </c>
      <c r="AW153" s="21">
        <f>EXP(-LN(2)/2)*AW152+(1-EXP(-LN(2)/2))/(LN(2)/2)*AQ153*AT153*VLOOKUP('Données projet'!$B$10,Paramètres!$A$1:$I$89,3,0)*0.475*44/12</f>
        <v>2.0340819091406346E-6</v>
      </c>
      <c r="AX153" s="21">
        <f t="shared" si="114"/>
        <v>166.73571181165534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257.96727373333601</v>
      </c>
      <c r="BJ153" s="59">
        <f t="shared" si="146"/>
        <v>194.52809733694494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41.510244491437874</v>
      </c>
      <c r="BQ153" s="21">
        <f>EXP(-LN(2)/25)*BQ152+(1-EXP(-LN(2)/25))/(LN(2)/25)*Calculateur!BL153*Calculateur!BN153*VLOOKUP('Données projet'!$B$11,Paramètres!$A$1:$I$89,3,0)*0.475*44/12</f>
        <v>10.698905228550521</v>
      </c>
      <c r="BR153" s="21">
        <f>EXP(-LN(2)/2)*BR152+(1-EXP(-LN(2)/2))/(LN(2)/2)*BL153*BO153*VLOOKUP('Données projet'!$B$11,Paramètres!$A$1:$I$89,3,0)*0.475*44/12</f>
        <v>2.2560707884099902E-9</v>
      </c>
      <c r="BS153" s="22">
        <f t="shared" si="117"/>
        <v>52.209149722244469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355.23615781077405</v>
      </c>
      <c r="T154" s="59">
        <f t="shared" si="142"/>
        <v>448.84541017639367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41.964657012054552</v>
      </c>
      <c r="AA154" s="21">
        <f>EXP(-LN(2)/25)*AA153+(1-EXP(-LN(2)/25))/(LN(2)/25)*Calculateur!V154*Calculateur!X154*VLOOKUP('Données projet'!$B$9,Paramètres!$A$1:$I$89,3,0)*0.475*44/12</f>
        <v>4.8637697073689576</v>
      </c>
      <c r="AB154" s="21">
        <f>EXP(-LN(2)/2)*AB153+(1-EXP(-LN(2)/2))/(LN(2)/2)*V154*Y154*VLOOKUP('Données projet'!$B$9,Paramètres!$A$1:$I$89,3,0)*0.475*44/12</f>
        <v>8.6796540319749751E-13</v>
      </c>
      <c r="AC154" s="22">
        <f t="shared" ref="AC154:AC203" si="163">SUM(Z154:AB154)</f>
        <v>46.828426719424378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-6.8212102632969618E-13</v>
      </c>
      <c r="AJ154" s="13">
        <f>AI154*VLOOKUP('Données projet'!$B$10,Paramètres!$A$1:$I$89,3,0)*VLOOKUP('Données projet'!$B$10,Paramètres!$A$1:$I$89,5,0)</f>
        <v>-3.1923264032229784E-13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402.38496642820587</v>
      </c>
      <c r="AO154" s="59">
        <f t="shared" si="144"/>
        <v>196.65158751478987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141.91919121014882</v>
      </c>
      <c r="AV154" s="21">
        <f>EXP(-LN(2)/25)*AV153+(1-EXP(-LN(2)/25))/(LN(2)/25)*Calculateur!AQ154*Calculateur!AS154*VLOOKUP('Données projet'!$B$10,Paramètres!$A$1:$I$89,3,0)*0.475*44/12</f>
        <v>21.376919330955516</v>
      </c>
      <c r="AW154" s="21">
        <f>EXP(-LN(2)/2)*AW153+(1-EXP(-LN(2)/2))/(LN(2)/2)*AQ154*AT154*VLOOKUP('Données projet'!$B$10,Paramètres!$A$1:$I$89,3,0)*0.475*44/12</f>
        <v>1.4383131114422216E-6</v>
      </c>
      <c r="AX154" s="21">
        <f t="shared" ref="AX154:AX203" si="166">SUM(AU154:AW154)</f>
        <v>163.29611197941745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257.96727373333601</v>
      </c>
      <c r="BJ154" s="59">
        <f t="shared" si="146"/>
        <v>194.52809733694494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40.696253915709896</v>
      </c>
      <c r="BQ154" s="21">
        <f>EXP(-LN(2)/25)*BQ153+(1-EXP(-LN(2)/25))/(LN(2)/25)*Calculateur!BL154*Calculateur!BN154*VLOOKUP('Données projet'!$B$11,Paramètres!$A$1:$I$89,3,0)*0.475*44/12</f>
        <v>10.406343102444833</v>
      </c>
      <c r="BR154" s="21">
        <f>EXP(-LN(2)/2)*BR153+(1-EXP(-LN(2)/2))/(LN(2)/2)*BL154*BO154*VLOOKUP('Données projet'!$B$11,Paramètres!$A$1:$I$89,3,0)*0.475*44/12</f>
        <v>1.5952829533215847E-9</v>
      </c>
      <c r="BS154" s="22">
        <f t="shared" ref="BS154:BS203" si="169">SUM(BP154:BR154)</f>
        <v>51.102597019750007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355.23615781077405</v>
      </c>
      <c r="T155" s="59">
        <f t="shared" si="142"/>
        <v>448.84541017639367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41.141755683961556</v>
      </c>
      <c r="AA155" s="21">
        <f>EXP(-LN(2)/25)*AA154+(1-EXP(-LN(2)/25))/(LN(2)/25)*Calculateur!V155*Calculateur!X155*VLOOKUP('Données projet'!$B$9,Paramètres!$A$1:$I$89,3,0)*0.475*44/12</f>
        <v>4.7307696689464205</v>
      </c>
      <c r="AB155" s="21">
        <f>EXP(-LN(2)/2)*AB154+(1-EXP(-LN(2)/2))/(LN(2)/2)*V155*Y155*VLOOKUP('Données projet'!$B$9,Paramètres!$A$1:$I$89,3,0)*0.475*44/12</f>
        <v>6.1374422243626636E-13</v>
      </c>
      <c r="AC155" s="22">
        <f t="shared" si="163"/>
        <v>45.872525352908589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-6.8212102632969618E-13</v>
      </c>
      <c r="AJ155" s="13">
        <f>AI155*VLOOKUP('Données projet'!$B$10,Paramètres!$A$1:$I$89,3,0)*VLOOKUP('Données projet'!$B$10,Paramètres!$A$1:$I$89,5,0)</f>
        <v>-3.1923264032229784E-13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402.38496642820587</v>
      </c>
      <c r="AO155" s="59">
        <f t="shared" si="144"/>
        <v>196.65158751478987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139.13624243267714</v>
      </c>
      <c r="AV155" s="21">
        <f>EXP(-LN(2)/25)*AV154+(1-EXP(-LN(2)/25))/(LN(2)/25)*Calculateur!AQ155*Calculateur!AS155*VLOOKUP('Données projet'!$B$10,Paramètres!$A$1:$I$89,3,0)*0.475*44/12</f>
        <v>20.792366347687206</v>
      </c>
      <c r="AW155" s="21">
        <f>EXP(-LN(2)/2)*AW154+(1-EXP(-LN(2)/2))/(LN(2)/2)*AQ155*AT155*VLOOKUP('Données projet'!$B$10,Paramètres!$A$1:$I$89,3,0)*0.475*44/12</f>
        <v>1.0170409545703173E-6</v>
      </c>
      <c r="AX155" s="21">
        <f t="shared" si="166"/>
        <v>159.9286097974053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257.96727373333601</v>
      </c>
      <c r="BJ155" s="59">
        <f t="shared" si="146"/>
        <v>194.52809733694494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39.898225198686717</v>
      </c>
      <c r="BQ155" s="21">
        <f>EXP(-LN(2)/25)*BQ154+(1-EXP(-LN(2)/25))/(LN(2)/25)*Calculateur!BL155*Calculateur!BN155*VLOOKUP('Données projet'!$B$11,Paramètres!$A$1:$I$89,3,0)*0.475*44/12</f>
        <v>10.121781103062679</v>
      </c>
      <c r="BR155" s="21">
        <f>EXP(-LN(2)/2)*BR154+(1-EXP(-LN(2)/2))/(LN(2)/2)*BL155*BO155*VLOOKUP('Données projet'!$B$11,Paramètres!$A$1:$I$89,3,0)*0.475*44/12</f>
        <v>1.1280353942049951E-9</v>
      </c>
      <c r="BS155" s="22">
        <f t="shared" si="169"/>
        <v>50.020006302877434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355.23615781077405</v>
      </c>
      <c r="T156" s="59">
        <f t="shared" si="142"/>
        <v>448.84541017639367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40.334990948992214</v>
      </c>
      <c r="AA156" s="21">
        <f>EXP(-LN(2)/25)*AA155+(1-EXP(-LN(2)/25))/(LN(2)/25)*Calculateur!V156*Calculateur!X156*VLOOKUP('Données projet'!$B$9,Paramètres!$A$1:$I$89,3,0)*0.475*44/12</f>
        <v>4.6014065235687163</v>
      </c>
      <c r="AB156" s="21">
        <f>EXP(-LN(2)/2)*AB155+(1-EXP(-LN(2)/2))/(LN(2)/2)*V156*Y156*VLOOKUP('Données projet'!$B$9,Paramètres!$A$1:$I$89,3,0)*0.475*44/12</f>
        <v>4.3398270159874876E-13</v>
      </c>
      <c r="AC156" s="22">
        <f t="shared" si="163"/>
        <v>44.93639747256136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-6.8212102632969618E-13</v>
      </c>
      <c r="AJ156" s="13">
        <f>AI156*VLOOKUP('Données projet'!$B$10,Paramètres!$A$1:$I$89,3,0)*VLOOKUP('Données projet'!$B$10,Paramètres!$A$1:$I$89,5,0)</f>
        <v>-3.1923264032229784E-13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402.38496642820587</v>
      </c>
      <c r="AO156" s="59">
        <f t="shared" si="144"/>
        <v>196.65158751478987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136.40786558330052</v>
      </c>
      <c r="AV156" s="21">
        <f>EXP(-LN(2)/25)*AV155+(1-EXP(-LN(2)/25))/(LN(2)/25)*Calculateur!AQ156*Calculateur!AS156*VLOOKUP('Données projet'!$B$10,Paramètres!$A$1:$I$89,3,0)*0.475*44/12</f>
        <v>20.223797996486674</v>
      </c>
      <c r="AW156" s="21">
        <f>EXP(-LN(2)/2)*AW155+(1-EXP(-LN(2)/2))/(LN(2)/2)*AQ156*AT156*VLOOKUP('Données projet'!$B$10,Paramètres!$A$1:$I$89,3,0)*0.475*44/12</f>
        <v>7.1915655572111079E-7</v>
      </c>
      <c r="AX156" s="21">
        <f t="shared" si="166"/>
        <v>156.63166429894375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257.96727373333601</v>
      </c>
      <c r="BJ156" s="59">
        <f t="shared" si="146"/>
        <v>194.52809733694494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39.11584533805491</v>
      </c>
      <c r="BQ156" s="21">
        <f>EXP(-LN(2)/25)*BQ155+(1-EXP(-LN(2)/25))/(LN(2)/25)*Calculateur!BL156*Calculateur!BN156*VLOOKUP('Données projet'!$B$11,Paramètres!$A$1:$I$89,3,0)*0.475*44/12</f>
        <v>9.8450004665180959</v>
      </c>
      <c r="BR156" s="21">
        <f>EXP(-LN(2)/2)*BR155+(1-EXP(-LN(2)/2))/(LN(2)/2)*BL156*BO156*VLOOKUP('Données projet'!$B$11,Paramètres!$A$1:$I$89,3,0)*0.475*44/12</f>
        <v>7.9764147666079235E-10</v>
      </c>
      <c r="BS156" s="22">
        <f t="shared" si="169"/>
        <v>48.960845805370646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355.23615781077405</v>
      </c>
      <c r="T157" s="59">
        <f t="shared" si="142"/>
        <v>448.84541017639367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39.544046378397717</v>
      </c>
      <c r="AA157" s="21">
        <f>EXP(-LN(2)/25)*AA156+(1-EXP(-LN(2)/25))/(LN(2)/25)*Calculateur!V157*Calculateur!X157*VLOOKUP('Données projet'!$B$9,Paramètres!$A$1:$I$89,3,0)*0.475*44/12</f>
        <v>4.4755808202042777</v>
      </c>
      <c r="AB157" s="21">
        <f>EXP(-LN(2)/2)*AB156+(1-EXP(-LN(2)/2))/(LN(2)/2)*V157*Y157*VLOOKUP('Données projet'!$B$9,Paramètres!$A$1:$I$89,3,0)*0.475*44/12</f>
        <v>3.0687211121813318E-13</v>
      </c>
      <c r="AC157" s="22">
        <f t="shared" si="163"/>
        <v>44.019627198602301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-6.8212102632969618E-13</v>
      </c>
      <c r="AJ157" s="13">
        <f>AI157*VLOOKUP('Données projet'!$B$10,Paramètres!$A$1:$I$89,3,0)*VLOOKUP('Données projet'!$B$10,Paramètres!$A$1:$I$89,5,0)</f>
        <v>-3.1923264032229784E-13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402.38496642820587</v>
      </c>
      <c r="AO157" s="59">
        <f t="shared" si="144"/>
        <v>196.65158751478987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133.73299053979463</v>
      </c>
      <c r="AV157" s="21">
        <f>EXP(-LN(2)/25)*AV156+(1-EXP(-LN(2)/25))/(LN(2)/25)*Calculateur!AQ157*Calculateur!AS157*VLOOKUP('Données projet'!$B$10,Paramètres!$A$1:$I$89,3,0)*0.475*44/12</f>
        <v>19.670777176749432</v>
      </c>
      <c r="AW157" s="21">
        <f>EXP(-LN(2)/2)*AW156+(1-EXP(-LN(2)/2))/(LN(2)/2)*AQ157*AT157*VLOOKUP('Données projet'!$B$10,Paramètres!$A$1:$I$89,3,0)*0.475*44/12</f>
        <v>5.0852047728515866E-7</v>
      </c>
      <c r="AX157" s="21">
        <f t="shared" si="166"/>
        <v>153.40376822506454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257.96727373333601</v>
      </c>
      <c r="BJ157" s="59">
        <f t="shared" si="146"/>
        <v>194.52809733694494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38.348807469285497</v>
      </c>
      <c r="BQ157" s="21">
        <f>EXP(-LN(2)/25)*BQ156+(1-EXP(-LN(2)/25))/(LN(2)/25)*Calculateur!BL157*Calculateur!BN157*VLOOKUP('Données projet'!$B$11,Paramètres!$A$1:$I$89,3,0)*0.475*44/12</f>
        <v>9.5757884110350844</v>
      </c>
      <c r="BR157" s="21">
        <f>EXP(-LN(2)/2)*BR156+(1-EXP(-LN(2)/2))/(LN(2)/2)*BL157*BO157*VLOOKUP('Données projet'!$B$11,Paramètres!$A$1:$I$89,3,0)*0.475*44/12</f>
        <v>5.6401769710249754E-10</v>
      </c>
      <c r="BS157" s="22">
        <f t="shared" si="169"/>
        <v>47.924595880884596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355.23615781077405</v>
      </c>
      <c r="T158" s="59">
        <f t="shared" si="142"/>
        <v>448.84541017639367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38.768611748404027</v>
      </c>
      <c r="AA158" s="21">
        <f>EXP(-LN(2)/25)*AA157+(1-EXP(-LN(2)/25))/(LN(2)/25)*Calculateur!V158*Calculateur!X158*VLOOKUP('Données projet'!$B$9,Paramètres!$A$1:$I$89,3,0)*0.475*44/12</f>
        <v>4.3531958273152256</v>
      </c>
      <c r="AB158" s="21">
        <f>EXP(-LN(2)/2)*AB157+(1-EXP(-LN(2)/2))/(LN(2)/2)*V158*Y158*VLOOKUP('Données projet'!$B$9,Paramètres!$A$1:$I$89,3,0)*0.475*44/12</f>
        <v>2.1699135079937438E-13</v>
      </c>
      <c r="AC158" s="22">
        <f t="shared" si="163"/>
        <v>43.121807575719473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-6.8212102632969618E-13</v>
      </c>
      <c r="AJ158" s="13">
        <f>AI158*VLOOKUP('Données projet'!$B$10,Paramètres!$A$1:$I$89,3,0)*VLOOKUP('Données projet'!$B$10,Paramètres!$A$1:$I$89,5,0)</f>
        <v>-3.1923264032229784E-13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402.38496642820587</v>
      </c>
      <c r="AO158" s="59">
        <f t="shared" si="144"/>
        <v>196.65158751478987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131.1105681643792</v>
      </c>
      <c r="AV158" s="21">
        <f>EXP(-LN(2)/25)*AV157+(1-EXP(-LN(2)/25))/(LN(2)/25)*Calculateur!AQ158*Calculateur!AS158*VLOOKUP('Données projet'!$B$10,Paramètres!$A$1:$I$89,3,0)*0.475*44/12</f>
        <v>19.132878740410007</v>
      </c>
      <c r="AW158" s="21">
        <f>EXP(-LN(2)/2)*AW157+(1-EXP(-LN(2)/2))/(LN(2)/2)*AQ158*AT158*VLOOKUP('Données projet'!$B$10,Paramètres!$A$1:$I$89,3,0)*0.475*44/12</f>
        <v>3.595782778605554E-7</v>
      </c>
      <c r="AX158" s="21">
        <f t="shared" si="166"/>
        <v>150.24344726436749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257.96727373333601</v>
      </c>
      <c r="BJ158" s="59">
        <f t="shared" si="146"/>
        <v>194.52809733694494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37.596810745275747</v>
      </c>
      <c r="BQ158" s="21">
        <f>EXP(-LN(2)/25)*BQ157+(1-EXP(-LN(2)/25))/(LN(2)/25)*Calculateur!BL158*Calculateur!BN158*VLOOKUP('Données projet'!$B$11,Paramètres!$A$1:$I$89,3,0)*0.475*44/12</f>
        <v>9.3139379733665031</v>
      </c>
      <c r="BR158" s="21">
        <f>EXP(-LN(2)/2)*BR157+(1-EXP(-LN(2)/2))/(LN(2)/2)*BL158*BO158*VLOOKUP('Données projet'!$B$11,Paramètres!$A$1:$I$89,3,0)*0.475*44/12</f>
        <v>3.9882073833039618E-10</v>
      </c>
      <c r="BS158" s="22">
        <f t="shared" si="169"/>
        <v>46.910748719041074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355.23615781077405</v>
      </c>
      <c r="T159" s="59">
        <f t="shared" si="142"/>
        <v>448.84541017639367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38.008382918536093</v>
      </c>
      <c r="AA159" s="21">
        <f>EXP(-LN(2)/25)*AA158+(1-EXP(-LN(2)/25))/(LN(2)/25)*Calculateur!V159*Calculateur!X159*VLOOKUP('Données projet'!$B$9,Paramètres!$A$1:$I$89,3,0)*0.475*44/12</f>
        <v>4.2341574584926711</v>
      </c>
      <c r="AB159" s="21">
        <f>EXP(-LN(2)/2)*AB158+(1-EXP(-LN(2)/2))/(LN(2)/2)*V159*Y159*VLOOKUP('Données projet'!$B$9,Paramètres!$A$1:$I$89,3,0)*0.475*44/12</f>
        <v>1.5343605560906659E-13</v>
      </c>
      <c r="AC159" s="22">
        <f t="shared" si="163"/>
        <v>42.242540377028917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-6.8212102632969618E-13</v>
      </c>
      <c r="AJ159" s="13">
        <f>AI159*VLOOKUP('Données projet'!$B$10,Paramètres!$A$1:$I$89,3,0)*VLOOKUP('Données projet'!$B$10,Paramètres!$A$1:$I$89,5,0)</f>
        <v>-3.1923264032229784E-13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402.38496642820587</v>
      </c>
      <c r="AO159" s="59">
        <f t="shared" si="144"/>
        <v>196.65158751478987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128.53956989222596</v>
      </c>
      <c r="AV159" s="21">
        <f>EXP(-LN(2)/25)*AV158+(1-EXP(-LN(2)/25))/(LN(2)/25)*Calculateur!AQ159*Calculateur!AS159*VLOOKUP('Données projet'!$B$10,Paramètres!$A$1:$I$89,3,0)*0.475*44/12</f>
        <v>18.60968916509913</v>
      </c>
      <c r="AW159" s="21">
        <f>EXP(-LN(2)/2)*AW158+(1-EXP(-LN(2)/2))/(LN(2)/2)*AQ159*AT159*VLOOKUP('Données projet'!$B$10,Paramètres!$A$1:$I$89,3,0)*0.475*44/12</f>
        <v>2.5426023864257933E-7</v>
      </c>
      <c r="AX159" s="21">
        <f t="shared" si="166"/>
        <v>147.14925931158533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257.96727373333601</v>
      </c>
      <c r="BJ159" s="59">
        <f t="shared" si="146"/>
        <v>194.52809733694494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36.85956021835112</v>
      </c>
      <c r="BQ159" s="21">
        <f>EXP(-LN(2)/25)*BQ158+(1-EXP(-LN(2)/25))/(LN(2)/25)*Calculateur!BL159*Calculateur!BN159*VLOOKUP('Données projet'!$B$11,Paramètres!$A$1:$I$89,3,0)*0.475*44/12</f>
        <v>9.059247849686086</v>
      </c>
      <c r="BR159" s="21">
        <f>EXP(-LN(2)/2)*BR158+(1-EXP(-LN(2)/2))/(LN(2)/2)*BL159*BO159*VLOOKUP('Données projet'!$B$11,Paramètres!$A$1:$I$89,3,0)*0.475*44/12</f>
        <v>2.8200884855124877E-10</v>
      </c>
      <c r="BS159" s="22">
        <f t="shared" si="169"/>
        <v>45.918808068319215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355.23615781077405</v>
      </c>
      <c r="T160" s="59">
        <f t="shared" si="142"/>
        <v>448.84541017639367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37.263061712328067</v>
      </c>
      <c r="AA160" s="21">
        <f>EXP(-LN(2)/25)*AA159+(1-EXP(-LN(2)/25))/(LN(2)/25)*Calculateur!V160*Calculateur!X160*VLOOKUP('Données projet'!$B$9,Paramètres!$A$1:$I$89,3,0)*0.475*44/12</f>
        <v>4.1183742001255252</v>
      </c>
      <c r="AB160" s="21">
        <f>EXP(-LN(2)/2)*AB159+(1-EXP(-LN(2)/2))/(LN(2)/2)*V160*Y160*VLOOKUP('Données projet'!$B$9,Paramètres!$A$1:$I$89,3,0)*0.475*44/12</f>
        <v>1.0849567539968719E-13</v>
      </c>
      <c r="AC160" s="22">
        <f t="shared" si="163"/>
        <v>41.381435912453696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-6.8212102632969618E-13</v>
      </c>
      <c r="AJ160" s="13">
        <f>AI160*VLOOKUP('Données projet'!$B$10,Paramètres!$A$1:$I$89,3,0)*VLOOKUP('Données projet'!$B$10,Paramètres!$A$1:$I$89,5,0)</f>
        <v>-3.1923264032229784E-13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402.38496642820587</v>
      </c>
      <c r="AO160" s="59">
        <f t="shared" si="144"/>
        <v>196.65158751478987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126.01898732803555</v>
      </c>
      <c r="AV160" s="21">
        <f>EXP(-LN(2)/25)*AV159+(1-EXP(-LN(2)/25))/(LN(2)/25)*Calculateur!AQ160*Calculateur!AS160*VLOOKUP('Données projet'!$B$10,Paramètres!$A$1:$I$89,3,0)*0.475*44/12</f>
        <v>18.100806236238473</v>
      </c>
      <c r="AW160" s="21">
        <f>EXP(-LN(2)/2)*AW159+(1-EXP(-LN(2)/2))/(LN(2)/2)*AQ160*AT160*VLOOKUP('Données projet'!$B$10,Paramètres!$A$1:$I$89,3,0)*0.475*44/12</f>
        <v>1.797891389302777E-7</v>
      </c>
      <c r="AX160" s="21">
        <f t="shared" si="166"/>
        <v>144.11979374406317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257.96727373333601</v>
      </c>
      <c r="BJ160" s="59">
        <f t="shared" si="146"/>
        <v>194.52809733694494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36.136766724581065</v>
      </c>
      <c r="BQ160" s="21">
        <f>EXP(-LN(2)/25)*BQ159+(1-EXP(-LN(2)/25))/(LN(2)/25)*Calculateur!BL160*Calculateur!BN160*VLOOKUP('Données projet'!$B$11,Paramètres!$A$1:$I$89,3,0)*0.475*44/12</f>
        <v>8.8115222408312803</v>
      </c>
      <c r="BR160" s="21">
        <f>EXP(-LN(2)/2)*BR159+(1-EXP(-LN(2)/2))/(LN(2)/2)*BL160*BO160*VLOOKUP('Données projet'!$B$11,Paramètres!$A$1:$I$89,3,0)*0.475*44/12</f>
        <v>1.9941036916519809E-10</v>
      </c>
      <c r="BS160" s="22">
        <f t="shared" si="169"/>
        <v>44.948288965611759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355.23615781077405</v>
      </c>
      <c r="T161" s="59">
        <f t="shared" si="142"/>
        <v>448.84541017639367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36.532355800372734</v>
      </c>
      <c r="AA161" s="21">
        <f>EXP(-LN(2)/25)*AA160+(1-EXP(-LN(2)/25))/(LN(2)/25)*Calculateur!V161*Calculateur!X161*VLOOKUP('Données projet'!$B$9,Paramètres!$A$1:$I$89,3,0)*0.475*44/12</f>
        <v>4.0057570410472065</v>
      </c>
      <c r="AB161" s="21">
        <f>EXP(-LN(2)/2)*AB160+(1-EXP(-LN(2)/2))/(LN(2)/2)*V161*Y161*VLOOKUP('Données projet'!$B$9,Paramètres!$A$1:$I$89,3,0)*0.475*44/12</f>
        <v>7.6718027804533295E-14</v>
      </c>
      <c r="AC161" s="22">
        <f t="shared" si="163"/>
        <v>40.538112841420016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-6.8212102632969618E-13</v>
      </c>
      <c r="AJ161" s="13">
        <f>AI161*VLOOKUP('Données projet'!$B$10,Paramètres!$A$1:$I$89,3,0)*VLOOKUP('Données projet'!$B$10,Paramètres!$A$1:$I$89,5,0)</f>
        <v>-3.1923264032229784E-13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402.38496642820587</v>
      </c>
      <c r="AO161" s="59">
        <f t="shared" si="144"/>
        <v>196.65158751478987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123.54783185052536</v>
      </c>
      <c r="AV161" s="21">
        <f>EXP(-LN(2)/25)*AV160+(1-EXP(-LN(2)/25))/(LN(2)/25)*Calculateur!AQ161*Calculateur!AS161*VLOOKUP('Données projet'!$B$10,Paramètres!$A$1:$I$89,3,0)*0.475*44/12</f>
        <v>17.605838737828503</v>
      </c>
      <c r="AW161" s="21">
        <f>EXP(-LN(2)/2)*AW160+(1-EXP(-LN(2)/2))/(LN(2)/2)*AQ161*AT161*VLOOKUP('Données projet'!$B$10,Paramètres!$A$1:$I$89,3,0)*0.475*44/12</f>
        <v>1.2713011932128966E-7</v>
      </c>
      <c r="AX161" s="21">
        <f t="shared" si="166"/>
        <v>141.15367071548397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257.96727373333601</v>
      </c>
      <c r="BJ161" s="59">
        <f t="shared" si="146"/>
        <v>194.52809733694494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35.428146770363341</v>
      </c>
      <c r="BQ161" s="21">
        <f>EXP(-LN(2)/25)*BQ160+(1-EXP(-LN(2)/25))/(LN(2)/25)*Calculateur!BL161*Calculateur!BN161*VLOOKUP('Données projet'!$B$11,Paramètres!$A$1:$I$89,3,0)*0.475*44/12</f>
        <v>8.5705707017779336</v>
      </c>
      <c r="BR161" s="21">
        <f>EXP(-LN(2)/2)*BR160+(1-EXP(-LN(2)/2))/(LN(2)/2)*BL161*BO161*VLOOKUP('Données projet'!$B$11,Paramètres!$A$1:$I$89,3,0)*0.475*44/12</f>
        <v>1.4100442427562439E-10</v>
      </c>
      <c r="BS161" s="22">
        <f t="shared" si="169"/>
        <v>43.99871747228228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355.23615781077405</v>
      </c>
      <c r="T162" s="59">
        <f t="shared" si="142"/>
        <v>448.84541017639367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35.815978585664247</v>
      </c>
      <c r="AA162" s="21">
        <f>EXP(-LN(2)/25)*AA161+(1-EXP(-LN(2)/25))/(LN(2)/25)*Calculateur!V162*Calculateur!X162*VLOOKUP('Données projet'!$B$9,Paramètres!$A$1:$I$89,3,0)*0.475*44/12</f>
        <v>3.8962194041061631</v>
      </c>
      <c r="AB162" s="21">
        <f>EXP(-LN(2)/2)*AB161+(1-EXP(-LN(2)/2))/(LN(2)/2)*V162*Y162*VLOOKUP('Données projet'!$B$9,Paramètres!$A$1:$I$89,3,0)*0.475*44/12</f>
        <v>5.4247837699843594E-14</v>
      </c>
      <c r="AC162" s="22">
        <f t="shared" si="163"/>
        <v>39.712197989770466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-6.8212102632969618E-13</v>
      </c>
      <c r="AJ162" s="13">
        <f>AI162*VLOOKUP('Données projet'!$B$10,Paramètres!$A$1:$I$89,3,0)*VLOOKUP('Données projet'!$B$10,Paramètres!$A$1:$I$89,5,0)</f>
        <v>-3.1923264032229784E-13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402.38496642820587</v>
      </c>
      <c r="AO162" s="59">
        <f t="shared" si="144"/>
        <v>196.65158751478987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121.12513422467312</v>
      </c>
      <c r="AV162" s="21">
        <f>EXP(-LN(2)/25)*AV161+(1-EXP(-LN(2)/25))/(LN(2)/25)*Calculateur!AQ162*Calculateur!AS162*VLOOKUP('Données projet'!$B$10,Paramètres!$A$1:$I$89,3,0)*0.475*44/12</f>
        <v>17.124406151691762</v>
      </c>
      <c r="AW162" s="21">
        <f>EXP(-LN(2)/2)*AW161+(1-EXP(-LN(2)/2))/(LN(2)/2)*AQ162*AT162*VLOOKUP('Données projet'!$B$10,Paramètres!$A$1:$I$89,3,0)*0.475*44/12</f>
        <v>8.9894569465138849E-8</v>
      </c>
      <c r="AX162" s="21">
        <f t="shared" si="166"/>
        <v>138.24954046625945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257.96727373333601</v>
      </c>
      <c r="BJ162" s="59">
        <f t="shared" si="146"/>
        <v>194.52809733694494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34.733422421232333</v>
      </c>
      <c r="BQ162" s="21">
        <f>EXP(-LN(2)/25)*BQ161+(1-EXP(-LN(2)/25))/(LN(2)/25)*Calculateur!BL162*Calculateur!BN162*VLOOKUP('Données projet'!$B$11,Paramètres!$A$1:$I$89,3,0)*0.475*44/12</f>
        <v>8.3362079952310904</v>
      </c>
      <c r="BR162" s="21">
        <f>EXP(-LN(2)/2)*BR161+(1-EXP(-LN(2)/2))/(LN(2)/2)*BL162*BO162*VLOOKUP('Données projet'!$B$11,Paramètres!$A$1:$I$89,3,0)*0.475*44/12</f>
        <v>9.9705184582599044E-11</v>
      </c>
      <c r="BS162" s="22">
        <f t="shared" si="169"/>
        <v>43.069630416563129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355.23615781077405</v>
      </c>
      <c r="T163" s="59">
        <f t="shared" si="142"/>
        <v>448.84541017639367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35.113649091189238</v>
      </c>
      <c r="AA163" s="21">
        <f>EXP(-LN(2)/25)*AA162+(1-EXP(-LN(2)/25))/(LN(2)/25)*Calculateur!V163*Calculateur!X163*VLOOKUP('Données projet'!$B$9,Paramètres!$A$1:$I$89,3,0)*0.475*44/12</f>
        <v>3.7896770796076065</v>
      </c>
      <c r="AB163" s="21">
        <f>EXP(-LN(2)/2)*AB162+(1-EXP(-LN(2)/2))/(LN(2)/2)*V163*Y163*VLOOKUP('Données projet'!$B$9,Paramètres!$A$1:$I$89,3,0)*0.475*44/12</f>
        <v>3.8359013902266648E-14</v>
      </c>
      <c r="AC163" s="22">
        <f t="shared" si="163"/>
        <v>38.90332617079688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-6.8212102632969618E-13</v>
      </c>
      <c r="AJ163" s="13">
        <f>AI163*VLOOKUP('Données projet'!$B$10,Paramètres!$A$1:$I$89,3,0)*VLOOKUP('Données projet'!$B$10,Paramètres!$A$1:$I$89,5,0)</f>
        <v>-3.1923264032229784E-13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402.38496642820587</v>
      </c>
      <c r="AO163" s="59">
        <f t="shared" si="144"/>
        <v>196.65158751478987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118.74994422156421</v>
      </c>
      <c r="AV163" s="21">
        <f>EXP(-LN(2)/25)*AV162+(1-EXP(-LN(2)/25))/(LN(2)/25)*Calculateur!AQ163*Calculateur!AS163*VLOOKUP('Données projet'!$B$10,Paramètres!$A$1:$I$89,3,0)*0.475*44/12</f>
        <v>16.656138364940368</v>
      </c>
      <c r="AW163" s="21">
        <f>EXP(-LN(2)/2)*AW162+(1-EXP(-LN(2)/2))/(LN(2)/2)*AQ163*AT163*VLOOKUP('Données projet'!$B$10,Paramètres!$A$1:$I$89,3,0)*0.475*44/12</f>
        <v>6.3565059660644832E-8</v>
      </c>
      <c r="AX163" s="21">
        <f t="shared" si="166"/>
        <v>135.40608265006964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257.96727373333601</v>
      </c>
      <c r="BJ163" s="59">
        <f t="shared" si="146"/>
        <v>194.52809733694494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34.052321192847771</v>
      </c>
      <c r="BQ163" s="21">
        <f>EXP(-LN(2)/25)*BQ162+(1-EXP(-LN(2)/25))/(LN(2)/25)*Calculateur!BL163*Calculateur!BN163*VLOOKUP('Données projet'!$B$11,Paramètres!$A$1:$I$89,3,0)*0.475*44/12</f>
        <v>8.108253949219371</v>
      </c>
      <c r="BR163" s="21">
        <f>EXP(-LN(2)/2)*BR162+(1-EXP(-LN(2)/2))/(LN(2)/2)*BL163*BO163*VLOOKUP('Données projet'!$B$11,Paramètres!$A$1:$I$89,3,0)*0.475*44/12</f>
        <v>7.0502212137812193E-11</v>
      </c>
      <c r="BS163" s="22">
        <f t="shared" si="169"/>
        <v>42.160575142137645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355.23615781077405</v>
      </c>
      <c r="T164" s="59">
        <f t="shared" si="142"/>
        <v>448.84541017639367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34.425091849722186</v>
      </c>
      <c r="AA164" s="21">
        <f>EXP(-LN(2)/25)*AA163+(1-EXP(-LN(2)/25))/(LN(2)/25)*Calculateur!V164*Calculateur!X164*VLOOKUP('Données projet'!$B$9,Paramètres!$A$1:$I$89,3,0)*0.475*44/12</f>
        <v>3.6860481605752802</v>
      </c>
      <c r="AB164" s="21">
        <f>EXP(-LN(2)/2)*AB163+(1-EXP(-LN(2)/2))/(LN(2)/2)*V164*Y164*VLOOKUP('Données projet'!$B$9,Paramètres!$A$1:$I$89,3,0)*0.475*44/12</f>
        <v>2.7123918849921797E-14</v>
      </c>
      <c r="AC164" s="22">
        <f t="shared" si="163"/>
        <v>38.111140010297497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-6.8212102632969618E-13</v>
      </c>
      <c r="AJ164" s="13">
        <f>AI164*VLOOKUP('Données projet'!$B$10,Paramètres!$A$1:$I$89,3,0)*VLOOKUP('Données projet'!$B$10,Paramètres!$A$1:$I$89,5,0)</f>
        <v>-3.1923264032229784E-13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402.38496642820587</v>
      </c>
      <c r="AO164" s="59">
        <f t="shared" si="144"/>
        <v>196.65158751478987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116.42133024569341</v>
      </c>
      <c r="AV164" s="21">
        <f>EXP(-LN(2)/25)*AV163+(1-EXP(-LN(2)/25))/(LN(2)/25)*Calculateur!AQ164*Calculateur!AS164*VLOOKUP('Données projet'!$B$10,Paramètres!$A$1:$I$89,3,0)*0.475*44/12</f>
        <v>16.200675385442825</v>
      </c>
      <c r="AW164" s="21">
        <f>EXP(-LN(2)/2)*AW163+(1-EXP(-LN(2)/2))/(LN(2)/2)*AQ164*AT164*VLOOKUP('Données projet'!$B$10,Paramètres!$A$1:$I$89,3,0)*0.475*44/12</f>
        <v>4.4947284732569424E-8</v>
      </c>
      <c r="AX164" s="21">
        <f t="shared" si="166"/>
        <v>132.62200567608352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257.96727373333601</v>
      </c>
      <c r="BJ164" s="59">
        <f t="shared" si="146"/>
        <v>194.52809733694494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33.384575944121103</v>
      </c>
      <c r="BQ164" s="21">
        <f>EXP(-LN(2)/25)*BQ163+(1-EXP(-LN(2)/25))/(LN(2)/25)*Calculateur!BL164*Calculateur!BN164*VLOOKUP('Données projet'!$B$11,Paramètres!$A$1:$I$89,3,0)*0.475*44/12</f>
        <v>7.8865333185834237</v>
      </c>
      <c r="BR164" s="21">
        <f>EXP(-LN(2)/2)*BR163+(1-EXP(-LN(2)/2))/(LN(2)/2)*BL164*BO164*VLOOKUP('Données projet'!$B$11,Paramètres!$A$1:$I$89,3,0)*0.475*44/12</f>
        <v>4.9852592291299522E-11</v>
      </c>
      <c r="BS164" s="22">
        <f t="shared" si="169"/>
        <v>41.271109262754379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355.23615781077405</v>
      </c>
      <c r="T165" s="59">
        <f t="shared" si="142"/>
        <v>448.84541017639367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33.75003679578186</v>
      </c>
      <c r="AA165" s="21">
        <f>EXP(-LN(2)/25)*AA164+(1-EXP(-LN(2)/25))/(LN(2)/25)*Calculateur!V165*Calculateur!X165*VLOOKUP('Données projet'!$B$9,Paramètres!$A$1:$I$89,3,0)*0.475*44/12</f>
        <v>3.5852529797835011</v>
      </c>
      <c r="AB165" s="21">
        <f>EXP(-LN(2)/2)*AB164+(1-EXP(-LN(2)/2))/(LN(2)/2)*V165*Y165*VLOOKUP('Données projet'!$B$9,Paramètres!$A$1:$I$89,3,0)*0.475*44/12</f>
        <v>1.9179506951133324E-14</v>
      </c>
      <c r="AC165" s="22">
        <f t="shared" si="163"/>
        <v>37.335289775565379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-6.8212102632969618E-13</v>
      </c>
      <c r="AJ165" s="13">
        <f>AI165*VLOOKUP('Données projet'!$B$10,Paramètres!$A$1:$I$89,3,0)*VLOOKUP('Données projet'!$B$10,Paramètres!$A$1:$I$89,5,0)</f>
        <v>-3.1923264032229784E-13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402.38496642820587</v>
      </c>
      <c r="AO165" s="59">
        <f t="shared" si="144"/>
        <v>196.65158751478987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114.13837896957516</v>
      </c>
      <c r="AV165" s="21">
        <f>EXP(-LN(2)/25)*AV164+(1-EXP(-LN(2)/25))/(LN(2)/25)*Calculateur!AQ165*Calculateur!AS165*VLOOKUP('Données projet'!$B$10,Paramètres!$A$1:$I$89,3,0)*0.475*44/12</f>
        <v>15.757667065071399</v>
      </c>
      <c r="AW165" s="21">
        <f>EXP(-LN(2)/2)*AW164+(1-EXP(-LN(2)/2))/(LN(2)/2)*AQ165*AT165*VLOOKUP('Données projet'!$B$10,Paramètres!$A$1:$I$89,3,0)*0.475*44/12</f>
        <v>3.1782529830322416E-8</v>
      </c>
      <c r="AX165" s="21">
        <f t="shared" si="166"/>
        <v>129.89604606642908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257.96727373333601</v>
      </c>
      <c r="BJ165" s="59">
        <f t="shared" si="146"/>
        <v>194.52809733694494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32.729924772437577</v>
      </c>
      <c r="BQ165" s="21">
        <f>EXP(-LN(2)/25)*BQ164+(1-EXP(-LN(2)/25))/(LN(2)/25)*Calculateur!BL165*Calculateur!BN165*VLOOKUP('Données projet'!$B$11,Paramètres!$A$1:$I$89,3,0)*0.475*44/12</f>
        <v>7.6708756502519977</v>
      </c>
      <c r="BR165" s="21">
        <f>EXP(-LN(2)/2)*BR164+(1-EXP(-LN(2)/2))/(LN(2)/2)*BL165*BO165*VLOOKUP('Données projet'!$B$11,Paramètres!$A$1:$I$89,3,0)*0.475*44/12</f>
        <v>3.5251106068906096E-11</v>
      </c>
      <c r="BS165" s="22">
        <f t="shared" si="169"/>
        <v>40.400800422724828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355.23615781077405</v>
      </c>
      <c r="T166" s="59">
        <f t="shared" si="142"/>
        <v>448.84541017639367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33.088219159706377</v>
      </c>
      <c r="AA166" s="21">
        <f>EXP(-LN(2)/25)*AA165+(1-EXP(-LN(2)/25))/(LN(2)/25)*Calculateur!V166*Calculateur!X166*VLOOKUP('Données projet'!$B$9,Paramètres!$A$1:$I$89,3,0)*0.475*44/12</f>
        <v>3.4872140485110612</v>
      </c>
      <c r="AB166" s="21">
        <f>EXP(-LN(2)/2)*AB165+(1-EXP(-LN(2)/2))/(LN(2)/2)*V166*Y166*VLOOKUP('Données projet'!$B$9,Paramètres!$A$1:$I$89,3,0)*0.475*44/12</f>
        <v>1.3561959424960899E-14</v>
      </c>
      <c r="AC166" s="22">
        <f t="shared" si="163"/>
        <v>36.575433208217454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-6.8212102632969618E-13</v>
      </c>
      <c r="AJ166" s="13">
        <f>AI166*VLOOKUP('Données projet'!$B$10,Paramètres!$A$1:$I$89,3,0)*VLOOKUP('Données projet'!$B$10,Paramètres!$A$1:$I$89,5,0)</f>
        <v>-3.1923264032229784E-13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402.38496642820587</v>
      </c>
      <c r="AO166" s="59">
        <f t="shared" si="144"/>
        <v>196.65158751478987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111.9001949755188</v>
      </c>
      <c r="AV166" s="21">
        <f>EXP(-LN(2)/25)*AV165+(1-EXP(-LN(2)/25))/(LN(2)/25)*Calculateur!AQ166*Calculateur!AS166*VLOOKUP('Données projet'!$B$10,Paramètres!$A$1:$I$89,3,0)*0.475*44/12</f>
        <v>15.326772830517324</v>
      </c>
      <c r="AW166" s="21">
        <f>EXP(-LN(2)/2)*AW165+(1-EXP(-LN(2)/2))/(LN(2)/2)*AQ166*AT166*VLOOKUP('Données projet'!$B$10,Paramètres!$A$1:$I$89,3,0)*0.475*44/12</f>
        <v>2.2473642366284712E-8</v>
      </c>
      <c r="AX166" s="21">
        <f t="shared" si="166"/>
        <v>127.22696782850977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257.96727373333601</v>
      </c>
      <c r="BJ166" s="59">
        <f t="shared" si="146"/>
        <v>194.52809733694494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32.088110910932976</v>
      </c>
      <c r="BQ166" s="21">
        <f>EXP(-LN(2)/25)*BQ165+(1-EXP(-LN(2)/25))/(LN(2)/25)*Calculateur!BL166*Calculateur!BN166*VLOOKUP('Données projet'!$B$11,Paramètres!$A$1:$I$89,3,0)*0.475*44/12</f>
        <v>7.461115152202038</v>
      </c>
      <c r="BR166" s="21">
        <f>EXP(-LN(2)/2)*BR165+(1-EXP(-LN(2)/2))/(LN(2)/2)*BL166*BO166*VLOOKUP('Données projet'!$B$11,Paramètres!$A$1:$I$89,3,0)*0.475*44/12</f>
        <v>2.4926296145649761E-11</v>
      </c>
      <c r="BS166" s="22">
        <f t="shared" si="169"/>
        <v>39.549226063159942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355.23615781077405</v>
      </c>
      <c r="T167" s="59">
        <f t="shared" si="142"/>
        <v>448.84541017639367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32.439379363805436</v>
      </c>
      <c r="AA167" s="21">
        <f>EXP(-LN(2)/25)*AA166+(1-EXP(-LN(2)/25))/(LN(2)/25)*Calculateur!V167*Calculateur!X167*VLOOKUP('Données projet'!$B$9,Paramètres!$A$1:$I$89,3,0)*0.475*44/12</f>
        <v>3.3918559969699094</v>
      </c>
      <c r="AB167" s="21">
        <f>EXP(-LN(2)/2)*AB166+(1-EXP(-LN(2)/2))/(LN(2)/2)*V167*Y167*VLOOKUP('Données projet'!$B$9,Paramètres!$A$1:$I$89,3,0)*0.475*44/12</f>
        <v>9.5897534755666619E-15</v>
      </c>
      <c r="AC167" s="22">
        <f t="shared" si="163"/>
        <v>35.831235360775352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-6.8212102632969618E-13</v>
      </c>
      <c r="AJ167" s="13">
        <f>AI167*VLOOKUP('Données projet'!$B$10,Paramètres!$A$1:$I$89,3,0)*VLOOKUP('Données projet'!$B$10,Paramètres!$A$1:$I$89,5,0)</f>
        <v>-3.1923264032229784E-13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402.38496642820587</v>
      </c>
      <c r="AO167" s="59">
        <f t="shared" si="144"/>
        <v>196.65158751478987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109.70590040442845</v>
      </c>
      <c r="AV167" s="21">
        <f>EXP(-LN(2)/25)*AV166+(1-EXP(-LN(2)/25))/(LN(2)/25)*Calculateur!AQ167*Calculateur!AS167*VLOOKUP('Données projet'!$B$10,Paramètres!$A$1:$I$89,3,0)*0.475*44/12</f>
        <v>14.907661421466875</v>
      </c>
      <c r="AW167" s="21">
        <f>EXP(-LN(2)/2)*AW166+(1-EXP(-LN(2)/2))/(LN(2)/2)*AQ167*AT167*VLOOKUP('Données projet'!$B$10,Paramètres!$A$1:$I$89,3,0)*0.475*44/12</f>
        <v>1.5891264915161208E-8</v>
      </c>
      <c r="AX167" s="21">
        <f t="shared" si="166"/>
        <v>124.61356184178658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257.96727373333601</v>
      </c>
      <c r="BJ167" s="59">
        <f t="shared" si="146"/>
        <v>194.52809733694494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31.458882627784678</v>
      </c>
      <c r="BQ167" s="21">
        <f>EXP(-LN(2)/25)*BQ166+(1-EXP(-LN(2)/25))/(LN(2)/25)*Calculateur!BL167*Calculateur!BN167*VLOOKUP('Données projet'!$B$11,Paramètres!$A$1:$I$89,3,0)*0.475*44/12</f>
        <v>7.2570905660020797</v>
      </c>
      <c r="BR167" s="21">
        <f>EXP(-LN(2)/2)*BR166+(1-EXP(-LN(2)/2))/(LN(2)/2)*BL167*BO167*VLOOKUP('Données projet'!$B$11,Paramètres!$A$1:$I$89,3,0)*0.475*44/12</f>
        <v>1.7625553034453048E-11</v>
      </c>
      <c r="BS167" s="22">
        <f t="shared" si="169"/>
        <v>38.715973193804388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355.23615781077405</v>
      </c>
      <c r="T168" s="59">
        <f t="shared" si="142"/>
        <v>448.84541017639367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31.80326292054891</v>
      </c>
      <c r="AA168" s="21">
        <f>EXP(-LN(2)/25)*AA167+(1-EXP(-LN(2)/25))/(LN(2)/25)*Calculateur!V168*Calculateur!X168*VLOOKUP('Données projet'!$B$9,Paramètres!$A$1:$I$89,3,0)*0.475*44/12</f>
        <v>3.2991055163628125</v>
      </c>
      <c r="AB168" s="21">
        <f>EXP(-LN(2)/2)*AB167+(1-EXP(-LN(2)/2))/(LN(2)/2)*V168*Y168*VLOOKUP('Données projet'!$B$9,Paramètres!$A$1:$I$89,3,0)*0.475*44/12</f>
        <v>6.7809797124804493E-15</v>
      </c>
      <c r="AC168" s="22">
        <f t="shared" si="163"/>
        <v>35.102368436911732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-6.8212102632969618E-13</v>
      </c>
      <c r="AJ168" s="13">
        <f>AI168*VLOOKUP('Données projet'!$B$10,Paramètres!$A$1:$I$89,3,0)*VLOOKUP('Données projet'!$B$10,Paramètres!$A$1:$I$89,5,0)</f>
        <v>-3.1923264032229784E-13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402.38496642820587</v>
      </c>
      <c r="AO168" s="59">
        <f t="shared" si="144"/>
        <v>196.65158751478987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107.55463461148965</v>
      </c>
      <c r="AV168" s="21">
        <f>EXP(-LN(2)/25)*AV167+(1-EXP(-LN(2)/25))/(LN(2)/25)*Calculateur!AQ168*Calculateur!AS168*VLOOKUP('Données projet'!$B$10,Paramètres!$A$1:$I$89,3,0)*0.475*44/12</f>
        <v>14.50001063593702</v>
      </c>
      <c r="AW168" s="21">
        <f>EXP(-LN(2)/2)*AW167+(1-EXP(-LN(2)/2))/(LN(2)/2)*AQ168*AT168*VLOOKUP('Données projet'!$B$10,Paramètres!$A$1:$I$89,3,0)*0.475*44/12</f>
        <v>1.1236821183142356E-8</v>
      </c>
      <c r="AX168" s="21">
        <f t="shared" si="166"/>
        <v>122.05464525866348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257.96727373333601</v>
      </c>
      <c r="BJ168" s="59">
        <f t="shared" si="146"/>
        <v>194.52809733694494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30.841993127477565</v>
      </c>
      <c r="BQ168" s="21">
        <f>EXP(-LN(2)/25)*BQ167+(1-EXP(-LN(2)/25))/(LN(2)/25)*Calculateur!BL168*Calculateur!BN168*VLOOKUP('Données projet'!$B$11,Paramètres!$A$1:$I$89,3,0)*0.475*44/12</f>
        <v>7.0586450428409462</v>
      </c>
      <c r="BR168" s="21">
        <f>EXP(-LN(2)/2)*BR167+(1-EXP(-LN(2)/2))/(LN(2)/2)*BL168*BO168*VLOOKUP('Données projet'!$B$11,Paramètres!$A$1:$I$89,3,0)*0.475*44/12</f>
        <v>1.246314807282488E-11</v>
      </c>
      <c r="BS168" s="22">
        <f t="shared" si="169"/>
        <v>37.900638170330971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355.23615781077405</v>
      </c>
      <c r="T169" s="59">
        <f t="shared" si="142"/>
        <v>448.84541017639367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31.179620332751927</v>
      </c>
      <c r="AA169" s="21">
        <f>EXP(-LN(2)/25)*AA168+(1-EXP(-LN(2)/25))/(LN(2)/25)*Calculateur!V169*Calculateur!X169*VLOOKUP('Données projet'!$B$9,Paramètres!$A$1:$I$89,3,0)*0.475*44/12</f>
        <v>3.2088913025254526</v>
      </c>
      <c r="AB169" s="21">
        <f>EXP(-LN(2)/2)*AB168+(1-EXP(-LN(2)/2))/(LN(2)/2)*V169*Y169*VLOOKUP('Données projet'!$B$9,Paramètres!$A$1:$I$89,3,0)*0.475*44/12</f>
        <v>4.794876737783331E-15</v>
      </c>
      <c r="AC169" s="22">
        <f t="shared" si="163"/>
        <v>34.388511635277389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-6.8212102632969618E-13</v>
      </c>
      <c r="AJ169" s="13">
        <f>AI169*VLOOKUP('Données projet'!$B$10,Paramètres!$A$1:$I$89,3,0)*VLOOKUP('Données projet'!$B$10,Paramètres!$A$1:$I$89,5,0)</f>
        <v>-3.1923264032229784E-13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402.38496642820587</v>
      </c>
      <c r="AO169" s="59">
        <f t="shared" si="144"/>
        <v>196.65158751478987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105.4455538286078</v>
      </c>
      <c r="AV169" s="21">
        <f>EXP(-LN(2)/25)*AV168+(1-EXP(-LN(2)/25))/(LN(2)/25)*Calculateur!AQ169*Calculateur!AS169*VLOOKUP('Données projet'!$B$10,Paramètres!$A$1:$I$89,3,0)*0.475*44/12</f>
        <v>14.103507082574904</v>
      </c>
      <c r="AW169" s="21">
        <f>EXP(-LN(2)/2)*AW168+(1-EXP(-LN(2)/2))/(LN(2)/2)*AQ169*AT169*VLOOKUP('Données projet'!$B$10,Paramètres!$A$1:$I$89,3,0)*0.475*44/12</f>
        <v>7.945632457580604E-9</v>
      </c>
      <c r="AX169" s="21">
        <f t="shared" si="166"/>
        <v>119.54906091912834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257.96727373333601</v>
      </c>
      <c r="BJ169" s="59">
        <f t="shared" si="146"/>
        <v>194.52809733694494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30.237200454006032</v>
      </c>
      <c r="BQ169" s="21">
        <f>EXP(-LN(2)/25)*BQ168+(1-EXP(-LN(2)/25))/(LN(2)/25)*Calculateur!BL169*Calculateur!BN169*VLOOKUP('Données projet'!$B$11,Paramètres!$A$1:$I$89,3,0)*0.475*44/12</f>
        <v>6.8656260229464507</v>
      </c>
      <c r="BR169" s="21">
        <f>EXP(-LN(2)/2)*BR168+(1-EXP(-LN(2)/2))/(LN(2)/2)*BL169*BO169*VLOOKUP('Données projet'!$B$11,Paramètres!$A$1:$I$89,3,0)*0.475*44/12</f>
        <v>8.8127765172265241E-12</v>
      </c>
      <c r="BS169" s="22">
        <f t="shared" si="169"/>
        <v>37.102826476961297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355.23615781077405</v>
      </c>
      <c r="T170" s="59">
        <f t="shared" si="142"/>
        <v>448.84541017639367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30.568206995717222</v>
      </c>
      <c r="AA170" s="21">
        <f>EXP(-LN(2)/25)*AA169+(1-EXP(-LN(2)/25))/(LN(2)/25)*Calculateur!V170*Calculateur!X170*VLOOKUP('Données projet'!$B$9,Paramètres!$A$1:$I$89,3,0)*0.475*44/12</f>
        <v>3.1211440011096347</v>
      </c>
      <c r="AB170" s="21">
        <f>EXP(-LN(2)/2)*AB169+(1-EXP(-LN(2)/2))/(LN(2)/2)*V170*Y170*VLOOKUP('Données projet'!$B$9,Paramètres!$A$1:$I$89,3,0)*0.475*44/12</f>
        <v>3.3904898562402247E-15</v>
      </c>
      <c r="AC170" s="22">
        <f t="shared" si="163"/>
        <v>33.68935099682686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-6.8212102632969618E-13</v>
      </c>
      <c r="AJ170" s="13">
        <f>AI170*VLOOKUP('Données projet'!$B$10,Paramètres!$A$1:$I$89,3,0)*VLOOKUP('Données projet'!$B$10,Paramètres!$A$1:$I$89,5,0)</f>
        <v>-3.1923264032229784E-13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402.38496642820587</v>
      </c>
      <c r="AO170" s="59">
        <f t="shared" si="144"/>
        <v>196.65158751478987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103.37783083346602</v>
      </c>
      <c r="AV170" s="21">
        <f>EXP(-LN(2)/25)*AV169+(1-EXP(-LN(2)/25))/(LN(2)/25)*Calculateur!AQ170*Calculateur!AS170*VLOOKUP('Données projet'!$B$10,Paramètres!$A$1:$I$89,3,0)*0.475*44/12</f>
        <v>13.71784593973069</v>
      </c>
      <c r="AW170" s="21">
        <f>EXP(-LN(2)/2)*AW169+(1-EXP(-LN(2)/2))/(LN(2)/2)*AQ170*AT170*VLOOKUP('Données projet'!$B$10,Paramètres!$A$1:$I$89,3,0)*0.475*44/12</f>
        <v>5.6184105915711781E-9</v>
      </c>
      <c r="AX170" s="21">
        <f t="shared" si="166"/>
        <v>117.09567677881512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257.96727373333601</v>
      </c>
      <c r="BJ170" s="59">
        <f t="shared" si="146"/>
        <v>194.52809733694494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29.644267395974168</v>
      </c>
      <c r="BQ170" s="21">
        <f>EXP(-LN(2)/25)*BQ169+(1-EXP(-LN(2)/25))/(LN(2)/25)*Calculateur!BL170*Calculateur!BN170*VLOOKUP('Données projet'!$B$11,Paramètres!$A$1:$I$89,3,0)*0.475*44/12</f>
        <v>6.6778851183013987</v>
      </c>
      <c r="BR170" s="21">
        <f>EXP(-LN(2)/2)*BR169+(1-EXP(-LN(2)/2))/(LN(2)/2)*BL170*BO170*VLOOKUP('Données projet'!$B$11,Paramètres!$A$1:$I$89,3,0)*0.475*44/12</f>
        <v>6.2315740364124402E-12</v>
      </c>
      <c r="BS170" s="22">
        <f t="shared" si="169"/>
        <v>36.322152514281797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355.23615781077405</v>
      </c>
      <c r="T171" s="59">
        <f t="shared" si="142"/>
        <v>448.84541017639367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29.968783101296456</v>
      </c>
      <c r="AA171" s="21">
        <f>EXP(-LN(2)/25)*AA170+(1-EXP(-LN(2)/25))/(LN(2)/25)*Calculateur!V171*Calculateur!X171*VLOOKUP('Données projet'!$B$9,Paramètres!$A$1:$I$89,3,0)*0.475*44/12</f>
        <v>3.0357961542654621</v>
      </c>
      <c r="AB171" s="21">
        <f>EXP(-LN(2)/2)*AB170+(1-EXP(-LN(2)/2))/(LN(2)/2)*V171*Y171*VLOOKUP('Données projet'!$B$9,Paramètres!$A$1:$I$89,3,0)*0.475*44/12</f>
        <v>2.3974383688916655E-15</v>
      </c>
      <c r="AC171" s="22">
        <f t="shared" si="163"/>
        <v>33.004579255561922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-6.8212102632969618E-13</v>
      </c>
      <c r="AJ171" s="13">
        <f>AI171*VLOOKUP('Données projet'!$B$10,Paramètres!$A$1:$I$89,3,0)*VLOOKUP('Données projet'!$B$10,Paramètres!$A$1:$I$89,5,0)</f>
        <v>-3.1923264032229784E-13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402.38496642820587</v>
      </c>
      <c r="AO171" s="59">
        <f t="shared" si="144"/>
        <v>196.65158751478987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101.35065462507247</v>
      </c>
      <c r="AV171" s="21">
        <f>EXP(-LN(2)/25)*AV170+(1-EXP(-LN(2)/25))/(LN(2)/25)*Calculateur!AQ171*Calculateur!AS171*VLOOKUP('Données projet'!$B$10,Paramètres!$A$1:$I$89,3,0)*0.475*44/12</f>
        <v>13.342730721118588</v>
      </c>
      <c r="AW171" s="21">
        <f>EXP(-LN(2)/2)*AW170+(1-EXP(-LN(2)/2))/(LN(2)/2)*AQ171*AT171*VLOOKUP('Données projet'!$B$10,Paramètres!$A$1:$I$89,3,0)*0.475*44/12</f>
        <v>3.972816228790302E-9</v>
      </c>
      <c r="AX171" s="21">
        <f t="shared" si="166"/>
        <v>114.69338535016387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257.96727373333601</v>
      </c>
      <c r="BJ171" s="59">
        <f t="shared" si="146"/>
        <v>194.52809733694494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29.062961393556854</v>
      </c>
      <c r="BQ171" s="21">
        <f>EXP(-LN(2)/25)*BQ170+(1-EXP(-LN(2)/25))/(LN(2)/25)*Calculateur!BL171*Calculateur!BN171*VLOOKUP('Données projet'!$B$11,Paramètres!$A$1:$I$89,3,0)*0.475*44/12</f>
        <v>6.4952779985667313</v>
      </c>
      <c r="BR171" s="21">
        <f>EXP(-LN(2)/2)*BR170+(1-EXP(-LN(2)/2))/(LN(2)/2)*BL171*BO171*VLOOKUP('Données projet'!$B$11,Paramètres!$A$1:$I$89,3,0)*0.475*44/12</f>
        <v>4.406388258613262E-12</v>
      </c>
      <c r="BS171" s="22">
        <f t="shared" si="169"/>
        <v>35.558239392127987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355.23615781077405</v>
      </c>
      <c r="T172" s="59">
        <f t="shared" si="142"/>
        <v>448.84541017639367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29.381113543832807</v>
      </c>
      <c r="AA172" s="21">
        <f>EXP(-LN(2)/25)*AA171+(1-EXP(-LN(2)/25))/(LN(2)/25)*Calculateur!V172*Calculateur!X172*VLOOKUP('Données projet'!$B$9,Paramètres!$A$1:$I$89,3,0)*0.475*44/12</f>
        <v>2.9527821487814916</v>
      </c>
      <c r="AB172" s="21">
        <f>EXP(-LN(2)/2)*AB171+(1-EXP(-LN(2)/2))/(LN(2)/2)*V172*Y172*VLOOKUP('Données projet'!$B$9,Paramètres!$A$1:$I$89,3,0)*0.475*44/12</f>
        <v>1.6952449281201123E-15</v>
      </c>
      <c r="AC172" s="22">
        <f t="shared" si="163"/>
        <v>32.333895692614298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-6.8212102632969618E-13</v>
      </c>
      <c r="AJ172" s="13">
        <f>AI172*VLOOKUP('Données projet'!$B$10,Paramètres!$A$1:$I$89,3,0)*VLOOKUP('Données projet'!$B$10,Paramètres!$A$1:$I$89,5,0)</f>
        <v>-3.1923264032229784E-13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402.38496642820587</v>
      </c>
      <c r="AO172" s="59">
        <f t="shared" si="144"/>
        <v>196.65158751478987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99.363230105670112</v>
      </c>
      <c r="AV172" s="21">
        <f>EXP(-LN(2)/25)*AV171+(1-EXP(-LN(2)/25))/(LN(2)/25)*Calculateur!AQ172*Calculateur!AS172*VLOOKUP('Données projet'!$B$10,Paramètres!$A$1:$I$89,3,0)*0.475*44/12</f>
        <v>12.977873047885888</v>
      </c>
      <c r="AW172" s="21">
        <f>EXP(-LN(2)/2)*AW171+(1-EXP(-LN(2)/2))/(LN(2)/2)*AQ172*AT172*VLOOKUP('Données projet'!$B$10,Paramètres!$A$1:$I$89,3,0)*0.475*44/12</f>
        <v>2.809205295785589E-9</v>
      </c>
      <c r="AX172" s="21">
        <f t="shared" si="166"/>
        <v>112.34110315636521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257.96727373333601</v>
      </c>
      <c r="BJ172" s="59">
        <f t="shared" si="146"/>
        <v>194.52809733694494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28.493054447285292</v>
      </c>
      <c r="BQ172" s="21">
        <f>EXP(-LN(2)/25)*BQ171+(1-EXP(-LN(2)/25))/(LN(2)/25)*Calculateur!BL172*Calculateur!BN172*VLOOKUP('Données projet'!$B$11,Paramètres!$A$1:$I$89,3,0)*0.475*44/12</f>
        <v>6.3176642801240996</v>
      </c>
      <c r="BR172" s="21">
        <f>EXP(-LN(2)/2)*BR171+(1-EXP(-LN(2)/2))/(LN(2)/2)*BL172*BO172*VLOOKUP('Données projet'!$B$11,Paramètres!$A$1:$I$89,3,0)*0.475*44/12</f>
        <v>3.1157870182062201E-12</v>
      </c>
      <c r="BS172" s="22">
        <f t="shared" si="169"/>
        <v>34.810718727412514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355.23615781077405</v>
      </c>
      <c r="T173" s="59">
        <f t="shared" si="142"/>
        <v>448.84541017639367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28.804967827947983</v>
      </c>
      <c r="AA173" s="21">
        <f>EXP(-LN(2)/25)*AA172+(1-EXP(-LN(2)/25))/(LN(2)/25)*Calculateur!V173*Calculateur!X173*VLOOKUP('Données projet'!$B$9,Paramètres!$A$1:$I$89,3,0)*0.475*44/12</f>
        <v>2.872038165642997</v>
      </c>
      <c r="AB173" s="21">
        <f>EXP(-LN(2)/2)*AB172+(1-EXP(-LN(2)/2))/(LN(2)/2)*V173*Y173*VLOOKUP('Données projet'!$B$9,Paramètres!$A$1:$I$89,3,0)*0.475*44/12</f>
        <v>1.1987191844458327E-15</v>
      </c>
      <c r="AC173" s="22">
        <f t="shared" si="163"/>
        <v>31.677005993590981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-6.8212102632969618E-13</v>
      </c>
      <c r="AJ173" s="13">
        <f>AI173*VLOOKUP('Données projet'!$B$10,Paramètres!$A$1:$I$89,3,0)*VLOOKUP('Données projet'!$B$10,Paramètres!$A$1:$I$89,5,0)</f>
        <v>-3.1923264032229784E-13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402.38496642820587</v>
      </c>
      <c r="AO173" s="59">
        <f t="shared" si="144"/>
        <v>196.65158751478987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97.41477776888398</v>
      </c>
      <c r="AV173" s="21">
        <f>EXP(-LN(2)/25)*AV172+(1-EXP(-LN(2)/25))/(LN(2)/25)*Calculateur!AQ173*Calculateur!AS173*VLOOKUP('Données projet'!$B$10,Paramètres!$A$1:$I$89,3,0)*0.475*44/12</f>
        <v>12.622992426914767</v>
      </c>
      <c r="AW173" s="21">
        <f>EXP(-LN(2)/2)*AW172+(1-EXP(-LN(2)/2))/(LN(2)/2)*AQ173*AT173*VLOOKUP('Données projet'!$B$10,Paramètres!$A$1:$I$89,3,0)*0.475*44/12</f>
        <v>1.986408114395151E-9</v>
      </c>
      <c r="AX173" s="21">
        <f t="shared" si="166"/>
        <v>110.03777019778515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257.96727373333601</v>
      </c>
      <c r="BJ173" s="59">
        <f t="shared" si="146"/>
        <v>194.52809733694494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27.934323028621201</v>
      </c>
      <c r="BQ173" s="21">
        <f>EXP(-LN(2)/25)*BQ172+(1-EXP(-LN(2)/25))/(LN(2)/25)*Calculateur!BL173*Calculateur!BN173*VLOOKUP('Données projet'!$B$11,Paramètres!$A$1:$I$89,3,0)*0.475*44/12</f>
        <v>6.1449074181525809</v>
      </c>
      <c r="BR173" s="21">
        <f>EXP(-LN(2)/2)*BR172+(1-EXP(-LN(2)/2))/(LN(2)/2)*BL173*BO173*VLOOKUP('Données projet'!$B$11,Paramètres!$A$1:$I$89,3,0)*0.475*44/12</f>
        <v>2.203194129306631E-12</v>
      </c>
      <c r="BS173" s="22">
        <f t="shared" si="169"/>
        <v>34.079230446775981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355.23615781077405</v>
      </c>
      <c r="T174" s="59">
        <f t="shared" si="142"/>
        <v>448.84541017639367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28.240119978137475</v>
      </c>
      <c r="AA174" s="21">
        <f>EXP(-LN(2)/25)*AA173+(1-EXP(-LN(2)/25))/(LN(2)/25)*Calculateur!V174*Calculateur!X174*VLOOKUP('Données projet'!$B$9,Paramètres!$A$1:$I$89,3,0)*0.475*44/12</f>
        <v>2.793502130969566</v>
      </c>
      <c r="AB174" s="21">
        <f>EXP(-LN(2)/2)*AB173+(1-EXP(-LN(2)/2))/(LN(2)/2)*V174*Y174*VLOOKUP('Données projet'!$B$9,Paramètres!$A$1:$I$89,3,0)*0.475*44/12</f>
        <v>8.4762246406005616E-16</v>
      </c>
      <c r="AC174" s="22">
        <f t="shared" si="163"/>
        <v>31.033622109107043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-6.8212102632969618E-13</v>
      </c>
      <c r="AJ174" s="13">
        <f>AI174*VLOOKUP('Données projet'!$B$10,Paramètres!$A$1:$I$89,3,0)*VLOOKUP('Données projet'!$B$10,Paramètres!$A$1:$I$89,5,0)</f>
        <v>-3.1923264032229784E-13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402.38496642820587</v>
      </c>
      <c r="AO174" s="59">
        <f t="shared" si="144"/>
        <v>196.65158751478987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95.50453339398365</v>
      </c>
      <c r="AV174" s="21">
        <f>EXP(-LN(2)/25)*AV173+(1-EXP(-LN(2)/25))/(LN(2)/25)*Calculateur!AQ174*Calculateur!AS174*VLOOKUP('Données projet'!$B$10,Paramètres!$A$1:$I$89,3,0)*0.475*44/12</f>
        <v>12.277816035186461</v>
      </c>
      <c r="AW174" s="21">
        <f>EXP(-LN(2)/2)*AW173+(1-EXP(-LN(2)/2))/(LN(2)/2)*AQ174*AT174*VLOOKUP('Données projet'!$B$10,Paramètres!$A$1:$I$89,3,0)*0.475*44/12</f>
        <v>1.4046026478927945E-9</v>
      </c>
      <c r="AX174" s="21">
        <f t="shared" si="166"/>
        <v>107.78234943057471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257.96727373333601</v>
      </c>
      <c r="BJ174" s="59">
        <f t="shared" si="146"/>
        <v>194.52809733694494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27.386547992284598</v>
      </c>
      <c r="BQ174" s="21">
        <f>EXP(-LN(2)/25)*BQ173+(1-EXP(-LN(2)/25))/(LN(2)/25)*Calculateur!BL174*Calculateur!BN174*VLOOKUP('Données projet'!$B$11,Paramètres!$A$1:$I$89,3,0)*0.475*44/12</f>
        <v>5.9768746016565615</v>
      </c>
      <c r="BR174" s="21">
        <f>EXP(-LN(2)/2)*BR173+(1-EXP(-LN(2)/2))/(LN(2)/2)*BL174*BO174*VLOOKUP('Données projet'!$B$11,Paramètres!$A$1:$I$89,3,0)*0.475*44/12</f>
        <v>1.5578935091031101E-12</v>
      </c>
      <c r="BS174" s="22">
        <f t="shared" si="169"/>
        <v>33.363422593942715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355.23615781077405</v>
      </c>
      <c r="T175" s="59">
        <f t="shared" si="142"/>
        <v>448.84541017639367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27.686348450138581</v>
      </c>
      <c r="AA175" s="21">
        <f>EXP(-LN(2)/25)*AA174+(1-EXP(-LN(2)/25))/(LN(2)/25)*Calculateur!V175*Calculateur!X175*VLOOKUP('Données projet'!$B$9,Paramètres!$A$1:$I$89,3,0)*0.475*44/12</f>
        <v>2.7171136682943109</v>
      </c>
      <c r="AB175" s="21">
        <f>EXP(-LN(2)/2)*AB174+(1-EXP(-LN(2)/2))/(LN(2)/2)*V175*Y175*VLOOKUP('Données projet'!$B$9,Paramètres!$A$1:$I$89,3,0)*0.475*44/12</f>
        <v>5.9935959222291637E-16</v>
      </c>
      <c r="AC175" s="22">
        <f t="shared" si="163"/>
        <v>30.403462118432891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-6.8212102632969618E-13</v>
      </c>
      <c r="AJ175" s="13">
        <f>AI175*VLOOKUP('Données projet'!$B$10,Paramètres!$A$1:$I$89,3,0)*VLOOKUP('Données projet'!$B$10,Paramètres!$A$1:$I$89,5,0)</f>
        <v>-3.1923264032229784E-13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402.38496642820587</v>
      </c>
      <c r="AO175" s="59">
        <f t="shared" si="144"/>
        <v>196.65158751478987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93.631747746141087</v>
      </c>
      <c r="AV175" s="21">
        <f>EXP(-LN(2)/25)*AV174+(1-EXP(-LN(2)/25))/(LN(2)/25)*Calculateur!AQ175*Calculateur!AS175*VLOOKUP('Données projet'!$B$10,Paramètres!$A$1:$I$89,3,0)*0.475*44/12</f>
        <v>11.942078510042004</v>
      </c>
      <c r="AW175" s="21">
        <f>EXP(-LN(2)/2)*AW174+(1-EXP(-LN(2)/2))/(LN(2)/2)*AQ175*AT175*VLOOKUP('Données projet'!$B$10,Paramètres!$A$1:$I$89,3,0)*0.475*44/12</f>
        <v>9.932040571975755E-10</v>
      </c>
      <c r="AX175" s="21">
        <f t="shared" si="166"/>
        <v>105.57382625717631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257.96727373333601</v>
      </c>
      <c r="BJ175" s="59">
        <f t="shared" si="146"/>
        <v>194.52809733694494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26.849514490300773</v>
      </c>
      <c r="BQ175" s="21">
        <f>EXP(-LN(2)/25)*BQ174+(1-EXP(-LN(2)/25))/(LN(2)/25)*Calculateur!BL175*Calculateur!BN175*VLOOKUP('Données projet'!$B$11,Paramètres!$A$1:$I$89,3,0)*0.475*44/12</f>
        <v>5.8134366513640883</v>
      </c>
      <c r="BR175" s="21">
        <f>EXP(-LN(2)/2)*BR174+(1-EXP(-LN(2)/2))/(LN(2)/2)*BL175*BO175*VLOOKUP('Données projet'!$B$11,Paramètres!$A$1:$I$89,3,0)*0.475*44/12</f>
        <v>1.1015970646533155E-12</v>
      </c>
      <c r="BS175" s="22">
        <f t="shared" si="169"/>
        <v>32.662951141665964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355.23615781077405</v>
      </c>
      <c r="T176" s="59">
        <f t="shared" si="142"/>
        <v>448.84541017639367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27.143436044036466</v>
      </c>
      <c r="AA176" s="21">
        <f>EXP(-LN(2)/25)*AA175+(1-EXP(-LN(2)/25))/(LN(2)/25)*Calculateur!V176*Calculateur!X176*VLOOKUP('Données projet'!$B$9,Paramètres!$A$1:$I$89,3,0)*0.475*44/12</f>
        <v>2.642814052148005</v>
      </c>
      <c r="AB176" s="21">
        <f>EXP(-LN(2)/2)*AB175+(1-EXP(-LN(2)/2))/(LN(2)/2)*V176*Y176*VLOOKUP('Données projet'!$B$9,Paramètres!$A$1:$I$89,3,0)*0.475*44/12</f>
        <v>4.2381123203002808E-16</v>
      </c>
      <c r="AC176" s="22">
        <f t="shared" si="163"/>
        <v>29.786250096184471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-6.8212102632969618E-13</v>
      </c>
      <c r="AJ176" s="13">
        <f>AI176*VLOOKUP('Données projet'!$B$10,Paramètres!$A$1:$I$89,3,0)*VLOOKUP('Données projet'!$B$10,Paramètres!$A$1:$I$89,5,0)</f>
        <v>-3.1923264032229784E-13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402.38496642820587</v>
      </c>
      <c r="AO176" s="59">
        <f t="shared" si="144"/>
        <v>196.65158751478987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91.795686282566265</v>
      </c>
      <c r="AV176" s="21">
        <f>EXP(-LN(2)/25)*AV175+(1-EXP(-LN(2)/25))/(LN(2)/25)*Calculateur!AQ176*Calculateur!AS176*VLOOKUP('Données projet'!$B$10,Paramètres!$A$1:$I$89,3,0)*0.475*44/12</f>
        <v>11.61552174517829</v>
      </c>
      <c r="AW176" s="21">
        <f>EXP(-LN(2)/2)*AW175+(1-EXP(-LN(2)/2))/(LN(2)/2)*AQ176*AT176*VLOOKUP('Données projet'!$B$10,Paramètres!$A$1:$I$89,3,0)*0.475*44/12</f>
        <v>7.0230132394639726E-10</v>
      </c>
      <c r="AX176" s="21">
        <f t="shared" si="166"/>
        <v>103.41120802844685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257.96727373333601</v>
      </c>
      <c r="BJ176" s="59">
        <f t="shared" si="146"/>
        <v>194.52809733694494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26.323011887732761</v>
      </c>
      <c r="BQ176" s="21">
        <f>EXP(-LN(2)/25)*BQ175+(1-EXP(-LN(2)/25))/(LN(2)/25)*Calculateur!BL176*Calculateur!BN176*VLOOKUP('Données projet'!$B$11,Paramètres!$A$1:$I$89,3,0)*0.475*44/12</f>
        <v>5.6544679204171908</v>
      </c>
      <c r="BR176" s="21">
        <f>EXP(-LN(2)/2)*BR175+(1-EXP(-LN(2)/2))/(LN(2)/2)*BL176*BO176*VLOOKUP('Données projet'!$B$11,Paramètres!$A$1:$I$89,3,0)*0.475*44/12</f>
        <v>7.7894675455155503E-13</v>
      </c>
      <c r="BS176" s="22">
        <f t="shared" si="169"/>
        <v>31.977479808150729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355.23615781077405</v>
      </c>
      <c r="T177" s="59">
        <f t="shared" si="142"/>
        <v>448.84541017639367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26.611169819074142</v>
      </c>
      <c r="AA177" s="21">
        <f>EXP(-LN(2)/25)*AA176+(1-EXP(-LN(2)/25))/(LN(2)/25)*Calculateur!V177*Calculateur!X177*VLOOKUP('Données projet'!$B$9,Paramètres!$A$1:$I$89,3,0)*0.475*44/12</f>
        <v>2.5705461629124668</v>
      </c>
      <c r="AB177" s="21">
        <f>EXP(-LN(2)/2)*AB176+(1-EXP(-LN(2)/2))/(LN(2)/2)*V177*Y177*VLOOKUP('Données projet'!$B$9,Paramètres!$A$1:$I$89,3,0)*0.475*44/12</f>
        <v>2.9967979611145818E-16</v>
      </c>
      <c r="AC177" s="22">
        <f t="shared" si="163"/>
        <v>29.18171598198661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-6.8212102632969618E-13</v>
      </c>
      <c r="AJ177" s="13">
        <f>AI177*VLOOKUP('Données projet'!$B$10,Paramètres!$A$1:$I$89,3,0)*VLOOKUP('Données projet'!$B$10,Paramètres!$A$1:$I$89,5,0)</f>
        <v>-3.1923264032229784E-13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402.38496642820587</v>
      </c>
      <c r="AO177" s="59">
        <f t="shared" si="144"/>
        <v>196.65158751478987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89.995628864405234</v>
      </c>
      <c r="AV177" s="21">
        <f>EXP(-LN(2)/25)*AV176+(1-EXP(-LN(2)/25))/(LN(2)/25)*Calculateur!AQ177*Calculateur!AS177*VLOOKUP('Données projet'!$B$10,Paramètres!$A$1:$I$89,3,0)*0.475*44/12</f>
        <v>11.297894692222648</v>
      </c>
      <c r="AW177" s="21">
        <f>EXP(-LN(2)/2)*AW176+(1-EXP(-LN(2)/2))/(LN(2)/2)*AQ177*AT177*VLOOKUP('Données projet'!$B$10,Paramètres!$A$1:$I$89,3,0)*0.475*44/12</f>
        <v>4.9660202859878775E-10</v>
      </c>
      <c r="AX177" s="21">
        <f t="shared" si="166"/>
        <v>101.29352355712449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257.96727373333601</v>
      </c>
      <c r="BJ177" s="59">
        <f t="shared" si="146"/>
        <v>194.52809733694494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25.80683368006623</v>
      </c>
      <c r="BQ177" s="21">
        <f>EXP(-LN(2)/25)*BQ176+(1-EXP(-LN(2)/25))/(LN(2)/25)*Calculateur!BL177*Calculateur!BN177*VLOOKUP('Données projet'!$B$11,Paramètres!$A$1:$I$89,3,0)*0.475*44/12</f>
        <v>5.4998461977778383</v>
      </c>
      <c r="BR177" s="21">
        <f>EXP(-LN(2)/2)*BR176+(1-EXP(-LN(2)/2))/(LN(2)/2)*BL177*BO177*VLOOKUP('Données projet'!$B$11,Paramètres!$A$1:$I$89,3,0)*0.475*44/12</f>
        <v>5.5079853232665776E-13</v>
      </c>
      <c r="BS177" s="22">
        <f t="shared" si="169"/>
        <v>31.306679877844619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355.23615781077405</v>
      </c>
      <c r="T178" s="59">
        <f t="shared" si="142"/>
        <v>448.84541017639367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26.089341010132991</v>
      </c>
      <c r="AA178" s="21">
        <f>EXP(-LN(2)/25)*AA177+(1-EXP(-LN(2)/25))/(LN(2)/25)*Calculateur!V178*Calculateur!X178*VLOOKUP('Données projet'!$B$9,Paramètres!$A$1:$I$89,3,0)*0.475*44/12</f>
        <v>2.5002544429084779</v>
      </c>
      <c r="AB178" s="21">
        <f>EXP(-LN(2)/2)*AB177+(1-EXP(-LN(2)/2))/(LN(2)/2)*V178*Y178*VLOOKUP('Données projet'!$B$9,Paramètres!$A$1:$I$89,3,0)*0.475*44/12</f>
        <v>2.1190561601501404E-16</v>
      </c>
      <c r="AC178" s="22">
        <f t="shared" si="163"/>
        <v>28.589595453041468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-6.8212102632969618E-13</v>
      </c>
      <c r="AJ178" s="13">
        <f>AI178*VLOOKUP('Données projet'!$B$10,Paramètres!$A$1:$I$89,3,0)*VLOOKUP('Données projet'!$B$10,Paramètres!$A$1:$I$89,5,0)</f>
        <v>-3.1923264032229784E-13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402.38496642820587</v>
      </c>
      <c r="AO178" s="59">
        <f t="shared" si="144"/>
        <v>196.65158751478987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88.230869474287729</v>
      </c>
      <c r="AV178" s="21">
        <f>EXP(-LN(2)/25)*AV177+(1-EXP(-LN(2)/25))/(LN(2)/25)*Calculateur!AQ178*Calculateur!AS178*VLOOKUP('Données projet'!$B$10,Paramètres!$A$1:$I$89,3,0)*0.475*44/12</f>
        <v>10.98895316773336</v>
      </c>
      <c r="AW178" s="21">
        <f>EXP(-LN(2)/2)*AW177+(1-EXP(-LN(2)/2))/(LN(2)/2)*AQ178*AT178*VLOOKUP('Données projet'!$B$10,Paramètres!$A$1:$I$89,3,0)*0.475*44/12</f>
        <v>3.5115066197319863E-10</v>
      </c>
      <c r="AX178" s="21">
        <f t="shared" si="166"/>
        <v>99.219822642372236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257.96727373333601</v>
      </c>
      <c r="BJ178" s="59">
        <f t="shared" si="146"/>
        <v>194.52809733694494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25.300777412214419</v>
      </c>
      <c r="BQ178" s="21">
        <f>EXP(-LN(2)/25)*BQ177+(1-EXP(-LN(2)/25))/(LN(2)/25)*Calculateur!BL178*Calculateur!BN178*VLOOKUP('Données projet'!$B$11,Paramètres!$A$1:$I$89,3,0)*0.475*44/12</f>
        <v>5.3494526142752621</v>
      </c>
      <c r="BR178" s="21">
        <f>EXP(-LN(2)/2)*BR177+(1-EXP(-LN(2)/2))/(LN(2)/2)*BL178*BO178*VLOOKUP('Données projet'!$B$11,Paramètres!$A$1:$I$89,3,0)*0.475*44/12</f>
        <v>3.8947337727577751E-13</v>
      </c>
      <c r="BS178" s="22">
        <f t="shared" si="169"/>
        <v>30.650230026490071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355.23615781077405</v>
      </c>
      <c r="T179" s="59">
        <f t="shared" si="142"/>
        <v>448.84541017639367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25.577744945851027</v>
      </c>
      <c r="AA179" s="21">
        <f>EXP(-LN(2)/25)*AA178+(1-EXP(-LN(2)/25))/(LN(2)/25)*Calculateur!V179*Calculateur!X179*VLOOKUP('Données projet'!$B$9,Paramètres!$A$1:$I$89,3,0)*0.475*44/12</f>
        <v>2.4318848536844788</v>
      </c>
      <c r="AB179" s="21">
        <f>EXP(-LN(2)/2)*AB178+(1-EXP(-LN(2)/2))/(LN(2)/2)*V179*Y179*VLOOKUP('Données projet'!$B$9,Paramètres!$A$1:$I$89,3,0)*0.475*44/12</f>
        <v>1.4983989805572909E-16</v>
      </c>
      <c r="AC179" s="22">
        <f t="shared" si="163"/>
        <v>28.009629799535507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-6.8212102632969618E-13</v>
      </c>
      <c r="AJ179" s="13">
        <f>AI179*VLOOKUP('Données projet'!$B$10,Paramètres!$A$1:$I$89,3,0)*VLOOKUP('Données projet'!$B$10,Paramètres!$A$1:$I$89,5,0)</f>
        <v>-3.1923264032229784E-13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402.38496642820587</v>
      </c>
      <c r="AO179" s="59">
        <f t="shared" si="144"/>
        <v>196.65158751478987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86.500715939413482</v>
      </c>
      <c r="AV179" s="21">
        <f>EXP(-LN(2)/25)*AV178+(1-EXP(-LN(2)/25))/(LN(2)/25)*Calculateur!AQ179*Calculateur!AS179*VLOOKUP('Données projet'!$B$10,Paramètres!$A$1:$I$89,3,0)*0.475*44/12</f>
        <v>10.68845966547776</v>
      </c>
      <c r="AW179" s="21">
        <f>EXP(-LN(2)/2)*AW178+(1-EXP(-LN(2)/2))/(LN(2)/2)*AQ179*AT179*VLOOKUP('Données projet'!$B$10,Paramètres!$A$1:$I$89,3,0)*0.475*44/12</f>
        <v>2.4830101429939388E-10</v>
      </c>
      <c r="AX179" s="21">
        <f t="shared" si="166"/>
        <v>97.189175605139553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257.96727373333601</v>
      </c>
      <c r="BJ179" s="59">
        <f t="shared" si="146"/>
        <v>194.52809733694494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24.804644599111338</v>
      </c>
      <c r="BQ179" s="21">
        <f>EXP(-LN(2)/25)*BQ178+(1-EXP(-LN(2)/25))/(LN(2)/25)*Calculateur!BL179*Calculateur!BN179*VLOOKUP('Données projet'!$B$11,Paramètres!$A$1:$I$89,3,0)*0.475*44/12</f>
        <v>5.2031715512224181</v>
      </c>
      <c r="BR179" s="21">
        <f>EXP(-LN(2)/2)*BR178+(1-EXP(-LN(2)/2))/(LN(2)/2)*BL179*BO179*VLOOKUP('Données projet'!$B$11,Paramètres!$A$1:$I$89,3,0)*0.475*44/12</f>
        <v>2.7539926616332888E-13</v>
      </c>
      <c r="BS179" s="22">
        <f t="shared" si="169"/>
        <v>30.007816150334033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355.23615781077405</v>
      </c>
      <c r="T180" s="59">
        <f t="shared" si="142"/>
        <v>448.84541017639367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25.076180968346847</v>
      </c>
      <c r="AA180" s="21">
        <f>EXP(-LN(2)/25)*AA179+(1-EXP(-LN(2)/25))/(LN(2)/25)*Calculateur!V180*Calculateur!X180*VLOOKUP('Données projet'!$B$9,Paramètres!$A$1:$I$89,3,0)*0.475*44/12</f>
        <v>2.3653848344732102</v>
      </c>
      <c r="AB180" s="21">
        <f>EXP(-LN(2)/2)*AB179+(1-EXP(-LN(2)/2))/(LN(2)/2)*V180*Y180*VLOOKUP('Données projet'!$B$9,Paramètres!$A$1:$I$89,3,0)*0.475*44/12</f>
        <v>1.0595280800750702E-16</v>
      </c>
      <c r="AC180" s="22">
        <f t="shared" si="163"/>
        <v>27.441565802820058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-6.8212102632969618E-13</v>
      </c>
      <c r="AJ180" s="13">
        <f>AI180*VLOOKUP('Données projet'!$B$10,Paramètres!$A$1:$I$89,3,0)*VLOOKUP('Données projet'!$B$10,Paramètres!$A$1:$I$89,5,0)</f>
        <v>-3.1923264032229784E-13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402.38496642820587</v>
      </c>
      <c r="AO180" s="59">
        <f t="shared" si="144"/>
        <v>196.65158751478987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84.804489660068668</v>
      </c>
      <c r="AV180" s="21">
        <f>EXP(-LN(2)/25)*AV179+(1-EXP(-LN(2)/25))/(LN(2)/25)*Calculateur!AQ180*Calculateur!AS180*VLOOKUP('Données projet'!$B$10,Paramètres!$A$1:$I$89,3,0)*0.475*44/12</f>
        <v>10.396183173843605</v>
      </c>
      <c r="AW180" s="21">
        <f>EXP(-LN(2)/2)*AW179+(1-EXP(-LN(2)/2))/(LN(2)/2)*AQ180*AT180*VLOOKUP('Données projet'!$B$10,Paramètres!$A$1:$I$89,3,0)*0.475*44/12</f>
        <v>1.7557533098659931E-10</v>
      </c>
      <c r="AX180" s="21">
        <f t="shared" si="166"/>
        <v>95.200672834087854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257.96727373333601</v>
      </c>
      <c r="BJ180" s="59">
        <f t="shared" si="146"/>
        <v>194.52809733694494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24.318240647862073</v>
      </c>
      <c r="BQ180" s="21">
        <f>EXP(-LN(2)/25)*BQ179+(1-EXP(-LN(2)/25))/(LN(2)/25)*Calculateur!BL180*Calculateur!BN180*VLOOKUP('Données projet'!$B$11,Paramètres!$A$1:$I$89,3,0)*0.475*44/12</f>
        <v>5.0608905515313412</v>
      </c>
      <c r="BR180" s="21">
        <f>EXP(-LN(2)/2)*BR179+(1-EXP(-LN(2)/2))/(LN(2)/2)*BL180*BO180*VLOOKUP('Données projet'!$B$11,Paramètres!$A$1:$I$89,3,0)*0.475*44/12</f>
        <v>1.9473668863788876E-13</v>
      </c>
      <c r="BS180" s="22">
        <f t="shared" si="169"/>
        <v>29.379131199393608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355.23615781077405</v>
      </c>
      <c r="T181" s="59">
        <f t="shared" si="142"/>
        <v>448.84541017639367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24.584452354517705</v>
      </c>
      <c r="AA181" s="21">
        <f>EXP(-LN(2)/25)*AA180+(1-EXP(-LN(2)/25))/(LN(2)/25)*Calculateur!V181*Calculateur!X181*VLOOKUP('Données projet'!$B$9,Paramètres!$A$1:$I$89,3,0)*0.475*44/12</f>
        <v>2.3007032617843581</v>
      </c>
      <c r="AB181" s="21">
        <f>EXP(-LN(2)/2)*AB180+(1-EXP(-LN(2)/2))/(LN(2)/2)*V181*Y181*VLOOKUP('Données projet'!$B$9,Paramètres!$A$1:$I$89,3,0)*0.475*44/12</f>
        <v>7.4919949027864546E-17</v>
      </c>
      <c r="AC181" s="22">
        <f t="shared" si="163"/>
        <v>26.885155616302065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-6.8212102632969618E-13</v>
      </c>
      <c r="AJ181" s="13">
        <f>AI181*VLOOKUP('Données projet'!$B$10,Paramètres!$A$1:$I$89,3,0)*VLOOKUP('Données projet'!$B$10,Paramètres!$A$1:$I$89,5,0)</f>
        <v>-3.1923264032229784E-13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402.38496642820587</v>
      </c>
      <c r="AO181" s="59">
        <f t="shared" si="144"/>
        <v>196.65158751478987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83.141525343465929</v>
      </c>
      <c r="AV181" s="21">
        <f>EXP(-LN(2)/25)*AV180+(1-EXP(-LN(2)/25))/(LN(2)/25)*Calculateur!AQ181*Calculateur!AS181*VLOOKUP('Données projet'!$B$10,Paramètres!$A$1:$I$89,3,0)*0.475*44/12</f>
        <v>10.111898998243339</v>
      </c>
      <c r="AW181" s="21">
        <f>EXP(-LN(2)/2)*AW180+(1-EXP(-LN(2)/2))/(LN(2)/2)*AQ181*AT181*VLOOKUP('Données projet'!$B$10,Paramètres!$A$1:$I$89,3,0)*0.475*44/12</f>
        <v>1.2415050714969694E-10</v>
      </c>
      <c r="AX181" s="21">
        <f t="shared" si="166"/>
        <v>93.253424341833409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257.96727373333601</v>
      </c>
      <c r="BJ181" s="59">
        <f t="shared" si="146"/>
        <v>194.52809733694494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23.841374781419688</v>
      </c>
      <c r="BQ181" s="21">
        <f>EXP(-LN(2)/25)*BQ180+(1-EXP(-LN(2)/25))/(LN(2)/25)*Calculateur!BL181*Calculateur!BN181*VLOOKUP('Données projet'!$B$11,Paramètres!$A$1:$I$89,3,0)*0.475*44/12</f>
        <v>4.9225002332590497</v>
      </c>
      <c r="BR181" s="21">
        <f>EXP(-LN(2)/2)*BR180+(1-EXP(-LN(2)/2))/(LN(2)/2)*BL181*BO181*VLOOKUP('Données projet'!$B$11,Paramètres!$A$1:$I$89,3,0)*0.475*44/12</f>
        <v>1.3769963308166444E-13</v>
      </c>
      <c r="BS181" s="22">
        <f t="shared" si="169"/>
        <v>28.763875014678877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355.23615781077405</v>
      </c>
      <c r="T182" s="59">
        <f t="shared" si="142"/>
        <v>448.84541017639367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24.102366238880911</v>
      </c>
      <c r="AA182" s="21">
        <f>EXP(-LN(2)/25)*AA181+(1-EXP(-LN(2)/25))/(LN(2)/25)*Calculateur!V182*Calculateur!X182*VLOOKUP('Données projet'!$B$9,Paramètres!$A$1:$I$89,3,0)*0.475*44/12</f>
        <v>2.2377904101021389</v>
      </c>
      <c r="AB182" s="21">
        <f>EXP(-LN(2)/2)*AB181+(1-EXP(-LN(2)/2))/(LN(2)/2)*V182*Y182*VLOOKUP('Données projet'!$B$9,Paramètres!$A$1:$I$89,3,0)*0.475*44/12</f>
        <v>5.297640400375351E-17</v>
      </c>
      <c r="AC182" s="22">
        <f t="shared" si="163"/>
        <v>26.340156648983051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-6.8212102632969618E-13</v>
      </c>
      <c r="AJ182" s="13">
        <f>AI182*VLOOKUP('Données projet'!$B$10,Paramètres!$A$1:$I$89,3,0)*VLOOKUP('Données projet'!$B$10,Paramètres!$A$1:$I$89,5,0)</f>
        <v>-3.1923264032229784E-13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402.38496642820587</v>
      </c>
      <c r="AO182" s="59">
        <f t="shared" si="144"/>
        <v>196.65158751478987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81.511170742803699</v>
      </c>
      <c r="AV182" s="21">
        <f>EXP(-LN(2)/25)*AV181+(1-EXP(-LN(2)/25))/(LN(2)/25)*Calculateur!AQ182*Calculateur!AS182*VLOOKUP('Données projet'!$B$10,Paramètres!$A$1:$I$89,3,0)*0.475*44/12</f>
        <v>9.8353885883747179</v>
      </c>
      <c r="AW182" s="21">
        <f>EXP(-LN(2)/2)*AW181+(1-EXP(-LN(2)/2))/(LN(2)/2)*AQ182*AT182*VLOOKUP('Données projet'!$B$10,Paramètres!$A$1:$I$89,3,0)*0.475*44/12</f>
        <v>8.7787665493299657E-11</v>
      </c>
      <c r="AX182" s="21">
        <f t="shared" si="166"/>
        <v>91.346559331266207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257.96727373333601</v>
      </c>
      <c r="BJ182" s="59">
        <f t="shared" si="146"/>
        <v>194.52809733694494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23.373859963758782</v>
      </c>
      <c r="BQ182" s="21">
        <f>EXP(-LN(2)/25)*BQ181+(1-EXP(-LN(2)/25))/(LN(2)/25)*Calculateur!BL182*Calculateur!BN182*VLOOKUP('Données projet'!$B$11,Paramètres!$A$1:$I$89,3,0)*0.475*44/12</f>
        <v>4.787894205517544</v>
      </c>
      <c r="BR182" s="21">
        <f>EXP(-LN(2)/2)*BR181+(1-EXP(-LN(2)/2))/(LN(2)/2)*BL182*BO182*VLOOKUP('Données projet'!$B$11,Paramètres!$A$1:$I$89,3,0)*0.475*44/12</f>
        <v>9.7368344318944379E-14</v>
      </c>
      <c r="BS182" s="22">
        <f t="shared" si="169"/>
        <v>28.161754169276424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355.23615781077405</v>
      </c>
      <c r="T183" s="59">
        <f t="shared" si="142"/>
        <v>448.84541017639367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23.62973353792826</v>
      </c>
      <c r="AA183" s="21">
        <f>EXP(-LN(2)/25)*AA182+(1-EXP(-LN(2)/25))/(LN(2)/25)*Calculateur!V183*Calculateur!X183*VLOOKUP('Données projet'!$B$9,Paramètres!$A$1:$I$89,3,0)*0.475*44/12</f>
        <v>2.1765979136576128</v>
      </c>
      <c r="AB183" s="21">
        <f>EXP(-LN(2)/2)*AB182+(1-EXP(-LN(2)/2))/(LN(2)/2)*V183*Y183*VLOOKUP('Données projet'!$B$9,Paramètres!$A$1:$I$89,3,0)*0.475*44/12</f>
        <v>3.7459974513932273E-17</v>
      </c>
      <c r="AC183" s="22">
        <f t="shared" si="163"/>
        <v>25.806331451585873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-6.8212102632969618E-13</v>
      </c>
      <c r="AJ183" s="13">
        <f>AI183*VLOOKUP('Données projet'!$B$10,Paramètres!$A$1:$I$89,3,0)*VLOOKUP('Données projet'!$B$10,Paramètres!$A$1:$I$89,5,0)</f>
        <v>-3.1923264032229784E-13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402.38496642820587</v>
      </c>
      <c r="AO183" s="59">
        <f t="shared" si="144"/>
        <v>196.65158751478987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79.912786401442332</v>
      </c>
      <c r="AV183" s="21">
        <f>EXP(-LN(2)/25)*AV182+(1-EXP(-LN(2)/25))/(LN(2)/25)*Calculateur!AQ183*Calculateur!AS183*VLOOKUP('Données projet'!$B$10,Paramètres!$A$1:$I$89,3,0)*0.475*44/12</f>
        <v>9.5664393702050052</v>
      </c>
      <c r="AW183" s="21">
        <f>EXP(-LN(2)/2)*AW182+(1-EXP(-LN(2)/2))/(LN(2)/2)*AQ183*AT183*VLOOKUP('Données projet'!$B$10,Paramètres!$A$1:$I$89,3,0)*0.475*44/12</f>
        <v>6.2075253574848469E-11</v>
      </c>
      <c r="AX183" s="21">
        <f t="shared" si="166"/>
        <v>89.479225771709409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257.96727373333601</v>
      </c>
      <c r="BJ183" s="59">
        <f t="shared" si="146"/>
        <v>194.52809733694494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22.915512826516323</v>
      </c>
      <c r="BQ183" s="21">
        <f>EXP(-LN(2)/25)*BQ182+(1-EXP(-LN(2)/25))/(LN(2)/25)*Calculateur!BL183*Calculateur!BN183*VLOOKUP('Données projet'!$B$11,Paramètres!$A$1:$I$89,3,0)*0.475*44/12</f>
        <v>4.6569689866832533</v>
      </c>
      <c r="BR183" s="21">
        <f>EXP(-LN(2)/2)*BR182+(1-EXP(-LN(2)/2))/(LN(2)/2)*BL183*BO183*VLOOKUP('Données projet'!$B$11,Paramètres!$A$1:$I$89,3,0)*0.475*44/12</f>
        <v>6.884981654083222E-14</v>
      </c>
      <c r="BS183" s="22">
        <f t="shared" si="169"/>
        <v>27.572481813199644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355.23615781077405</v>
      </c>
      <c r="T184" s="59">
        <f t="shared" si="142"/>
        <v>448.84541017639367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23.166368875963808</v>
      </c>
      <c r="AA184" s="21">
        <f>EXP(-LN(2)/25)*AA183+(1-EXP(-LN(2)/25))/(LN(2)/25)*Calculateur!V184*Calculateur!X184*VLOOKUP('Données projet'!$B$9,Paramètres!$A$1:$I$89,3,0)*0.475*44/12</f>
        <v>2.1170787292463356</v>
      </c>
      <c r="AB184" s="21">
        <f>EXP(-LN(2)/2)*AB183+(1-EXP(-LN(2)/2))/(LN(2)/2)*V184*Y184*VLOOKUP('Données projet'!$B$9,Paramètres!$A$1:$I$89,3,0)*0.475*44/12</f>
        <v>2.6488202001876755E-17</v>
      </c>
      <c r="AC184" s="22">
        <f t="shared" si="163"/>
        <v>25.283447605210142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-6.8212102632969618E-13</v>
      </c>
      <c r="AJ184" s="13">
        <f>AI184*VLOOKUP('Données projet'!$B$10,Paramètres!$A$1:$I$89,3,0)*VLOOKUP('Données projet'!$B$10,Paramètres!$A$1:$I$89,5,0)</f>
        <v>-3.1923264032229784E-13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402.38496642820587</v>
      </c>
      <c r="AO184" s="59">
        <f t="shared" si="144"/>
        <v>196.65158751478987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78.345745402096881</v>
      </c>
      <c r="AV184" s="21">
        <f>EXP(-LN(2)/25)*AV183+(1-EXP(-LN(2)/25))/(LN(2)/25)*Calculateur!AQ184*Calculateur!AS184*VLOOKUP('Données projet'!$B$10,Paramètres!$A$1:$I$89,3,0)*0.475*44/12</f>
        <v>9.3048445825495669</v>
      </c>
      <c r="AW184" s="21">
        <f>EXP(-LN(2)/2)*AW183+(1-EXP(-LN(2)/2))/(LN(2)/2)*AQ184*AT184*VLOOKUP('Données projet'!$B$10,Paramètres!$A$1:$I$89,3,0)*0.475*44/12</f>
        <v>4.3893832746649829E-11</v>
      </c>
      <c r="AX184" s="21">
        <f t="shared" si="166"/>
        <v>87.650589984690342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257.96727373333601</v>
      </c>
      <c r="BJ184" s="59">
        <f t="shared" si="146"/>
        <v>194.52809733694494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22.466153597071042</v>
      </c>
      <c r="BQ184" s="21">
        <f>EXP(-LN(2)/25)*BQ183+(1-EXP(-LN(2)/25))/(LN(2)/25)*Calculateur!BL184*Calculateur!BN184*VLOOKUP('Données projet'!$B$11,Paramètres!$A$1:$I$89,3,0)*0.475*44/12</f>
        <v>4.5296239248430448</v>
      </c>
      <c r="BR184" s="21">
        <f>EXP(-LN(2)/2)*BR183+(1-EXP(-LN(2)/2))/(LN(2)/2)*BL184*BO184*VLOOKUP('Données projet'!$B$11,Paramètres!$A$1:$I$89,3,0)*0.475*44/12</f>
        <v>4.8684172159472189E-14</v>
      </c>
      <c r="BS184" s="22">
        <f t="shared" si="169"/>
        <v>26.995777521914135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355.23615781077405</v>
      </c>
      <c r="T185" s="59">
        <f t="shared" si="142"/>
        <v>448.84541017639367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22.712090512395942</v>
      </c>
      <c r="AA185" s="21">
        <f>EXP(-LN(2)/25)*AA184+(1-EXP(-LN(2)/25))/(LN(2)/25)*Calculateur!V185*Calculateur!X185*VLOOKUP('Données projet'!$B$9,Paramètres!$A$1:$I$89,3,0)*0.475*44/12</f>
        <v>2.0591871000627626</v>
      </c>
      <c r="AB185" s="21">
        <f>EXP(-LN(2)/2)*AB184+(1-EXP(-LN(2)/2))/(LN(2)/2)*V185*Y185*VLOOKUP('Données projet'!$B$9,Paramètres!$A$1:$I$89,3,0)*0.475*44/12</f>
        <v>1.8729987256966137E-17</v>
      </c>
      <c r="AC185" s="22">
        <f t="shared" si="163"/>
        <v>24.771277612458704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-6.8212102632969618E-13</v>
      </c>
      <c r="AJ185" s="13">
        <f>AI185*VLOOKUP('Données projet'!$B$10,Paramètres!$A$1:$I$89,3,0)*VLOOKUP('Données projet'!$B$10,Paramètres!$A$1:$I$89,5,0)</f>
        <v>-3.1923264032229784E-13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402.38496642820587</v>
      </c>
      <c r="AO185" s="59">
        <f t="shared" si="144"/>
        <v>196.65158751478987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76.809433120947958</v>
      </c>
      <c r="AV185" s="21">
        <f>EXP(-LN(2)/25)*AV184+(1-EXP(-LN(2)/25))/(LN(2)/25)*Calculateur!AQ185*Calculateur!AS185*VLOOKUP('Données projet'!$B$10,Paramètres!$A$1:$I$89,3,0)*0.475*44/12</f>
        <v>9.0504031181192381</v>
      </c>
      <c r="AW185" s="21">
        <f>EXP(-LN(2)/2)*AW184+(1-EXP(-LN(2)/2))/(LN(2)/2)*AQ185*AT185*VLOOKUP('Données projet'!$B$10,Paramètres!$A$1:$I$89,3,0)*0.475*44/12</f>
        <v>3.1037626787424234E-11</v>
      </c>
      <c r="AX185" s="21">
        <f t="shared" si="166"/>
        <v>85.859836239098229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257.96727373333601</v>
      </c>
      <c r="BJ185" s="59">
        <f t="shared" si="146"/>
        <v>194.52809733694494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22.025606028033113</v>
      </c>
      <c r="BQ185" s="21">
        <f>EXP(-LN(2)/25)*BQ184+(1-EXP(-LN(2)/25))/(LN(2)/25)*Calculateur!BL185*Calculateur!BN185*VLOOKUP('Données projet'!$B$11,Paramètres!$A$1:$I$89,3,0)*0.475*44/12</f>
        <v>4.4057611204156419</v>
      </c>
      <c r="BR185" s="21">
        <f>EXP(-LN(2)/2)*BR184+(1-EXP(-LN(2)/2))/(LN(2)/2)*BL185*BO185*VLOOKUP('Données projet'!$B$11,Paramètres!$A$1:$I$89,3,0)*0.475*44/12</f>
        <v>3.442490827041611E-14</v>
      </c>
      <c r="BS185" s="22">
        <f t="shared" si="169"/>
        <v>26.431367148448793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355.23615781077405</v>
      </c>
      <c r="T186" s="59">
        <f t="shared" si="142"/>
        <v>448.84541017639367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22.266720270455199</v>
      </c>
      <c r="AA186" s="21">
        <f>EXP(-LN(2)/25)*AA185+(1-EXP(-LN(2)/25))/(LN(2)/25)*Calculateur!V186*Calculateur!X186*VLOOKUP('Données projet'!$B$9,Paramètres!$A$1:$I$89,3,0)*0.475*44/12</f>
        <v>2.0028785205236033</v>
      </c>
      <c r="AB186" s="21">
        <f>EXP(-LN(2)/2)*AB185+(1-EXP(-LN(2)/2))/(LN(2)/2)*V186*Y186*VLOOKUP('Données projet'!$B$9,Paramètres!$A$1:$I$89,3,0)*0.475*44/12</f>
        <v>1.3244101000938378E-17</v>
      </c>
      <c r="AC186" s="22">
        <f t="shared" si="163"/>
        <v>24.269598790978801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-6.8212102632969618E-13</v>
      </c>
      <c r="AJ186" s="13">
        <f>AI186*VLOOKUP('Données projet'!$B$10,Paramètres!$A$1:$I$89,3,0)*VLOOKUP('Données projet'!$B$10,Paramètres!$A$1:$I$89,5,0)</f>
        <v>-3.1923264032229784E-13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402.38496642820587</v>
      </c>
      <c r="AO186" s="59">
        <f t="shared" si="144"/>
        <v>196.65158751478987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75.303246986574408</v>
      </c>
      <c r="AV186" s="21">
        <f>EXP(-LN(2)/25)*AV185+(1-EXP(-LN(2)/25))/(LN(2)/25)*Calculateur!AQ186*Calculateur!AS186*VLOOKUP('Données projet'!$B$10,Paramètres!$A$1:$I$89,3,0)*0.475*44/12</f>
        <v>8.8029193689142531</v>
      </c>
      <c r="AW186" s="21">
        <f>EXP(-LN(2)/2)*AW185+(1-EXP(-LN(2)/2))/(LN(2)/2)*AQ186*AT186*VLOOKUP('Données projet'!$B$10,Paramètres!$A$1:$I$89,3,0)*0.475*44/12</f>
        <v>2.1946916373324914E-11</v>
      </c>
      <c r="AX186" s="21">
        <f t="shared" si="166"/>
        <v>84.106166355510595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257.96727373333601</v>
      </c>
      <c r="BJ186" s="59">
        <f t="shared" si="146"/>
        <v>194.52809733694494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21.593697328116534</v>
      </c>
      <c r="BQ186" s="21">
        <f>EXP(-LN(2)/25)*BQ185+(1-EXP(-LN(2)/25))/(LN(2)/25)*Calculateur!BL186*Calculateur!BN186*VLOOKUP('Données projet'!$B$11,Paramètres!$A$1:$I$89,3,0)*0.475*44/12</f>
        <v>4.2852853508889686</v>
      </c>
      <c r="BR186" s="21">
        <f>EXP(-LN(2)/2)*BR185+(1-EXP(-LN(2)/2))/(LN(2)/2)*BL186*BO186*VLOOKUP('Données projet'!$B$11,Paramètres!$A$1:$I$89,3,0)*0.475*44/12</f>
        <v>2.4342086079736095E-14</v>
      </c>
      <c r="BS186" s="22">
        <f t="shared" si="169"/>
        <v>25.878982679005528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355.23615781077405</v>
      </c>
      <c r="T187" s="59">
        <f t="shared" si="142"/>
        <v>448.84541017639367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21.83008346730989</v>
      </c>
      <c r="AA187" s="21">
        <f>EXP(-LN(2)/25)*AA186+(1-EXP(-LN(2)/25))/(LN(2)/25)*Calculateur!V187*Calculateur!X187*VLOOKUP('Données projet'!$B$9,Paramètres!$A$1:$I$89,3,0)*0.475*44/12</f>
        <v>1.9481097020530815</v>
      </c>
      <c r="AB187" s="21">
        <f>EXP(-LN(2)/2)*AB186+(1-EXP(-LN(2)/2))/(LN(2)/2)*V187*Y187*VLOOKUP('Données projet'!$B$9,Paramètres!$A$1:$I$89,3,0)*0.475*44/12</f>
        <v>9.3649936284830683E-18</v>
      </c>
      <c r="AC187" s="22">
        <f t="shared" si="163"/>
        <v>23.778193169362972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-6.8212102632969618E-13</v>
      </c>
      <c r="AJ187" s="13">
        <f>AI187*VLOOKUP('Données projet'!$B$10,Paramètres!$A$1:$I$89,3,0)*VLOOKUP('Données projet'!$B$10,Paramètres!$A$1:$I$89,5,0)</f>
        <v>-3.1923264032229784E-13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402.38496642820587</v>
      </c>
      <c r="AO187" s="59">
        <f t="shared" si="144"/>
        <v>196.65158751478987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73.826596243613096</v>
      </c>
      <c r="AV187" s="21">
        <f>EXP(-LN(2)/25)*AV186+(1-EXP(-LN(2)/25))/(LN(2)/25)*Calculateur!AQ187*Calculateur!AS187*VLOOKUP('Données projet'!$B$10,Paramètres!$A$1:$I$89,3,0)*0.475*44/12</f>
        <v>8.5622030758458827</v>
      </c>
      <c r="AW187" s="21">
        <f>EXP(-LN(2)/2)*AW186+(1-EXP(-LN(2)/2))/(LN(2)/2)*AQ187*AT187*VLOOKUP('Données projet'!$B$10,Paramètres!$A$1:$I$89,3,0)*0.475*44/12</f>
        <v>1.5518813393712117E-11</v>
      </c>
      <c r="AX187" s="21">
        <f t="shared" si="166"/>
        <v>82.388799319474501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257.96727373333601</v>
      </c>
      <c r="BJ187" s="59">
        <f t="shared" si="146"/>
        <v>194.52809733694494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21.170258094367025</v>
      </c>
      <c r="BQ187" s="21">
        <f>EXP(-LN(2)/25)*BQ186+(1-EXP(-LN(2)/25))/(LN(2)/25)*Calculateur!BL187*Calculateur!BN187*VLOOKUP('Données projet'!$B$11,Paramètres!$A$1:$I$89,3,0)*0.475*44/12</f>
        <v>4.168103997615547</v>
      </c>
      <c r="BR187" s="21">
        <f>EXP(-LN(2)/2)*BR186+(1-EXP(-LN(2)/2))/(LN(2)/2)*BL187*BO187*VLOOKUP('Données projet'!$B$11,Paramètres!$A$1:$I$89,3,0)*0.475*44/12</f>
        <v>1.7212454135208055E-14</v>
      </c>
      <c r="BS187" s="22">
        <f t="shared" si="169"/>
        <v>25.338362091982589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355.23615781077405</v>
      </c>
      <c r="T188" s="59">
        <f t="shared" si="142"/>
        <v>448.84541017639367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21.402008845552107</v>
      </c>
      <c r="AA188" s="21">
        <f>EXP(-LN(2)/25)*AA187+(1-EXP(-LN(2)/25))/(LN(2)/25)*Calculateur!V188*Calculateur!X188*VLOOKUP('Données projet'!$B$9,Paramètres!$A$1:$I$89,3,0)*0.475*44/12</f>
        <v>1.8948385398038032</v>
      </c>
      <c r="AB188" s="21">
        <f>EXP(-LN(2)/2)*AB187+(1-EXP(-LN(2)/2))/(LN(2)/2)*V188*Y188*VLOOKUP('Données projet'!$B$9,Paramètres!$A$1:$I$89,3,0)*0.475*44/12</f>
        <v>6.6220505004691888E-18</v>
      </c>
      <c r="AC188" s="22">
        <f t="shared" si="163"/>
        <v>23.29684738535591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-6.8212102632969618E-13</v>
      </c>
      <c r="AJ188" s="13">
        <f>AI188*VLOOKUP('Données projet'!$B$10,Paramètres!$A$1:$I$89,3,0)*VLOOKUP('Données projet'!$B$10,Paramètres!$A$1:$I$89,5,0)</f>
        <v>-3.1923264032229784E-13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402.38496642820587</v>
      </c>
      <c r="AO188" s="59">
        <f t="shared" si="144"/>
        <v>196.65158751478987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72.378901721053225</v>
      </c>
      <c r="AV188" s="21">
        <f>EXP(-LN(2)/25)*AV187+(1-EXP(-LN(2)/25))/(LN(2)/25)*Calculateur!AQ188*Calculateur!AS188*VLOOKUP('Données projet'!$B$10,Paramètres!$A$1:$I$89,3,0)*0.475*44/12</f>
        <v>8.3280691824701858</v>
      </c>
      <c r="AW188" s="21">
        <f>EXP(-LN(2)/2)*AW187+(1-EXP(-LN(2)/2))/(LN(2)/2)*AQ188*AT188*VLOOKUP('Données projet'!$B$10,Paramètres!$A$1:$I$89,3,0)*0.475*44/12</f>
        <v>1.0973458186662457E-11</v>
      </c>
      <c r="AX188" s="21">
        <f t="shared" si="166"/>
        <v>80.706970903534383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257.96727373333601</v>
      </c>
      <c r="BJ188" s="59">
        <f t="shared" si="146"/>
        <v>194.52809733694494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20.755122245718912</v>
      </c>
      <c r="BQ188" s="21">
        <f>EXP(-LN(2)/25)*BQ187+(1-EXP(-LN(2)/25))/(LN(2)/25)*Calculateur!BL188*Calculateur!BN188*VLOOKUP('Données projet'!$B$11,Paramètres!$A$1:$I$89,3,0)*0.475*44/12</f>
        <v>4.0541269746096873</v>
      </c>
      <c r="BR188" s="21">
        <f>EXP(-LN(2)/2)*BR187+(1-EXP(-LN(2)/2))/(LN(2)/2)*BL188*BO188*VLOOKUP('Données projet'!$B$11,Paramètres!$A$1:$I$89,3,0)*0.475*44/12</f>
        <v>1.2171043039868047E-14</v>
      </c>
      <c r="BS188" s="22">
        <f t="shared" si="169"/>
        <v>24.80924922032861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355.23615781077405</v>
      </c>
      <c r="T189" s="59">
        <f t="shared" si="142"/>
        <v>448.84541017639367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20.982328506027258</v>
      </c>
      <c r="AA189" s="21">
        <f>EXP(-LN(2)/25)*AA188+(1-EXP(-LN(2)/25))/(LN(2)/25)*Calculateur!V189*Calculateur!X189*VLOOKUP('Données projet'!$B$9,Paramètres!$A$1:$I$89,3,0)*0.475*44/12</f>
        <v>1.8430240802876401</v>
      </c>
      <c r="AB189" s="21">
        <f>EXP(-LN(2)/2)*AB188+(1-EXP(-LN(2)/2))/(LN(2)/2)*V189*Y189*VLOOKUP('Données projet'!$B$9,Paramètres!$A$1:$I$89,3,0)*0.475*44/12</f>
        <v>4.6824968142415341E-18</v>
      </c>
      <c r="AC189" s="22">
        <f t="shared" si="163"/>
        <v>22.825352586314899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-6.8212102632969618E-13</v>
      </c>
      <c r="AJ189" s="13">
        <f>AI189*VLOOKUP('Données projet'!$B$10,Paramètres!$A$1:$I$89,3,0)*VLOOKUP('Données projet'!$B$10,Paramètres!$A$1:$I$89,5,0)</f>
        <v>-3.1923264032229784E-13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402.38496642820587</v>
      </c>
      <c r="AO189" s="59">
        <f t="shared" si="144"/>
        <v>196.65158751478987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70.959595605074284</v>
      </c>
      <c r="AV189" s="21">
        <f>EXP(-LN(2)/25)*AV188+(1-EXP(-LN(2)/25))/(LN(2)/25)*Calculateur!AQ189*Calculateur!AS189*VLOOKUP('Données projet'!$B$10,Paramètres!$A$1:$I$89,3,0)*0.475*44/12</f>
        <v>8.1003376927214141</v>
      </c>
      <c r="AW189" s="21">
        <f>EXP(-LN(2)/2)*AW188+(1-EXP(-LN(2)/2))/(LN(2)/2)*AQ189*AT189*VLOOKUP('Données projet'!$B$10,Paramètres!$A$1:$I$89,3,0)*0.475*44/12</f>
        <v>7.7594066968560586E-12</v>
      </c>
      <c r="AX189" s="21">
        <f t="shared" si="166"/>
        <v>79.059933297803454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257.96727373333601</v>
      </c>
      <c r="BJ189" s="59">
        <f t="shared" si="146"/>
        <v>194.52809733694494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20.348126957854923</v>
      </c>
      <c r="BQ189" s="21">
        <f>EXP(-LN(2)/25)*BQ188+(1-EXP(-LN(2)/25))/(LN(2)/25)*Calculateur!BL189*Calculateur!BN189*VLOOKUP('Données projet'!$B$11,Paramètres!$A$1:$I$89,3,0)*0.475*44/12</f>
        <v>3.9432666592917136</v>
      </c>
      <c r="BR189" s="21">
        <f>EXP(-LN(2)/2)*BR188+(1-EXP(-LN(2)/2))/(LN(2)/2)*BL189*BO189*VLOOKUP('Données projet'!$B$11,Paramètres!$A$1:$I$89,3,0)*0.475*44/12</f>
        <v>8.6062270676040274E-15</v>
      </c>
      <c r="BS189" s="22">
        <f t="shared" si="169"/>
        <v>24.291393617146642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355.23615781077405</v>
      </c>
      <c r="T190" s="59">
        <f t="shared" si="142"/>
        <v>448.84541017639367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20.57087784198076</v>
      </c>
      <c r="AA190" s="21">
        <f>EXP(-LN(2)/25)*AA189+(1-EXP(-LN(2)/25))/(LN(2)/25)*Calculateur!V190*Calculateur!X190*VLOOKUP('Données projet'!$B$9,Paramètres!$A$1:$I$89,3,0)*0.475*44/12</f>
        <v>1.7926264898917506</v>
      </c>
      <c r="AB190" s="21">
        <f>EXP(-LN(2)/2)*AB189+(1-EXP(-LN(2)/2))/(LN(2)/2)*V190*Y190*VLOOKUP('Données projet'!$B$9,Paramètres!$A$1:$I$89,3,0)*0.475*44/12</f>
        <v>3.3110252502345944E-18</v>
      </c>
      <c r="AC190" s="22">
        <f t="shared" si="163"/>
        <v>22.363504331872512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-6.8212102632969618E-13</v>
      </c>
      <c r="AJ190" s="13">
        <f>AI190*VLOOKUP('Données projet'!$B$10,Paramètres!$A$1:$I$89,3,0)*VLOOKUP('Données projet'!$B$10,Paramètres!$A$1:$I$89,5,0)</f>
        <v>-3.1923264032229784E-13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402.38496642820587</v>
      </c>
      <c r="AO190" s="59">
        <f t="shared" si="144"/>
        <v>196.65158751478987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69.56812121633844</v>
      </c>
      <c r="AV190" s="21">
        <f>EXP(-LN(2)/25)*AV189+(1-EXP(-LN(2)/25))/(LN(2)/25)*Calculateur!AQ190*Calculateur!AS190*VLOOKUP('Données projet'!$B$10,Paramètres!$A$1:$I$89,3,0)*0.475*44/12</f>
        <v>7.8788335325357011</v>
      </c>
      <c r="AW190" s="21">
        <f>EXP(-LN(2)/2)*AW189+(1-EXP(-LN(2)/2))/(LN(2)/2)*AQ190*AT190*VLOOKUP('Données projet'!$B$10,Paramètres!$A$1:$I$89,3,0)*0.475*44/12</f>
        <v>5.4867290933312286E-12</v>
      </c>
      <c r="AX190" s="21">
        <f t="shared" si="166"/>
        <v>77.44695474887962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257.96727373333601</v>
      </c>
      <c r="BJ190" s="59">
        <f t="shared" si="146"/>
        <v>194.52809733694494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19.949112599343334</v>
      </c>
      <c r="BQ190" s="21">
        <f>EXP(-LN(2)/25)*BQ189+(1-EXP(-LN(2)/25))/(LN(2)/25)*Calculateur!BL190*Calculateur!BN190*VLOOKUP('Données projet'!$B$11,Paramètres!$A$1:$I$89,3,0)*0.475*44/12</f>
        <v>3.8354378251260006</v>
      </c>
      <c r="BR190" s="21">
        <f>EXP(-LN(2)/2)*BR189+(1-EXP(-LN(2)/2))/(LN(2)/2)*BL190*BO190*VLOOKUP('Données projet'!$B$11,Paramètres!$A$1:$I$89,3,0)*0.475*44/12</f>
        <v>6.0855215199340237E-15</v>
      </c>
      <c r="BS190" s="22">
        <f t="shared" si="169"/>
        <v>23.784550424469341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355.23615781077405</v>
      </c>
      <c r="T191" s="59">
        <f t="shared" si="142"/>
        <v>448.84541017639367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20.167495474496089</v>
      </c>
      <c r="AA191" s="21">
        <f>EXP(-LN(2)/25)*AA190+(1-EXP(-LN(2)/25))/(LN(2)/25)*Calculateur!V191*Calculateur!X191*VLOOKUP('Données projet'!$B$9,Paramètres!$A$1:$I$89,3,0)*0.475*44/12</f>
        <v>1.7436070242555306</v>
      </c>
      <c r="AB191" s="21">
        <f>EXP(-LN(2)/2)*AB190+(1-EXP(-LN(2)/2))/(LN(2)/2)*V191*Y191*VLOOKUP('Données projet'!$B$9,Paramètres!$A$1:$I$89,3,0)*0.475*44/12</f>
        <v>2.3412484071207671E-18</v>
      </c>
      <c r="AC191" s="22">
        <f t="shared" si="163"/>
        <v>21.911102498751621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-6.8212102632969618E-13</v>
      </c>
      <c r="AJ191" s="13">
        <f>AI191*VLOOKUP('Données projet'!$B$10,Paramètres!$A$1:$I$89,3,0)*VLOOKUP('Données projet'!$B$10,Paramètres!$A$1:$I$89,5,0)</f>
        <v>-3.1923264032229784E-13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402.38496642820587</v>
      </c>
      <c r="AO191" s="59">
        <f t="shared" si="144"/>
        <v>196.65158751478987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68.203932791650132</v>
      </c>
      <c r="AV191" s="21">
        <f>EXP(-LN(2)/25)*AV190+(1-EXP(-LN(2)/25))/(LN(2)/25)*Calculateur!AQ191*Calculateur!AS191*VLOOKUP('Données projet'!$B$10,Paramètres!$A$1:$I$89,3,0)*0.475*44/12</f>
        <v>7.6633864152586639</v>
      </c>
      <c r="AW191" s="21">
        <f>EXP(-LN(2)/2)*AW190+(1-EXP(-LN(2)/2))/(LN(2)/2)*AQ191*AT191*VLOOKUP('Données projet'!$B$10,Paramètres!$A$1:$I$89,3,0)*0.475*44/12</f>
        <v>3.8797033484280293E-12</v>
      </c>
      <c r="AX191" s="21">
        <f t="shared" si="166"/>
        <v>75.867319206912683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257.96727373333601</v>
      </c>
      <c r="BJ191" s="59">
        <f t="shared" si="146"/>
        <v>194.52809733694494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19.55792266902743</v>
      </c>
      <c r="BQ191" s="21">
        <f>EXP(-LN(2)/25)*BQ190+(1-EXP(-LN(2)/25))/(LN(2)/25)*Calculateur!BL191*Calculateur!BN191*VLOOKUP('Données projet'!$B$11,Paramètres!$A$1:$I$89,3,0)*0.475*44/12</f>
        <v>3.7305575761010208</v>
      </c>
      <c r="BR191" s="21">
        <f>EXP(-LN(2)/2)*BR190+(1-EXP(-LN(2)/2))/(LN(2)/2)*BL191*BO191*VLOOKUP('Données projet'!$B$11,Paramètres!$A$1:$I$89,3,0)*0.475*44/12</f>
        <v>4.3031135338020137E-15</v>
      </c>
      <c r="BS191" s="22">
        <f t="shared" si="169"/>
        <v>23.288480245128454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355.23615781077405</v>
      </c>
      <c r="T192" s="59">
        <f t="shared" si="142"/>
        <v>448.84541017639367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19.77202318919884</v>
      </c>
      <c r="AA192" s="21">
        <f>EXP(-LN(2)/25)*AA191+(1-EXP(-LN(2)/25))/(LN(2)/25)*Calculateur!V192*Calculateur!X192*VLOOKUP('Données projet'!$B$9,Paramètres!$A$1:$I$89,3,0)*0.475*44/12</f>
        <v>1.6959279984849547</v>
      </c>
      <c r="AB192" s="21">
        <f>EXP(-LN(2)/2)*AB191+(1-EXP(-LN(2)/2))/(LN(2)/2)*V192*Y192*VLOOKUP('Données projet'!$B$9,Paramètres!$A$1:$I$89,3,0)*0.475*44/12</f>
        <v>1.6555126251172972E-18</v>
      </c>
      <c r="AC192" s="22">
        <f t="shared" si="163"/>
        <v>21.467951187683795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-6.8212102632969618E-13</v>
      </c>
      <c r="AJ192" s="13">
        <f>AI192*VLOOKUP('Données projet'!$B$10,Paramètres!$A$1:$I$89,3,0)*VLOOKUP('Données projet'!$B$10,Paramètres!$A$1:$I$89,5,0)</f>
        <v>-3.1923264032229784E-13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402.38496642820587</v>
      </c>
      <c r="AO192" s="59">
        <f t="shared" si="144"/>
        <v>196.65158751478987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66.866495269897186</v>
      </c>
      <c r="AV192" s="21">
        <f>EXP(-LN(2)/25)*AV191+(1-EXP(-LN(2)/25))/(LN(2)/25)*Calculateur!AQ192*Calculateur!AS192*VLOOKUP('Données projet'!$B$10,Paramètres!$A$1:$I$89,3,0)*0.475*44/12</f>
        <v>7.4538307107334392</v>
      </c>
      <c r="AW192" s="21">
        <f>EXP(-LN(2)/2)*AW191+(1-EXP(-LN(2)/2))/(LN(2)/2)*AQ192*AT192*VLOOKUP('Données projet'!$B$10,Paramètres!$A$1:$I$89,3,0)*0.475*44/12</f>
        <v>2.7433645466656143E-12</v>
      </c>
      <c r="AX192" s="21">
        <f t="shared" si="166"/>
        <v>74.32032598063337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257.96727373333601</v>
      </c>
      <c r="BJ192" s="59">
        <f t="shared" si="146"/>
        <v>194.52809733694494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19.174403734642723</v>
      </c>
      <c r="BQ192" s="21">
        <f>EXP(-LN(2)/25)*BQ191+(1-EXP(-LN(2)/25))/(LN(2)/25)*Calculateur!BL192*Calculateur!BN192*VLOOKUP('Données projet'!$B$11,Paramètres!$A$1:$I$89,3,0)*0.475*44/12</f>
        <v>3.6285452830010416</v>
      </c>
      <c r="BR192" s="21">
        <f>EXP(-LN(2)/2)*BR191+(1-EXP(-LN(2)/2))/(LN(2)/2)*BL192*BO192*VLOOKUP('Données projet'!$B$11,Paramètres!$A$1:$I$89,3,0)*0.475*44/12</f>
        <v>3.0427607599670118E-15</v>
      </c>
      <c r="BS192" s="22">
        <f t="shared" si="169"/>
        <v>22.802949017643769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355.23615781077405</v>
      </c>
      <c r="T193" s="59">
        <f t="shared" si="142"/>
        <v>448.84541017639367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19.384305874201996</v>
      </c>
      <c r="AA193" s="21">
        <f>EXP(-LN(2)/25)*AA192+(1-EXP(-LN(2)/25))/(LN(2)/25)*Calculateur!V193*Calculateur!X193*VLOOKUP('Données projet'!$B$9,Paramètres!$A$1:$I$89,3,0)*0.475*44/12</f>
        <v>1.6495527581814062</v>
      </c>
      <c r="AB193" s="21">
        <f>EXP(-LN(2)/2)*AB192+(1-EXP(-LN(2)/2))/(LN(2)/2)*V193*Y193*VLOOKUP('Données projet'!$B$9,Paramètres!$A$1:$I$89,3,0)*0.475*44/12</f>
        <v>1.1706242035603835E-18</v>
      </c>
      <c r="AC193" s="22">
        <f t="shared" si="163"/>
        <v>21.033858632383403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-6.8212102632969618E-13</v>
      </c>
      <c r="AJ193" s="13">
        <f>AI193*VLOOKUP('Données projet'!$B$10,Paramètres!$A$1:$I$89,3,0)*VLOOKUP('Données projet'!$B$10,Paramètres!$A$1:$I$89,5,0)</f>
        <v>-3.1923264032229784E-13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402.38496642820587</v>
      </c>
      <c r="AO193" s="59">
        <f t="shared" si="144"/>
        <v>196.65158751478987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65.555284082189473</v>
      </c>
      <c r="AV193" s="21">
        <f>EXP(-LN(2)/25)*AV192+(1-EXP(-LN(2)/25))/(LN(2)/25)*Calculateur!AQ193*Calculateur!AS193*VLOOKUP('Données projet'!$B$10,Paramètres!$A$1:$I$89,3,0)*0.475*44/12</f>
        <v>7.2500053179685118</v>
      </c>
      <c r="AW193" s="21">
        <f>EXP(-LN(2)/2)*AW192+(1-EXP(-LN(2)/2))/(LN(2)/2)*AQ193*AT193*VLOOKUP('Données projet'!$B$10,Paramètres!$A$1:$I$89,3,0)*0.475*44/12</f>
        <v>1.9398516742140147E-12</v>
      </c>
      <c r="AX193" s="21">
        <f t="shared" si="166"/>
        <v>72.805289400159936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257.96727373333601</v>
      </c>
      <c r="BJ193" s="59">
        <f t="shared" si="146"/>
        <v>194.52809733694494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18.798405372637848</v>
      </c>
      <c r="BQ193" s="21">
        <f>EXP(-LN(2)/25)*BQ192+(1-EXP(-LN(2)/25))/(LN(2)/25)*Calculateur!BL193*Calculateur!BN193*VLOOKUP('Données projet'!$B$11,Paramètres!$A$1:$I$89,3,0)*0.475*44/12</f>
        <v>3.5293225214204749</v>
      </c>
      <c r="BR193" s="21">
        <f>EXP(-LN(2)/2)*BR192+(1-EXP(-LN(2)/2))/(LN(2)/2)*BL193*BO193*VLOOKUP('Données projet'!$B$11,Paramètres!$A$1:$I$89,3,0)*0.475*44/12</f>
        <v>2.1515567669010069E-15</v>
      </c>
      <c r="BS193" s="22">
        <f t="shared" si="169"/>
        <v>22.327727894058327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355.23615781077405</v>
      </c>
      <c r="T194" s="59">
        <f t="shared" si="142"/>
        <v>448.84541017639367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19.004191459268029</v>
      </c>
      <c r="AA194" s="21">
        <f>EXP(-LN(2)/25)*AA193+(1-EXP(-LN(2)/25))/(LN(2)/25)*Calculateur!V194*Calculateur!X194*VLOOKUP('Données projet'!$B$9,Paramètres!$A$1:$I$89,3,0)*0.475*44/12</f>
        <v>1.6044456512627263</v>
      </c>
      <c r="AB194" s="21">
        <f>EXP(-LN(2)/2)*AB193+(1-EXP(-LN(2)/2))/(LN(2)/2)*V194*Y194*VLOOKUP('Données projet'!$B$9,Paramètres!$A$1:$I$89,3,0)*0.475*44/12</f>
        <v>8.277563125586486E-19</v>
      </c>
      <c r="AC194" s="22">
        <f t="shared" si="163"/>
        <v>20.608637110530754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-6.8212102632969618E-13</v>
      </c>
      <c r="AJ194" s="13">
        <f>AI194*VLOOKUP('Données projet'!$B$10,Paramètres!$A$1:$I$89,3,0)*VLOOKUP('Données projet'!$B$10,Paramètres!$A$1:$I$89,5,0)</f>
        <v>-3.1923264032229784E-13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402.38496642820587</v>
      </c>
      <c r="AO194" s="59">
        <f t="shared" si="144"/>
        <v>196.65158751478987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64.269784946112864</v>
      </c>
      <c r="AV194" s="21">
        <f>EXP(-LN(2)/25)*AV193+(1-EXP(-LN(2)/25))/(LN(2)/25)*Calculateur!AQ194*Calculateur!AS194*VLOOKUP('Données projet'!$B$10,Paramètres!$A$1:$I$89,3,0)*0.475*44/12</f>
        <v>7.0517535412874537</v>
      </c>
      <c r="AW194" s="21">
        <f>EXP(-LN(2)/2)*AW193+(1-EXP(-LN(2)/2))/(LN(2)/2)*AQ194*AT194*VLOOKUP('Données projet'!$B$10,Paramètres!$A$1:$I$89,3,0)*0.475*44/12</f>
        <v>1.3716822733328071E-12</v>
      </c>
      <c r="AX194" s="21">
        <f t="shared" si="166"/>
        <v>71.321538487401696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257.96727373333601</v>
      </c>
      <c r="BJ194" s="59">
        <f t="shared" si="146"/>
        <v>194.52809733694494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18.429780109175535</v>
      </c>
      <c r="BQ194" s="21">
        <f>EXP(-LN(2)/25)*BQ193+(1-EXP(-LN(2)/25))/(LN(2)/25)*Calculateur!BL194*Calculateur!BN194*VLOOKUP('Données projet'!$B$11,Paramètres!$A$1:$I$89,3,0)*0.475*44/12</f>
        <v>3.4328130114732271</v>
      </c>
      <c r="BR194" s="21">
        <f>EXP(-LN(2)/2)*BR193+(1-EXP(-LN(2)/2))/(LN(2)/2)*BL194*BO194*VLOOKUP('Données projet'!$B$11,Paramètres!$A$1:$I$89,3,0)*0.475*44/12</f>
        <v>1.5213803799835059E-15</v>
      </c>
      <c r="BS194" s="22">
        <f t="shared" si="169"/>
        <v>21.862593120648761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355.23615781077405</v>
      </c>
      <c r="T195" s="59">
        <f t="shared" si="142"/>
        <v>448.84541017639367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18.631530856164016</v>
      </c>
      <c r="AA195" s="21">
        <f>EXP(-LN(2)/25)*AA194+(1-EXP(-LN(2)/25))/(LN(2)/25)*Calculateur!V195*Calculateur!X195*VLOOKUP('Données projet'!$B$9,Paramètres!$A$1:$I$89,3,0)*0.475*44/12</f>
        <v>1.5605720005548174</v>
      </c>
      <c r="AB195" s="21">
        <f>EXP(-LN(2)/2)*AB194+(1-EXP(-LN(2)/2))/(LN(2)/2)*V195*Y195*VLOOKUP('Données projet'!$B$9,Paramètres!$A$1:$I$89,3,0)*0.475*44/12</f>
        <v>5.8531210178019177E-19</v>
      </c>
      <c r="AC195" s="22">
        <f t="shared" si="163"/>
        <v>20.192102856718833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-6.8212102632969618E-13</v>
      </c>
      <c r="AJ195" s="13">
        <f>AI195*VLOOKUP('Données projet'!$B$10,Paramètres!$A$1:$I$89,3,0)*VLOOKUP('Données projet'!$B$10,Paramètres!$A$1:$I$89,5,0)</f>
        <v>-3.1923264032229784E-13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402.38496642820587</v>
      </c>
      <c r="AO195" s="59">
        <f t="shared" si="144"/>
        <v>196.65158751478987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63.009493664017661</v>
      </c>
      <c r="AV195" s="21">
        <f>EXP(-LN(2)/25)*AV194+(1-EXP(-LN(2)/25))/(LN(2)/25)*Calculateur!AQ195*Calculateur!AS195*VLOOKUP('Données projet'!$B$10,Paramètres!$A$1:$I$89,3,0)*0.475*44/12</f>
        <v>6.8589229698653469</v>
      </c>
      <c r="AW195" s="21">
        <f>EXP(-LN(2)/2)*AW194+(1-EXP(-LN(2)/2))/(LN(2)/2)*AQ195*AT195*VLOOKUP('Données projet'!$B$10,Paramètres!$A$1:$I$89,3,0)*0.475*44/12</f>
        <v>9.6992583710700733E-13</v>
      </c>
      <c r="AX195" s="21">
        <f t="shared" si="166"/>
        <v>69.868416633883982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257.96727373333601</v>
      </c>
      <c r="BJ195" s="59">
        <f t="shared" si="146"/>
        <v>194.52809733694494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18.068383362290508</v>
      </c>
      <c r="BQ195" s="21">
        <f>EXP(-LN(2)/25)*BQ194+(1-EXP(-LN(2)/25))/(LN(2)/25)*Calculateur!BL195*Calculateur!BN195*VLOOKUP('Données projet'!$B$11,Paramètres!$A$1:$I$89,3,0)*0.475*44/12</f>
        <v>3.3389425591507012</v>
      </c>
      <c r="BR195" s="21">
        <f>EXP(-LN(2)/2)*BR194+(1-EXP(-LN(2)/2))/(LN(2)/2)*BL195*BO195*VLOOKUP('Données projet'!$B$11,Paramètres!$A$1:$I$89,3,0)*0.475*44/12</f>
        <v>1.0757783834505034E-15</v>
      </c>
      <c r="BS195" s="22">
        <f t="shared" si="169"/>
        <v>21.40732592144121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355.23615781077405</v>
      </c>
      <c r="T196" s="59">
        <f t="shared" si="142"/>
        <v>448.84541017639367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18.266177900186349</v>
      </c>
      <c r="AA196" s="21">
        <f>EXP(-LN(2)/25)*AA195+(1-EXP(-LN(2)/25))/(LN(2)/25)*Calculateur!V196*Calculateur!X196*VLOOKUP('Données projet'!$B$9,Paramètres!$A$1:$I$89,3,0)*0.475*44/12</f>
        <v>1.5178980771327311</v>
      </c>
      <c r="AB196" s="21">
        <f>EXP(-LN(2)/2)*AB195+(1-EXP(-LN(2)/2))/(LN(2)/2)*V196*Y196*VLOOKUP('Données projet'!$B$9,Paramètres!$A$1:$I$89,3,0)*0.475*44/12</f>
        <v>4.138781562793243E-19</v>
      </c>
      <c r="AC196" s="22">
        <f t="shared" si="163"/>
        <v>19.78407597731908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-6.8212102632969618E-13</v>
      </c>
      <c r="AJ196" s="13">
        <f>AI196*VLOOKUP('Données projet'!$B$10,Paramètres!$A$1:$I$89,3,0)*VLOOKUP('Données projet'!$B$10,Paramètres!$A$1:$I$89,5,0)</f>
        <v>-3.1923264032229784E-13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402.38496642820587</v>
      </c>
      <c r="AO196" s="59">
        <f t="shared" si="144"/>
        <v>196.65158751478987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61.773915925262564</v>
      </c>
      <c r="AV196" s="21">
        <f>EXP(-LN(2)/25)*AV195+(1-EXP(-LN(2)/25))/(LN(2)/25)*Calculateur!AQ196*Calculateur!AS196*VLOOKUP('Données projet'!$B$10,Paramètres!$A$1:$I$89,3,0)*0.475*44/12</f>
        <v>6.671365360559296</v>
      </c>
      <c r="AW196" s="21">
        <f>EXP(-LN(2)/2)*AW195+(1-EXP(-LN(2)/2))/(LN(2)/2)*AQ196*AT196*VLOOKUP('Données projet'!$B$10,Paramètres!$A$1:$I$89,3,0)*0.475*44/12</f>
        <v>6.8584113666640357E-13</v>
      </c>
      <c r="AX196" s="21">
        <f t="shared" si="166"/>
        <v>68.445281285822546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257.96727373333601</v>
      </c>
      <c r="BJ196" s="59">
        <f t="shared" si="146"/>
        <v>194.52809733694494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17.714073385181646</v>
      </c>
      <c r="BQ196" s="21">
        <f>EXP(-LN(2)/25)*BQ195+(1-EXP(-LN(2)/25))/(LN(2)/25)*Calculateur!BL196*Calculateur!BN196*VLOOKUP('Données projet'!$B$11,Paramètres!$A$1:$I$89,3,0)*0.475*44/12</f>
        <v>3.2476389992833674</v>
      </c>
      <c r="BR196" s="21">
        <f>EXP(-LN(2)/2)*BR195+(1-EXP(-LN(2)/2))/(LN(2)/2)*BL196*BO196*VLOOKUP('Données projet'!$B$11,Paramètres!$A$1:$I$89,3,0)*0.475*44/12</f>
        <v>7.6069018999175296E-16</v>
      </c>
      <c r="BS196" s="22">
        <f t="shared" si="169"/>
        <v>20.961712384465013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355.23615781077405</v>
      </c>
      <c r="T197" s="59">
        <f t="shared" ref="T197:T203" si="204">$T$3</f>
        <v>448.84541017639367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17.907989292832106</v>
      </c>
      <c r="AA197" s="21">
        <f>EXP(-LN(2)/25)*AA196+(1-EXP(-LN(2)/25))/(LN(2)/25)*Calculateur!V197*Calculateur!X197*VLOOKUP('Données projet'!$B$9,Paramètres!$A$1:$I$89,3,0)*0.475*44/12</f>
        <v>1.4763910743907458</v>
      </c>
      <c r="AB197" s="21">
        <f>EXP(-LN(2)/2)*AB196+(1-EXP(-LN(2)/2))/(LN(2)/2)*V197*Y197*VLOOKUP('Données projet'!$B$9,Paramètres!$A$1:$I$89,3,0)*0.475*44/12</f>
        <v>2.9265605089009588E-19</v>
      </c>
      <c r="AC197" s="22">
        <f t="shared" si="163"/>
        <v>19.384380367222853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-6.8212102632969618E-13</v>
      </c>
      <c r="AJ197" s="13">
        <f>AI197*VLOOKUP('Données projet'!$B$10,Paramètres!$A$1:$I$89,3,0)*VLOOKUP('Données projet'!$B$10,Paramètres!$A$1:$I$89,5,0)</f>
        <v>-3.1923264032229784E-13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402.38496642820587</v>
      </c>
      <c r="AO197" s="59">
        <f t="shared" ref="AO197:AO203" si="205">$AO$3</f>
        <v>196.65158751478987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60.562567112336453</v>
      </c>
      <c r="AV197" s="21">
        <f>EXP(-LN(2)/25)*AV196+(1-EXP(-LN(2)/25))/(LN(2)/25)*Calculateur!AQ197*Calculateur!AS197*VLOOKUP('Données projet'!$B$10,Paramètres!$A$1:$I$89,3,0)*0.475*44/12</f>
        <v>6.4889365239429457</v>
      </c>
      <c r="AW197" s="21">
        <f>EXP(-LN(2)/2)*AW196+(1-EXP(-LN(2)/2))/(LN(2)/2)*AQ197*AT197*VLOOKUP('Données projet'!$B$10,Paramètres!$A$1:$I$89,3,0)*0.475*44/12</f>
        <v>4.8496291855350366E-13</v>
      </c>
      <c r="AX197" s="21">
        <f t="shared" si="166"/>
        <v>67.051503636279875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257.96727373333601</v>
      </c>
      <c r="BJ197" s="59">
        <f t="shared" ref="BJ197:BJ203" si="206">$BJ$3</f>
        <v>194.52809733694494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17.366711210616142</v>
      </c>
      <c r="BQ197" s="21">
        <f>EXP(-LN(2)/25)*BQ196+(1-EXP(-LN(2)/25))/(LN(2)/25)*Calculateur!BL197*Calculateur!BN197*VLOOKUP('Données projet'!$B$11,Paramètres!$A$1:$I$89,3,0)*0.475*44/12</f>
        <v>3.1588321400620512</v>
      </c>
      <c r="BR197" s="21">
        <f>EXP(-LN(2)/2)*BR196+(1-EXP(-LN(2)/2))/(LN(2)/2)*BL197*BO197*VLOOKUP('Données projet'!$B$11,Paramètres!$A$1:$I$89,3,0)*0.475*44/12</f>
        <v>5.3788919172525172E-16</v>
      </c>
      <c r="BS197" s="22">
        <f t="shared" si="169"/>
        <v>20.525543350678191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355.23615781077405</v>
      </c>
      <c r="T198" s="59">
        <f t="shared" si="204"/>
        <v>448.84541017639367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17.556824545594601</v>
      </c>
      <c r="AA198" s="21">
        <f>EXP(-LN(2)/25)*AA197+(1-EXP(-LN(2)/25))/(LN(2)/25)*Calculateur!V198*Calculateur!X198*VLOOKUP('Données projet'!$B$9,Paramètres!$A$1:$I$89,3,0)*0.475*44/12</f>
        <v>1.4360190828214985</v>
      </c>
      <c r="AB198" s="21">
        <f>EXP(-LN(2)/2)*AB197+(1-EXP(-LN(2)/2))/(LN(2)/2)*V198*Y198*VLOOKUP('Données projet'!$B$9,Paramètres!$A$1:$I$89,3,0)*0.475*44/12</f>
        <v>2.0693907813966215E-19</v>
      </c>
      <c r="AC198" s="22">
        <f t="shared" si="163"/>
        <v>18.9928436284161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-6.8212102632969618E-13</v>
      </c>
      <c r="AJ198" s="13">
        <f>AI198*VLOOKUP('Données projet'!$B$10,Paramètres!$A$1:$I$89,3,0)*VLOOKUP('Données projet'!$B$10,Paramètres!$A$1:$I$89,5,0)</f>
        <v>-3.1923264032229784E-13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402.38496642820587</v>
      </c>
      <c r="AO198" s="59">
        <f t="shared" si="205"/>
        <v>196.65158751478987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59.374972110781997</v>
      </c>
      <c r="AV198" s="21">
        <f>EXP(-LN(2)/25)*AV197+(1-EXP(-LN(2)/25))/(LN(2)/25)*Calculateur!AQ198*Calculateur!AS198*VLOOKUP('Données projet'!$B$10,Paramètres!$A$1:$I$89,3,0)*0.475*44/12</f>
        <v>6.3114962134573851</v>
      </c>
      <c r="AW198" s="21">
        <f>EXP(-LN(2)/2)*AW197+(1-EXP(-LN(2)/2))/(LN(2)/2)*AQ198*AT198*VLOOKUP('Données projet'!$B$10,Paramètres!$A$1:$I$89,3,0)*0.475*44/12</f>
        <v>3.4292056833320179E-13</v>
      </c>
      <c r="AX198" s="21">
        <f t="shared" si="166"/>
        <v>65.686468324239726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257.96727373333601</v>
      </c>
      <c r="BJ198" s="59">
        <f t="shared" si="206"/>
        <v>194.52809733694494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17.02616059642386</v>
      </c>
      <c r="BQ198" s="21">
        <f>EXP(-LN(2)/25)*BQ197+(1-EXP(-LN(2)/25))/(LN(2)/25)*Calculateur!BL198*Calculateur!BN198*VLOOKUP('Données projet'!$B$11,Paramètres!$A$1:$I$89,3,0)*0.475*44/12</f>
        <v>3.0724537090762918</v>
      </c>
      <c r="BR198" s="21">
        <f>EXP(-LN(2)/2)*BR197+(1-EXP(-LN(2)/2))/(LN(2)/2)*BL198*BO198*VLOOKUP('Données projet'!$B$11,Paramètres!$A$1:$I$89,3,0)*0.475*44/12</f>
        <v>3.8034509499587648E-16</v>
      </c>
      <c r="BS198" s="22">
        <f t="shared" si="169"/>
        <v>20.098614305500153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355.23615781077405</v>
      </c>
      <c r="T199" s="59">
        <f t="shared" si="204"/>
        <v>448.84541017639367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17.212545924861075</v>
      </c>
      <c r="AA199" s="21">
        <f>EXP(-LN(2)/25)*AA198+(1-EXP(-LN(2)/25))/(LN(2)/25)*Calculateur!V199*Calculateur!X199*VLOOKUP('Données projet'!$B$9,Paramètres!$A$1:$I$89,3,0)*0.475*44/12</f>
        <v>1.396751065484783</v>
      </c>
      <c r="AB199" s="21">
        <f>EXP(-LN(2)/2)*AB198+(1-EXP(-LN(2)/2))/(LN(2)/2)*V199*Y199*VLOOKUP('Données projet'!$B$9,Paramètres!$A$1:$I$89,3,0)*0.475*44/12</f>
        <v>1.4632802544504794E-19</v>
      </c>
      <c r="AC199" s="22">
        <f t="shared" si="163"/>
        <v>18.609296990345857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-6.8212102632969618E-13</v>
      </c>
      <c r="AJ199" s="13">
        <f>AI199*VLOOKUP('Données projet'!$B$10,Paramètres!$A$1:$I$89,3,0)*VLOOKUP('Données projet'!$B$10,Paramètres!$A$1:$I$89,5,0)</f>
        <v>-3.1923264032229784E-13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402.38496642820587</v>
      </c>
      <c r="AO199" s="59">
        <f t="shared" si="205"/>
        <v>196.65158751478987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58.210665122846599</v>
      </c>
      <c r="AV199" s="21">
        <f>EXP(-LN(2)/25)*AV198+(1-EXP(-LN(2)/25))/(LN(2)/25)*Calculateur!AQ199*Calculateur!AS199*VLOOKUP('Données projet'!$B$10,Paramètres!$A$1:$I$89,3,0)*0.475*44/12</f>
        <v>6.1389080175932325</v>
      </c>
      <c r="AW199" s="21">
        <f>EXP(-LN(2)/2)*AW198+(1-EXP(-LN(2)/2))/(LN(2)/2)*AQ199*AT199*VLOOKUP('Données projet'!$B$10,Paramètres!$A$1:$I$89,3,0)*0.475*44/12</f>
        <v>2.4248145927675183E-13</v>
      </c>
      <c r="AX199" s="21">
        <f t="shared" si="166"/>
        <v>64.349573140440071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257.96727373333601</v>
      </c>
      <c r="BJ199" s="59">
        <f t="shared" si="206"/>
        <v>194.52809733694494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16.692287972060527</v>
      </c>
      <c r="BQ199" s="21">
        <f>EXP(-LN(2)/25)*BQ198+(1-EXP(-LN(2)/25))/(LN(2)/25)*Calculateur!BL199*Calculateur!BN199*VLOOKUP('Données projet'!$B$11,Paramètres!$A$1:$I$89,3,0)*0.475*44/12</f>
        <v>2.9884373008282821</v>
      </c>
      <c r="BR199" s="21">
        <f>EXP(-LN(2)/2)*BR198+(1-EXP(-LN(2)/2))/(LN(2)/2)*BL199*BO199*VLOOKUP('Données projet'!$B$11,Paramètres!$A$1:$I$89,3,0)*0.475*44/12</f>
        <v>2.6894459586262586E-16</v>
      </c>
      <c r="BS199" s="22">
        <f t="shared" si="169"/>
        <v>19.680725272888807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355.23615781077405</v>
      </c>
      <c r="T200" s="59">
        <f t="shared" si="204"/>
        <v>448.84541017639367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16.875018397890912</v>
      </c>
      <c r="AA200" s="21">
        <f>EXP(-LN(2)/25)*AA199+(1-EXP(-LN(2)/25))/(LN(2)/25)*Calculateur!V200*Calculateur!X200*VLOOKUP('Données projet'!$B$9,Paramètres!$A$1:$I$89,3,0)*0.475*44/12</f>
        <v>1.3585568341471554</v>
      </c>
      <c r="AB200" s="21">
        <f>EXP(-LN(2)/2)*AB199+(1-EXP(-LN(2)/2))/(LN(2)/2)*V200*Y200*VLOOKUP('Données projet'!$B$9,Paramètres!$A$1:$I$89,3,0)*0.475*44/12</f>
        <v>1.0346953906983107E-19</v>
      </c>
      <c r="AC200" s="22">
        <f t="shared" si="163"/>
        <v>18.233575232038067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-6.8212102632969618E-13</v>
      </c>
      <c r="AJ200" s="13">
        <f>AI200*VLOOKUP('Données projet'!$B$10,Paramètres!$A$1:$I$89,3,0)*VLOOKUP('Données projet'!$B$10,Paramètres!$A$1:$I$89,5,0)</f>
        <v>-3.1923264032229784E-13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402.38496642820587</v>
      </c>
      <c r="AO200" s="59">
        <f t="shared" si="205"/>
        <v>196.65158751478987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57.069189484787472</v>
      </c>
      <c r="AV200" s="21">
        <f>EXP(-LN(2)/25)*AV199+(1-EXP(-LN(2)/25))/(LN(2)/25)*Calculateur!AQ200*Calculateur!AS200*VLOOKUP('Données projet'!$B$10,Paramètres!$A$1:$I$89,3,0)*0.475*44/12</f>
        <v>5.9710392550210036</v>
      </c>
      <c r="AW200" s="21">
        <f>EXP(-LN(2)/2)*AW199+(1-EXP(-LN(2)/2))/(LN(2)/2)*AQ200*AT200*VLOOKUP('Données projet'!$B$10,Paramètres!$A$1:$I$89,3,0)*0.475*44/12</f>
        <v>1.7146028416660089E-13</v>
      </c>
      <c r="AX200" s="21">
        <f t="shared" si="166"/>
        <v>63.040228739808647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257.96727373333601</v>
      </c>
      <c r="BJ200" s="59">
        <f t="shared" si="206"/>
        <v>194.52809733694494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16.364962386218764</v>
      </c>
      <c r="BQ200" s="21">
        <f>EXP(-LN(2)/25)*BQ199+(1-EXP(-LN(2)/25))/(LN(2)/25)*Calculateur!BL200*Calculateur!BN200*VLOOKUP('Données projet'!$B$11,Paramètres!$A$1:$I$89,3,0)*0.475*44/12</f>
        <v>2.906718325682045</v>
      </c>
      <c r="BR200" s="21">
        <f>EXP(-LN(2)/2)*BR199+(1-EXP(-LN(2)/2))/(LN(2)/2)*BL200*BO200*VLOOKUP('Données projet'!$B$11,Paramètres!$A$1:$I$89,3,0)*0.475*44/12</f>
        <v>1.9017254749793824E-16</v>
      </c>
      <c r="BS200" s="22">
        <f t="shared" si="169"/>
        <v>19.27168071190081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355.23615781077405</v>
      </c>
      <c r="T201" s="59">
        <f t="shared" si="204"/>
        <v>448.84541017639367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16.544109579853171</v>
      </c>
      <c r="AA201" s="21">
        <f>EXP(-LN(2)/25)*AA200+(1-EXP(-LN(2)/25))/(LN(2)/25)*Calculateur!V201*Calculateur!X201*VLOOKUP('Données projet'!$B$9,Paramètres!$A$1:$I$89,3,0)*0.475*44/12</f>
        <v>1.3214070260740025</v>
      </c>
      <c r="AB201" s="21">
        <f>EXP(-LN(2)/2)*AB200+(1-EXP(-LN(2)/2))/(LN(2)/2)*V201*Y201*VLOOKUP('Données projet'!$B$9,Paramètres!$A$1:$I$89,3,0)*0.475*44/12</f>
        <v>7.3164012722523971E-20</v>
      </c>
      <c r="AC201" s="22">
        <f t="shared" si="163"/>
        <v>17.865516605927173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-6.8212102632969618E-13</v>
      </c>
      <c r="AJ201" s="13">
        <f>AI201*VLOOKUP('Données projet'!$B$10,Paramètres!$A$1:$I$89,3,0)*VLOOKUP('Données projet'!$B$10,Paramètres!$A$1:$I$89,5,0)</f>
        <v>-3.1923264032229784E-13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402.38496642820587</v>
      </c>
      <c r="AO201" s="59">
        <f t="shared" si="205"/>
        <v>196.65158751478987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55.950097487759294</v>
      </c>
      <c r="AV201" s="21">
        <f>EXP(-LN(2)/25)*AV200+(1-EXP(-LN(2)/25))/(LN(2)/25)*Calculateur!AQ201*Calculateur!AS201*VLOOKUP('Données projet'!$B$10,Paramètres!$A$1:$I$89,3,0)*0.475*44/12</f>
        <v>5.8077608725891468</v>
      </c>
      <c r="AW201" s="21">
        <f>EXP(-LN(2)/2)*AW200+(1-EXP(-LN(2)/2))/(LN(2)/2)*AQ201*AT201*VLOOKUP('Données projet'!$B$10,Paramètres!$A$1:$I$89,3,0)*0.475*44/12</f>
        <v>1.2124072963837592E-13</v>
      </c>
      <c r="AX201" s="21">
        <f t="shared" si="166"/>
        <v>61.757858360348564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257.96727373333601</v>
      </c>
      <c r="BJ201" s="59">
        <f t="shared" si="206"/>
        <v>194.52809733694494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16.044055455466463</v>
      </c>
      <c r="BQ201" s="21">
        <f>EXP(-LN(2)/25)*BQ200+(1-EXP(-LN(2)/25))/(LN(2)/25)*Calculateur!BL201*Calculateur!BN201*VLOOKUP('Données projet'!$B$11,Paramètres!$A$1:$I$89,3,0)*0.475*44/12</f>
        <v>2.8272339602085963</v>
      </c>
      <c r="BR201" s="21">
        <f>EXP(-LN(2)/2)*BR200+(1-EXP(-LN(2)/2))/(LN(2)/2)*BL201*BO201*VLOOKUP('Données projet'!$B$11,Paramètres!$A$1:$I$89,3,0)*0.475*44/12</f>
        <v>1.3447229793131293E-16</v>
      </c>
      <c r="BS201" s="22">
        <f t="shared" si="169"/>
        <v>18.871289415675058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355.23615781077405</v>
      </c>
      <c r="T202" s="59">
        <f t="shared" si="204"/>
        <v>448.84541017639367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16.2196896819027</v>
      </c>
      <c r="AA202" s="21">
        <f>EXP(-LN(2)/25)*AA201+(1-EXP(-LN(2)/25))/(LN(2)/25)*Calculateur!V202*Calculateur!X202*VLOOKUP('Données projet'!$B$9,Paramètres!$A$1:$I$89,3,0)*0.475*44/12</f>
        <v>1.2852730814562334</v>
      </c>
      <c r="AB202" s="21">
        <f>EXP(-LN(2)/2)*AB201+(1-EXP(-LN(2)/2))/(LN(2)/2)*V202*Y202*VLOOKUP('Données projet'!$B$9,Paramètres!$A$1:$I$89,3,0)*0.475*44/12</f>
        <v>5.1734769534915537E-20</v>
      </c>
      <c r="AC202" s="22">
        <f t="shared" si="163"/>
        <v>17.504962763358932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-6.8212102632969618E-13</v>
      </c>
      <c r="AJ202" s="13">
        <f>AI202*VLOOKUP('Données projet'!$B$10,Paramètres!$A$1:$I$89,3,0)*VLOOKUP('Données projet'!$B$10,Paramètres!$A$1:$I$89,5,0)</f>
        <v>-3.1923264032229784E-13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402.38496642820587</v>
      </c>
      <c r="AO202" s="59">
        <f t="shared" si="205"/>
        <v>196.65158751478987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54.852950202214117</v>
      </c>
      <c r="AV202" s="21">
        <f>EXP(-LN(2)/25)*AV201+(1-EXP(-LN(2)/25))/(LN(2)/25)*Calculateur!AQ202*Calculateur!AS202*VLOOKUP('Données projet'!$B$10,Paramètres!$A$1:$I$89,3,0)*0.475*44/12</f>
        <v>5.648947346111326</v>
      </c>
      <c r="AW202" s="21">
        <f>EXP(-LN(2)/2)*AW201+(1-EXP(-LN(2)/2))/(LN(2)/2)*AQ202*AT202*VLOOKUP('Données projet'!$B$10,Paramètres!$A$1:$I$89,3,0)*0.475*44/12</f>
        <v>8.5730142083300446E-14</v>
      </c>
      <c r="AX202" s="21">
        <f t="shared" si="166"/>
        <v>60.50189754832553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257.96727373333601</v>
      </c>
      <c r="BJ202" s="59">
        <f t="shared" si="206"/>
        <v>194.52809733694494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15.729441313892316</v>
      </c>
      <c r="BQ202" s="21">
        <f>EXP(-LN(2)/25)*BQ201+(1-EXP(-LN(2)/25))/(LN(2)/25)*Calculateur!BL202*Calculateur!BN202*VLOOKUP('Données projet'!$B$11,Paramètres!$A$1:$I$89,3,0)*0.475*44/12</f>
        <v>2.7499230988889201</v>
      </c>
      <c r="BR202" s="21">
        <f>EXP(-LN(2)/2)*BR201+(1-EXP(-LN(2)/2))/(LN(2)/2)*BL202*BO202*VLOOKUP('Données projet'!$B$11,Paramètres!$A$1:$I$89,3,0)*0.475*44/12</f>
        <v>9.508627374896912E-17</v>
      </c>
      <c r="BS202" s="22">
        <f t="shared" si="169"/>
        <v>18.479364412781237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355.23615781077405</v>
      </c>
      <c r="T203" s="59">
        <f t="shared" si="204"/>
        <v>448.84541017639367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15.901631460274439</v>
      </c>
      <c r="AA203" s="21">
        <f>EXP(-LN(2)/25)*AA202+(1-EXP(-LN(2)/25))/(LN(2)/25)*Calculateur!V203*Calculateur!X203*VLOOKUP('Données projet'!$B$9,Paramètres!$A$1:$I$89,3,0)*0.475*44/12</f>
        <v>1.2501272214542389</v>
      </c>
      <c r="AB203" s="21">
        <f>EXP(-LN(2)/2)*AB202+(1-EXP(-LN(2)/2))/(LN(2)/2)*V203*Y203*VLOOKUP('Données projet'!$B$9,Paramètres!$A$1:$I$89,3,0)*0.475*44/12</f>
        <v>3.6582006361261985E-20</v>
      </c>
      <c r="AC203" s="22">
        <f t="shared" si="163"/>
        <v>17.15175868172868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-6.8212102632969618E-13</v>
      </c>
      <c r="AJ203" s="13">
        <f>AI203*VLOOKUP('Données projet'!$B$10,Paramètres!$A$1:$I$89,3,0)*VLOOKUP('Données projet'!$B$10,Paramètres!$A$1:$I$89,5,0)</f>
        <v>-3.1923264032229784E-13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402.38496642820587</v>
      </c>
      <c r="AO203" s="59">
        <f t="shared" si="205"/>
        <v>196.65158751478987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53.777317305744717</v>
      </c>
      <c r="AV203" s="21">
        <f>EXP(-LN(2)/25)*AV202+(1-EXP(-LN(2)/25))/(LN(2)/25)*Calculateur!AQ203*Calculateur!AS203*VLOOKUP('Données projet'!$B$10,Paramètres!$A$1:$I$89,3,0)*0.475*44/12</f>
        <v>5.4944765838666818</v>
      </c>
      <c r="AW203" s="21">
        <f>EXP(-LN(2)/2)*AW202+(1-EXP(-LN(2)/2))/(LN(2)/2)*AQ203*AT203*VLOOKUP('Données projet'!$B$10,Paramètres!$A$1:$I$89,3,0)*0.475*44/12</f>
        <v>6.0620364819187958E-14</v>
      </c>
      <c r="AX203" s="21">
        <f t="shared" si="166"/>
        <v>59.271793889611466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257.96727373333601</v>
      </c>
      <c r="BJ203" s="59">
        <f t="shared" si="206"/>
        <v>194.52809733694494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15.420996563738759</v>
      </c>
      <c r="BQ203" s="21">
        <f>EXP(-LN(2)/25)*BQ202+(1-EXP(-LN(2)/25))/(LN(2)/25)*Calculateur!BL203*Calculateur!BN203*VLOOKUP('Données projet'!$B$11,Paramètres!$A$1:$I$89,3,0)*0.475*44/12</f>
        <v>2.6747263071376319</v>
      </c>
      <c r="BR203" s="21">
        <f>EXP(-LN(2)/2)*BR202+(1-EXP(-LN(2)/2))/(LN(2)/2)*BL203*BO203*VLOOKUP('Données projet'!$B$11,Paramètres!$A$1:$I$89,3,0)*0.475*44/12</f>
        <v>6.7236148965656464E-17</v>
      </c>
      <c r="BS203" s="22">
        <f t="shared" si="169"/>
        <v>18.09572287087639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>
        <f>EXP(LN('Données projet'!B88)/'Données projet'!A88)</f>
        <v>1.244502252163008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7.0200000000000005</v>
      </c>
      <c r="C6" s="147">
        <f ca="1">IF(OR('Données projet'!B9="",'Données projet'!C9="",'Données projet'!C9=0%),0,Calculateur!S3)</f>
        <v>355.23615781077405</v>
      </c>
      <c r="D6" s="147">
        <f>IF(OR('Données projet'!B9="",'Données projet'!C9="",'Données projet'!C9=0%),0,Calculateur!T3)</f>
        <v>448.84541017639367</v>
      </c>
      <c r="E6" s="147">
        <f ca="1">MIN(C6,D6)</f>
        <v>355.23615781077405</v>
      </c>
      <c r="F6" s="147">
        <f ca="1">E6*B6</f>
        <v>2493.7578278316341</v>
      </c>
      <c r="G6" s="147">
        <f ca="1">F6*(100%-'Données projet'!$C$24)*(100%-'Données projet'!$C$25)*(100%-'Données projet'!$C$26)*(100%-'Données projet'!$C$27)</f>
        <v>2244.3820450484709</v>
      </c>
      <c r="H6" s="148">
        <f>IF(OR('Données projet'!B9="",'Données projet'!C9="",'Données projet'!C9=0%),0,AVERAGE(Calculateur!$AC$3:$AC$33)*B6)</f>
        <v>32.029993027111566</v>
      </c>
      <c r="I6" s="149">
        <f>H6*(100%-'Données projet'!$C$24)*(100%-'Données projet'!$C$25)*(100%-'Données projet'!$C$26)*(100%-'Données projet'!$C$27)</f>
        <v>28.82699372440041</v>
      </c>
      <c r="J6" s="150">
        <f>IF(OR('Données projet'!B9="",'Données projet'!C9="",'Données projet'!C9=0%),0,SUM(Calculateur!$V$3:$V$33)*VLOOKUP('Données projet'!$B$9,Paramètres!$A$1:$I$89,9,0)*B6)</f>
        <v>326.00880000000001</v>
      </c>
      <c r="K6" s="151">
        <f>J6*(100%-'Données projet'!$C$24)*(100%-'Données projet'!$C$25)*(100%-'Données projet'!$C$26)*(100%-'Données projet'!$C$27)</f>
        <v>293.40791999999999</v>
      </c>
      <c r="L6" s="152">
        <f ca="1">G6+I6+K6</f>
        <v>2566.6169587728714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Cèdre de l'Atlas</v>
      </c>
      <c r="B7" s="154">
        <f>'Données projet'!D10</f>
        <v>0.99</v>
      </c>
      <c r="C7" s="147">
        <f ca="1">IF(OR('Données projet'!B10="",'Données projet'!C10="",'Données projet'!C10=0%),0,Calculateur!AN3)</f>
        <v>402.38496642820587</v>
      </c>
      <c r="D7" s="147">
        <f>IF(OR('Données projet'!B10="",'Données projet'!C10="",'Données projet'!C10=0%),0,Calculateur!AO3)</f>
        <v>196.65158751478987</v>
      </c>
      <c r="E7" s="147">
        <f t="shared" ref="E7:E15" ca="1" si="0">MIN(C7,D7)</f>
        <v>196.65158751478987</v>
      </c>
      <c r="F7" s="147">
        <f t="shared" ref="F7:F15" ca="1" si="1">E7*B7</f>
        <v>194.68507163964196</v>
      </c>
      <c r="G7" s="147">
        <f ca="1">F7*(100%-'Données projet'!$C$24)*(100%-'Données projet'!$C$25)*(100%-'Données projet'!$C$26)*(100%-'Données projet'!$C$27)</f>
        <v>175.21656447567776</v>
      </c>
      <c r="H7" s="155">
        <f>IF(OR('Données projet'!B10="",'Données projet'!C10="",'Données projet'!C10=0%),0,AVERAGE(Calculateur!$AX$3:$AX$33)*B7)</f>
        <v>0.72773262349395806</v>
      </c>
      <c r="I7" s="149">
        <f>H7*(100%-'Données projet'!$C$24)*(100%-'Données projet'!$C$25)*(100%-'Données projet'!$C$26)*(100%-'Données projet'!$C$27)</f>
        <v>0.65495936114456232</v>
      </c>
      <c r="J7" s="150">
        <f>IF(OR('Données projet'!B10="",'Données projet'!C10="",'Données projet'!C10=0%),0,SUM(Calculateur!$AQ$3:$AQ$33)*VLOOKUP('Données projet'!$B$10,Paramètres!$A$1:$I$89,9,0)*B7)</f>
        <v>28.521899999999999</v>
      </c>
      <c r="K7" s="151">
        <f>J7*(100%-'Données projet'!$C$24)*(100%-'Données projet'!$C$25)*(100%-'Données projet'!$C$26)*(100%-'Données projet'!$C$27)</f>
        <v>25.669709999999998</v>
      </c>
      <c r="L7" s="152">
        <f t="shared" ref="L7:L15" ca="1" si="2">G7+I7+K7</f>
        <v>201.54123383682233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laricio</v>
      </c>
      <c r="B8" s="154">
        <f>'Données projet'!D11</f>
        <v>0.99</v>
      </c>
      <c r="C8" s="147">
        <f ca="1">IF(OR('Données projet'!B11="",'Données projet'!C11="",'Données projet'!C11=0%),0,Calculateur!BI3)</f>
        <v>257.96727373333601</v>
      </c>
      <c r="D8" s="147">
        <f>IF(OR('Données projet'!B11="",'Données projet'!C11="",'Données projet'!C11=0%),0,Calculateur!BJ3)</f>
        <v>194.52809733694494</v>
      </c>
      <c r="E8" s="147">
        <f t="shared" ca="1" si="0"/>
        <v>194.52809733694494</v>
      </c>
      <c r="F8" s="147">
        <f t="shared" ca="1" si="1"/>
        <v>192.58281636357549</v>
      </c>
      <c r="G8" s="147">
        <f ca="1">F8*(100%-'Données projet'!$C$24)*(100%-'Données projet'!$C$25)*(100%-'Données projet'!$C$26)*(100%-'Données projet'!$C$27)</f>
        <v>173.32453472721795</v>
      </c>
      <c r="H8" s="155">
        <f>IF(OR('Données projet'!B11="",'Données projet'!C11="",'Données projet'!C11=0%),0,AVERAGE(Calculateur!$BS$3:$BS$33)*B8)</f>
        <v>2.9460764015574012</v>
      </c>
      <c r="I8" s="149">
        <f>H8*(100%-'Données projet'!$C$24)*(100%-'Données projet'!$C$25)*(100%-'Données projet'!$C$26)*(100%-'Données projet'!$C$27)</f>
        <v>2.6514687614016612</v>
      </c>
      <c r="J8" s="150">
        <f>IF(OR('Données projet'!B11="",'Données projet'!C11="",'Données projet'!C11=0%),0,SUM(Calculateur!$BL$3:$BL$33)*VLOOKUP('Données projet'!$B$11,Paramètres!$A$1:$I$89,9,0)*B8)</f>
        <v>28.521899999999999</v>
      </c>
      <c r="K8" s="151">
        <f>J8*(100%-'Données projet'!$C$24)*(100%-'Données projet'!$C$25)*(100%-'Données projet'!$C$26)*(100%-'Données projet'!$C$27)</f>
        <v>25.669709999999998</v>
      </c>
      <c r="L8" s="152">
        <f t="shared" ca="1" si="2"/>
        <v>201.64571348861963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2881.0257158348518</v>
      </c>
      <c r="G16" s="166">
        <f t="shared" ca="1" si="3"/>
        <v>2592.9231442513665</v>
      </c>
      <c r="H16" s="167">
        <f t="shared" si="3"/>
        <v>35.703802052162921</v>
      </c>
      <c r="I16" s="167">
        <f t="shared" si="3"/>
        <v>32.133421846946632</v>
      </c>
      <c r="J16" s="168">
        <f t="shared" si="3"/>
        <v>383.05260000000004</v>
      </c>
      <c r="K16" s="168">
        <f t="shared" si="3"/>
        <v>344.74734000000001</v>
      </c>
      <c r="L16" s="169">
        <f t="shared" ca="1" si="3"/>
        <v>2969.8039060983133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D73" sqref="D7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3587.631341657594</v>
      </c>
      <c r="U10" s="178">
        <f>'Données projet'!D9</f>
        <v>7.0200000000000005</v>
      </c>
      <c r="V10" s="177">
        <f>U10*T10</f>
        <v>25185.172018436311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1228.312942730709</v>
      </c>
      <c r="U11" s="178">
        <f>'Données projet'!D10</f>
        <v>0.99</v>
      </c>
      <c r="V11" s="177">
        <f t="shared" ref="V11" si="0">U11*T11</f>
        <v>1216.0298133034019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1278.6078039350218</v>
      </c>
      <c r="U12" s="178">
        <f>'Données projet'!D11</f>
        <v>0.99</v>
      </c>
      <c r="V12" s="177">
        <f t="shared" ref="V12:V19" si="1">U12*T12</f>
        <v>1265.8217258956715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8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239.99999999999994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604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4550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1</v>
      </c>
      <c r="I22" s="191">
        <v>825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19</v>
      </c>
      <c r="B23" s="181">
        <f>'Données projet'!D36</f>
        <v>0</v>
      </c>
      <c r="C23" s="193">
        <v>11.600000000000001</v>
      </c>
      <c r="D23" s="182">
        <f>B23*C23</f>
        <v>0</v>
      </c>
      <c r="E23" s="193"/>
      <c r="F23" s="230"/>
      <c r="H23" s="190">
        <v>3</v>
      </c>
      <c r="I23" s="191">
        <v>825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-38288.940905634619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54</v>
      </c>
      <c r="C24" s="193">
        <v>11.600000000000001</v>
      </c>
      <c r="D24" s="182">
        <f t="shared" ref="D24:D42" si="2">B24*C24</f>
        <v>626.40000000000009</v>
      </c>
      <c r="E24" s="193"/>
      <c r="F24" s="233"/>
      <c r="H24" s="190">
        <v>5</v>
      </c>
      <c r="I24" s="191">
        <v>825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576.72003349512636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54</v>
      </c>
      <c r="C25" s="193">
        <v>11.600000000000001</v>
      </c>
      <c r="D25" s="182">
        <f t="shared" si="2"/>
        <v>626.40000000000009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-38865.660939129746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69</v>
      </c>
      <c r="C26" s="193">
        <v>17.600000000000001</v>
      </c>
      <c r="D26" s="182">
        <f t="shared" si="2"/>
        <v>1214.4000000000001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72</v>
      </c>
      <c r="C27" s="193">
        <v>23.2</v>
      </c>
      <c r="D27" s="182">
        <f t="shared" si="2"/>
        <v>1670.3999999999999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66</v>
      </c>
      <c r="C28" s="193">
        <v>25.8</v>
      </c>
      <c r="D28" s="182">
        <f t="shared" si="2"/>
        <v>1702.8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48</v>
      </c>
      <c r="C29" s="193">
        <v>25.8</v>
      </c>
      <c r="D29" s="182">
        <f t="shared" si="2"/>
        <v>1238.4000000000001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55</v>
      </c>
      <c r="B30" s="181">
        <f>'Données projet'!D43</f>
        <v>35</v>
      </c>
      <c r="C30" s="193">
        <v>28.8</v>
      </c>
      <c r="D30" s="182">
        <f t="shared" si="2"/>
        <v>1008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60</v>
      </c>
      <c r="B31" s="181">
        <f>'Données projet'!D44</f>
        <v>666</v>
      </c>
      <c r="C31" s="193">
        <v>46.4</v>
      </c>
      <c r="D31" s="182">
        <f t="shared" si="2"/>
        <v>30902.399999999998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v>10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67</v>
      </c>
      <c r="C55" s="191">
        <v>10</v>
      </c>
      <c r="D55" s="179">
        <f t="shared" ref="D55:D73" si="4">B55*C55</f>
        <v>670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70</v>
      </c>
      <c r="C56" s="191">
        <v>10</v>
      </c>
      <c r="D56" s="179">
        <f t="shared" si="4"/>
        <v>700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75</v>
      </c>
      <c r="C57" s="191">
        <f>(45*0.3)+(10*0.7)</f>
        <v>20.5</v>
      </c>
      <c r="D57" s="179">
        <f t="shared" si="4"/>
        <v>1537.5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80</v>
      </c>
      <c r="C58" s="191">
        <f>(45*0.3)+(10*0.7)</f>
        <v>20.5</v>
      </c>
      <c r="D58" s="179">
        <f t="shared" si="4"/>
        <v>1640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87</v>
      </c>
      <c r="C59" s="191">
        <f>(45*0.3)+(10*0.7)</f>
        <v>20.5</v>
      </c>
      <c r="D59" s="179">
        <f t="shared" si="4"/>
        <v>1783.5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93</v>
      </c>
      <c r="C60" s="191">
        <f>(45*0.5)+(10*0.5)</f>
        <v>27.5</v>
      </c>
      <c r="D60" s="179">
        <f t="shared" si="4"/>
        <v>2557.5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98</v>
      </c>
      <c r="C61" s="191">
        <f>(45*0.6)+(10*0.3)+(14*0.1)</f>
        <v>31.4</v>
      </c>
      <c r="D61" s="179">
        <f t="shared" si="4"/>
        <v>3077.2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1285</v>
      </c>
      <c r="C62" s="191">
        <f>(45*0.8)+(10*0.1)+(14*0.1)</f>
        <v>38.4</v>
      </c>
      <c r="D62" s="179">
        <f t="shared" si="4"/>
        <v>49344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>B63*C63</f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>B64*C64</f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>B65*C65</f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22</v>
      </c>
      <c r="B85" s="181">
        <f>'Données projet'!D88</f>
        <v>16</v>
      </c>
      <c r="C85" s="191">
        <v>11.600000000000001</v>
      </c>
      <c r="D85" s="179">
        <f>B85*C85</f>
        <v>185.60000000000002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17</v>
      </c>
      <c r="C86" s="191">
        <v>11.600000000000001</v>
      </c>
      <c r="D86" s="179">
        <f t="shared" ref="D86:D104" si="6">B86*C86</f>
        <v>197.20000000000002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34</v>
      </c>
      <c r="C87" s="191">
        <v>11.600000000000001</v>
      </c>
      <c r="D87" s="179">
        <f t="shared" si="6"/>
        <v>394.40000000000003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41</v>
      </c>
      <c r="C88" s="191">
        <v>11.600000000000001</v>
      </c>
      <c r="D88" s="179">
        <f t="shared" si="6"/>
        <v>475.60000000000008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41</v>
      </c>
      <c r="C89" s="191">
        <v>11.600000000000001</v>
      </c>
      <c r="D89" s="179">
        <f t="shared" si="6"/>
        <v>475.60000000000008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53</v>
      </c>
      <c r="C90" s="191">
        <v>11.600000000000001</v>
      </c>
      <c r="D90" s="179">
        <f t="shared" si="6"/>
        <v>614.80000000000007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53</v>
      </c>
      <c r="C91" s="191">
        <v>15.600000000000001</v>
      </c>
      <c r="D91" s="179">
        <f t="shared" si="6"/>
        <v>826.80000000000007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58</v>
      </c>
      <c r="B92" s="181">
        <f>'Données projet'!D95</f>
        <v>78</v>
      </c>
      <c r="C92" s="191">
        <v>17.2</v>
      </c>
      <c r="D92" s="179">
        <f t="shared" si="6"/>
        <v>1341.6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66</v>
      </c>
      <c r="B93" s="181">
        <f>'Données projet'!D96</f>
        <v>65</v>
      </c>
      <c r="C93" s="191">
        <v>17.2</v>
      </c>
      <c r="D93" s="179">
        <f t="shared" si="6"/>
        <v>1118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74</v>
      </c>
      <c r="B94" s="181">
        <f>'Données projet'!D97</f>
        <v>37</v>
      </c>
      <c r="C94" s="191">
        <v>20.8</v>
      </c>
      <c r="D94" s="179">
        <f t="shared" si="6"/>
        <v>769.6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82</v>
      </c>
      <c r="B95" s="181">
        <f>'Données projet'!D98</f>
        <v>567</v>
      </c>
      <c r="C95" s="191">
        <v>31.4</v>
      </c>
      <c r="D95" s="179">
        <f t="shared" si="6"/>
        <v>17803.8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ALVES PEREIRA Carolina</cp:lastModifiedBy>
  <dcterms:created xsi:type="dcterms:W3CDTF">2021-02-01T08:22:39Z</dcterms:created>
  <dcterms:modified xsi:type="dcterms:W3CDTF">2024-10-31T09:01:41Z</dcterms:modified>
</cp:coreProperties>
</file>