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easyJet\Le Titre\"/>
    </mc:Choice>
  </mc:AlternateContent>
  <bookViews>
    <workbookView xWindow="0" yWindow="0" windowWidth="20490" windowHeight="7755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3" i="1" l="1"/>
  <c r="D263" i="1" s="1"/>
  <c r="D262" i="1"/>
  <c r="B262" i="1"/>
  <c r="D261" i="1"/>
  <c r="B261" i="1"/>
  <c r="D260" i="1"/>
  <c r="B260" i="1"/>
  <c r="D259" i="1"/>
  <c r="B259" i="1"/>
  <c r="D258" i="1"/>
  <c r="B258" i="1"/>
  <c r="D257" i="1"/>
  <c r="B257" i="1"/>
  <c r="D255" i="1"/>
  <c r="B255" i="1"/>
  <c r="B253" i="1"/>
  <c r="B251" i="1"/>
  <c r="D253" i="1"/>
  <c r="D251" i="1"/>
  <c r="D249" i="1"/>
  <c r="B249" i="1"/>
  <c r="D247" i="1"/>
  <c r="B247" i="1"/>
  <c r="B205" i="1" l="1"/>
  <c r="D198" i="1"/>
  <c r="B198" i="1"/>
  <c r="B197" i="1"/>
  <c r="D196" i="1"/>
  <c r="B196" i="1"/>
  <c r="B195" i="1"/>
  <c r="D194" i="1"/>
  <c r="B194" i="1"/>
  <c r="B193" i="1"/>
  <c r="B192" i="1"/>
  <c r="D280" i="1"/>
  <c r="D153" i="1"/>
  <c r="B153" i="1"/>
  <c r="B152" i="1"/>
  <c r="D151" i="1"/>
  <c r="B151" i="1"/>
  <c r="B150" i="1"/>
  <c r="D149" i="1"/>
  <c r="B149" i="1"/>
  <c r="B148" i="1"/>
  <c r="D147" i="1"/>
  <c r="B147" i="1"/>
  <c r="B146" i="1"/>
  <c r="D145" i="1"/>
  <c r="B145" i="1"/>
  <c r="B144" i="1"/>
  <c r="D143" i="1"/>
  <c r="B143" i="1"/>
  <c r="B142" i="1"/>
  <c r="D141" i="1"/>
  <c r="B141" i="1"/>
  <c r="B140" i="1"/>
  <c r="D179" i="1"/>
  <c r="B179" i="1"/>
  <c r="B178" i="1"/>
  <c r="D177" i="1"/>
  <c r="B177" i="1"/>
  <c r="B176" i="1"/>
  <c r="D175" i="1"/>
  <c r="B175" i="1"/>
  <c r="B174" i="1"/>
  <c r="D173" i="1"/>
  <c r="B173" i="1"/>
  <c r="B172" i="1"/>
  <c r="D171" i="1"/>
  <c r="B171" i="1"/>
  <c r="B170" i="1"/>
  <c r="D169" i="1"/>
  <c r="B169" i="1"/>
  <c r="B168" i="1"/>
  <c r="D167" i="1"/>
  <c r="B167" i="1"/>
  <c r="B166" i="1"/>
  <c r="D116" i="1"/>
  <c r="B116" i="1"/>
  <c r="B115" i="1"/>
  <c r="D94" i="1"/>
  <c r="B94" i="1"/>
  <c r="B93" i="1"/>
  <c r="D92" i="1"/>
  <c r="B92" i="1"/>
  <c r="B91" i="1"/>
  <c r="D90" i="1"/>
  <c r="B90" i="1"/>
  <c r="B89" i="1"/>
  <c r="B88" i="1"/>
  <c r="B231" i="1"/>
  <c r="D230" i="1"/>
  <c r="B230" i="1"/>
  <c r="B229" i="1"/>
  <c r="D228" i="1"/>
  <c r="B228" i="1"/>
  <c r="B227" i="1"/>
  <c r="D226" i="1"/>
  <c r="B226" i="1"/>
  <c r="B225" i="1"/>
  <c r="D224" i="1"/>
  <c r="B224" i="1"/>
  <c r="B223" i="1"/>
  <c r="D222" i="1"/>
  <c r="B222" i="1"/>
  <c r="B221" i="1"/>
  <c r="D220" i="1"/>
  <c r="B220" i="1"/>
  <c r="B219" i="1"/>
  <c r="B218" i="1"/>
  <c r="B75" i="1" l="1"/>
  <c r="D74" i="1"/>
  <c r="B74" i="1"/>
  <c r="B73" i="1"/>
  <c r="D72" i="1"/>
  <c r="B72" i="1"/>
  <c r="B71" i="1"/>
  <c r="D70" i="1"/>
  <c r="B70" i="1"/>
  <c r="B69" i="1"/>
  <c r="D68" i="1"/>
  <c r="B68" i="1"/>
  <c r="B67" i="1"/>
  <c r="D66" i="1"/>
  <c r="B66" i="1"/>
  <c r="B65" i="1"/>
  <c r="D64" i="1"/>
  <c r="B64" i="1"/>
  <c r="B63" i="1"/>
  <c r="B62" i="1"/>
  <c r="D49" i="1" l="1"/>
  <c r="B49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R4" i="2"/>
  <c r="BQ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HI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C14" i="2"/>
  <c r="EX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V18" i="2"/>
  <c r="EX18" i="2"/>
  <c r="HG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V20" i="2"/>
  <c r="HH20" i="2"/>
  <c r="FS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HG22" i="2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V28" i="2"/>
  <c r="EC28" i="2"/>
  <c r="HI28" i="2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B33" i="2"/>
  <c r="EA33" i="2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HI38" i="2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A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B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G85" i="2"/>
  <c r="EC85" i="2"/>
  <c r="EV85" i="2"/>
  <c r="EW85" i="2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FS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X112" i="2"/>
  <c r="FQ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EB113" i="2"/>
  <c r="EC113" i="2"/>
  <c r="HI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EW122" i="2"/>
  <c r="FS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HG130" i="2"/>
  <c r="EX130" i="2"/>
  <c r="FS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HH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HH140" i="2"/>
  <c r="FS140" i="2"/>
  <c r="HG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HG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X144" i="2"/>
  <c r="HH144" i="2"/>
  <c r="HG144" i="2"/>
  <c r="FR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I146" i="2"/>
  <c r="EA146" i="2"/>
  <c r="HG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H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C150" i="2"/>
  <c r="EV150" i="2"/>
  <c r="HG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HJ154" i="2"/>
  <c r="EY154" i="2"/>
  <c r="DI154" i="2"/>
  <c r="ED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HH156" i="2" l="1"/>
  <c r="HG156" i="2"/>
  <c r="EY155" i="2"/>
  <c r="EX156" i="2"/>
  <c r="ED155" i="2"/>
  <c r="HI156" i="2"/>
  <c r="FS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HH157" i="2"/>
  <c r="EX157" i="2"/>
  <c r="EB157" i="2"/>
  <c r="EC157" i="2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C158" i="2"/>
  <c r="ED157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H159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I160" i="2"/>
  <c r="DG160" i="2"/>
  <c r="EC160" i="2"/>
  <c r="ED159" i="2"/>
  <c r="HG160" i="2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H161" i="2" l="1"/>
  <c r="HG161" i="2"/>
  <c r="ED160" i="2"/>
  <c r="EX161" i="2"/>
  <c r="FS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D161" i="2"/>
  <c r="EB162" i="2"/>
  <c r="EW162" i="2"/>
  <c r="EY161" i="2"/>
  <c r="EC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D162" i="2"/>
  <c r="HH163" i="2"/>
  <c r="HG163" i="2"/>
  <c r="HI163" i="2"/>
  <c r="EV163" i="2"/>
  <c r="EY163" i="2" s="1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A164" i="2"/>
  <c r="EV164" i="2"/>
  <c r="EX164" i="2"/>
  <c r="HG164" i="2"/>
  <c r="DI163" i="2"/>
  <c r="FR164" i="2"/>
  <c r="FS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EC166" i="2"/>
  <c r="ED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C167" i="2"/>
  <c r="EX167" i="2"/>
  <c r="HI167" i="2"/>
  <c r="HH167" i="2"/>
  <c r="FR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C168" i="2"/>
  <c r="EB168" i="2"/>
  <c r="HH168" i="2"/>
  <c r="DG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A169" i="2"/>
  <c r="EB169" i="2"/>
  <c r="EY168" i="2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A172" i="2"/>
  <c r="ED171" i="2"/>
  <c r="EB172" i="2"/>
  <c r="EY171" i="2"/>
  <c r="EV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D172" i="2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A175" i="2"/>
  <c r="EB175" i="2"/>
  <c r="HI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D177" i="2"/>
  <c r="EW178" i="2"/>
  <c r="HG178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HG179" i="2"/>
  <c r="ED178" i="2"/>
  <c r="EB179" i="2"/>
  <c r="EA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D179" i="2"/>
  <c r="EY179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D184" i="2"/>
  <c r="HG185" i="2"/>
  <c r="HH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HH186" i="2"/>
  <c r="EB186" i="2"/>
  <c r="EA186" i="2"/>
  <c r="ED185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ED187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G190" i="2"/>
  <c r="HJ189" i="2"/>
  <c r="ED189" i="2"/>
  <c r="EB190" i="2"/>
  <c r="EV190" i="2"/>
  <c r="EY189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W191" i="2"/>
  <c r="ED190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HI192" i="2"/>
  <c r="EW192" i="2"/>
  <c r="EV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A193" i="2"/>
  <c r="ED192" i="2"/>
  <c r="EB193" i="2"/>
  <c r="EY192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D193" i="2"/>
  <c r="EB194" i="2"/>
  <c r="EA194" i="2"/>
  <c r="FQ194" i="2"/>
  <c r="HG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FQ195" i="2" l="1"/>
  <c r="HI195" i="2"/>
  <c r="HG195" i="2"/>
  <c r="EB195" i="2"/>
  <c r="ED194" i="2"/>
  <c r="EA195" i="2"/>
  <c r="EY194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Y196" i="2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V199" i="2"/>
  <c r="EY198" i="2"/>
  <c r="EB199" i="2"/>
  <c r="EW199" i="2"/>
  <c r="FS199" i="2"/>
  <c r="HG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HJ200" i="2"/>
  <c r="HH201" i="2"/>
  <c r="ED200" i="2"/>
  <c r="DI200" i="2"/>
  <c r="HG201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HG202" i="2"/>
  <c r="HH202" i="2"/>
  <c r="HI202" i="2"/>
  <c r="HJ202" i="2" s="1"/>
  <c r="EY201" i="2"/>
  <c r="ED201" i="2"/>
  <c r="EW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D21" i="2" a="1"/>
  <c r="FD21" i="2" s="1"/>
  <c r="FD144" i="2" a="1"/>
  <c r="FD144" i="2" s="1"/>
  <c r="FD59" i="2" a="1"/>
  <c r="FD59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CS120" i="2" a="1"/>
  <c r="CS120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AX200" i="2"/>
  <c r="EY202" i="2" l="1"/>
  <c r="FS203" i="2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2" i="2" a="1"/>
  <c r="AH92" i="2" s="1"/>
  <c r="GT51" i="2" a="1"/>
  <c r="GT51" i="2" s="1"/>
  <c r="GT138" i="2" a="1"/>
  <c r="GT138" i="2" s="1"/>
  <c r="GT178" i="2" a="1"/>
  <c r="GT178" i="2" s="1"/>
  <c r="GT15" i="2" a="1"/>
  <c r="GT15" i="2" s="1"/>
  <c r="GT74" i="2" a="1"/>
  <c r="GT74" i="2" s="1"/>
  <c r="GT133" i="2" a="1"/>
  <c r="GT133" i="2" s="1"/>
  <c r="GT107" i="2" a="1"/>
  <c r="GT107" i="2" s="1"/>
  <c r="GT189" i="2" a="1"/>
  <c r="GT189" i="2" s="1"/>
  <c r="GT184" i="2" a="1"/>
  <c r="GT184" i="2" s="1"/>
  <c r="GT174" i="2" a="1"/>
  <c r="GT174" i="2" s="1"/>
  <c r="GT198" i="2" a="1"/>
  <c r="GT198" i="2" s="1"/>
  <c r="GT11" i="2" a="1"/>
  <c r="GT11" i="2" s="1"/>
  <c r="GT102" i="2" a="1"/>
  <c r="GT102" i="2" s="1"/>
  <c r="GT190" i="2" a="1"/>
  <c r="GT190" i="2" s="1"/>
  <c r="GT191" i="2" a="1"/>
  <c r="GT191" i="2" s="1"/>
  <c r="GT12" i="2" a="1"/>
  <c r="GT12" i="2" s="1"/>
  <c r="GT147" i="2" a="1"/>
  <c r="GT147" i="2" s="1"/>
  <c r="GT21" i="2" a="1"/>
  <c r="GT21" i="2" s="1"/>
  <c r="GT152" i="2" a="1"/>
  <c r="GT152" i="2" s="1"/>
  <c r="GT38" i="2" a="1"/>
  <c r="GT38" i="2" s="1"/>
  <c r="GT126" i="2" a="1"/>
  <c r="GT126" i="2" s="1"/>
  <c r="GT33" i="2" a="1"/>
  <c r="GT33" i="2" s="1"/>
  <c r="GT181" i="2" a="1"/>
  <c r="GT181" i="2" s="1"/>
  <c r="GT115" i="2" a="1"/>
  <c r="GT115" i="2" s="1"/>
  <c r="GT121" i="2" a="1"/>
  <c r="GT121" i="2" s="1"/>
  <c r="GT122" i="2" a="1"/>
  <c r="GT122" i="2" s="1"/>
  <c r="GT68" i="2" a="1"/>
  <c r="GT68" i="2" s="1"/>
  <c r="HH203" i="2"/>
  <c r="HG203" i="2"/>
  <c r="DN135" i="2" a="1"/>
  <c r="DN135" i="2" s="1"/>
  <c r="DN55" i="2" a="1"/>
  <c r="DN55" i="2" s="1"/>
  <c r="DN132" i="2" a="1"/>
  <c r="DN132" i="2" s="1"/>
  <c r="DN177" i="2" a="1"/>
  <c r="DN177" i="2" s="1"/>
  <c r="DN30" i="2" a="1"/>
  <c r="DN30" i="2" s="1"/>
  <c r="DN184" i="2" a="1"/>
  <c r="DN184" i="2" s="1"/>
  <c r="DN164" i="2" a="1"/>
  <c r="DN164" i="2" s="1"/>
  <c r="DN31" i="2" a="1"/>
  <c r="DN31" i="2" s="1"/>
  <c r="DN115" i="2" a="1"/>
  <c r="DN115" i="2" s="1"/>
  <c r="DN170" i="2" a="1"/>
  <c r="DN170" i="2" s="1"/>
  <c r="DN46" i="2" a="1"/>
  <c r="DN46" i="2" s="1"/>
  <c r="DN43" i="2" a="1"/>
  <c r="DN43" i="2" s="1"/>
  <c r="DN123" i="2" a="1"/>
  <c r="DN123" i="2" s="1"/>
  <c r="DN187" i="2" a="1"/>
  <c r="DN187" i="2" s="1"/>
  <c r="DN65" i="2" a="1"/>
  <c r="DN65" i="2" s="1"/>
  <c r="DN70" i="2" a="1"/>
  <c r="DN70" i="2" s="1"/>
  <c r="DN63" i="2" a="1"/>
  <c r="DN63" i="2" s="1"/>
  <c r="DN150" i="2" a="1"/>
  <c r="DN150" i="2" s="1"/>
  <c r="DN152" i="2" a="1"/>
  <c r="DN152" i="2" s="1"/>
  <c r="DN110" i="2" a="1"/>
  <c r="DN110" i="2" s="1"/>
  <c r="DN38" i="2" a="1"/>
  <c r="DN38" i="2" s="1"/>
  <c r="DN153" i="2" a="1"/>
  <c r="DN153" i="2" s="1"/>
  <c r="DN41" i="2" a="1"/>
  <c r="DN41" i="2" s="1"/>
  <c r="DN176" i="2" a="1"/>
  <c r="DN176" i="2" s="1"/>
  <c r="DN167" i="2" a="1"/>
  <c r="DN167" i="2" s="1"/>
  <c r="DN114" i="2" a="1"/>
  <c r="DN114" i="2" s="1"/>
  <c r="DN192" i="2" a="1"/>
  <c r="DN192" i="2" s="1"/>
  <c r="DN129" i="2" a="1"/>
  <c r="DN129" i="2" s="1"/>
  <c r="DN16" i="2" a="1"/>
  <c r="DN16" i="2" s="1"/>
  <c r="DN80" i="2" a="1"/>
  <c r="DN80" i="2" s="1"/>
  <c r="DN103" i="2" a="1"/>
  <c r="DN103" i="2" s="1"/>
  <c r="DN66" i="2" a="1"/>
  <c r="DN66" i="2" s="1"/>
  <c r="DN50" i="2" a="1"/>
  <c r="DN50" i="2" s="1"/>
  <c r="DN45" i="2" a="1"/>
  <c r="DN45" i="2" s="1"/>
  <c r="DN190" i="2" a="1"/>
  <c r="DN190" i="2" s="1"/>
  <c r="DN133" i="2" a="1"/>
  <c r="DN133" i="2" s="1"/>
  <c r="DN162" i="2" a="1"/>
  <c r="DN162" i="2" s="1"/>
  <c r="DN188" i="2" a="1"/>
  <c r="DN188" i="2" s="1"/>
  <c r="DN113" i="2" a="1"/>
  <c r="DN113" i="2" s="1"/>
  <c r="DN49" i="2" a="1"/>
  <c r="DN49" i="2" s="1"/>
  <c r="DN168" i="2" a="1"/>
  <c r="DN168" i="2" s="1"/>
  <c r="DN86" i="2" a="1"/>
  <c r="DN86" i="2" s="1"/>
  <c r="DN25" i="2" a="1"/>
  <c r="DN25" i="2" s="1"/>
  <c r="DN155" i="2" a="1"/>
  <c r="DN155" i="2" s="1"/>
  <c r="DN186" i="2" a="1"/>
  <c r="DN186" i="2" s="1"/>
  <c r="DN137" i="2" a="1"/>
  <c r="DN137" i="2" s="1"/>
  <c r="DN124" i="2" a="1"/>
  <c r="DN124" i="2" s="1"/>
  <c r="DN29" i="2" a="1"/>
  <c r="DN29" i="2" s="1"/>
  <c r="DN56" i="2" a="1"/>
  <c r="DN56" i="2" s="1"/>
  <c r="BC38" i="2" a="1"/>
  <c r="BC38" i="2" s="1"/>
  <c r="BC32" i="2" a="1"/>
  <c r="BC32" i="2" s="1"/>
  <c r="BC83" i="2" a="1"/>
  <c r="BC83" i="2" s="1"/>
  <c r="BC181" i="2" a="1"/>
  <c r="BC181" i="2" s="1"/>
  <c r="BC58" i="2" a="1"/>
  <c r="BC58" i="2" s="1"/>
  <c r="BC164" i="2" a="1"/>
  <c r="BC164" i="2" s="1"/>
  <c r="BC117" i="2" a="1"/>
  <c r="BC117" i="2" s="1"/>
  <c r="BC18" i="2" a="1"/>
  <c r="BC18" i="2" s="1"/>
  <c r="BC84" i="2" a="1"/>
  <c r="BC84" i="2" s="1"/>
  <c r="BC68" i="2" a="1"/>
  <c r="BC68" i="2" s="1"/>
  <c r="BC151" i="2" a="1"/>
  <c r="BC151" i="2" s="1"/>
  <c r="BC192" i="2" a="1"/>
  <c r="BC192" i="2" s="1"/>
  <c r="BC65" i="2" a="1"/>
  <c r="BC65" i="2" s="1"/>
  <c r="BC55" i="2" a="1"/>
  <c r="BC55" i="2" s="1"/>
  <c r="BC114" i="2" a="1"/>
  <c r="BC114" i="2" s="1"/>
  <c r="BC185" i="2" a="1"/>
  <c r="BC185" i="2" s="1"/>
  <c r="BC130" i="2" a="1"/>
  <c r="BC130" i="2" s="1"/>
  <c r="BC126" i="2" a="1"/>
  <c r="BC126" i="2" s="1"/>
  <c r="BC143" i="2" a="1"/>
  <c r="BC143" i="2" s="1"/>
  <c r="BC82" i="2" a="1"/>
  <c r="BC82" i="2" s="1"/>
  <c r="BC7" i="2" a="1"/>
  <c r="BC7" i="2" s="1"/>
  <c r="BD7" i="2" s="1"/>
  <c r="BC31" i="2" a="1"/>
  <c r="BC31" i="2" s="1"/>
  <c r="BC47" i="2" a="1"/>
  <c r="BC47" i="2" s="1"/>
  <c r="FY142" i="2" a="1"/>
  <c r="FY142" i="2" s="1"/>
  <c r="FY167" i="2" a="1"/>
  <c r="FY167" i="2" s="1"/>
  <c r="FY58" i="2" a="1"/>
  <c r="FY58" i="2" s="1"/>
  <c r="FY82" i="2" a="1"/>
  <c r="FY82" i="2" s="1"/>
  <c r="FY121" i="2" a="1"/>
  <c r="FY121" i="2" s="1"/>
  <c r="FY30" i="2" a="1"/>
  <c r="FY30" i="2" s="1"/>
  <c r="FY42" i="2" a="1"/>
  <c r="FY42" i="2" s="1"/>
  <c r="FY196" i="2" a="1"/>
  <c r="FY196" i="2" s="1"/>
  <c r="FY172" i="2" a="1"/>
  <c r="FY172" i="2" s="1"/>
  <c r="FY104" i="2" a="1"/>
  <c r="FY104" i="2" s="1"/>
  <c r="FY80" i="2" a="1"/>
  <c r="FY80" i="2" s="1"/>
  <c r="FY115" i="2" a="1"/>
  <c r="FY115" i="2" s="1"/>
  <c r="FY86" i="2" a="1"/>
  <c r="FY86" i="2" s="1"/>
  <c r="FY34" i="2" a="1"/>
  <c r="FY34" i="2" s="1"/>
  <c r="FY149" i="2" a="1"/>
  <c r="FY149" i="2" s="1"/>
  <c r="FY182" i="2" a="1"/>
  <c r="FY182" i="2" s="1"/>
  <c r="FY169" i="2" a="1"/>
  <c r="FY169" i="2" s="1"/>
  <c r="FY62" i="2" a="1"/>
  <c r="FY62" i="2" s="1"/>
  <c r="FY72" i="2" a="1"/>
  <c r="FY72" i="2" s="1"/>
  <c r="FY55" i="2" a="1"/>
  <c r="FY55" i="2" s="1"/>
  <c r="FY28" i="2" a="1"/>
  <c r="FY28" i="2" s="1"/>
  <c r="FY174" i="2" a="1"/>
  <c r="FY174" i="2" s="1"/>
  <c r="FY24" i="2" a="1"/>
  <c r="FY24" i="2" s="1"/>
  <c r="FY188" i="2" a="1"/>
  <c r="FY188" i="2" s="1"/>
  <c r="FY190" i="2" a="1"/>
  <c r="FY190" i="2" s="1"/>
  <c r="FY78" i="2" a="1"/>
  <c r="FY78" i="2" s="1"/>
  <c r="FY164" i="2" a="1"/>
  <c r="FY164" i="2" s="1"/>
  <c r="FY99" i="2" a="1"/>
  <c r="FY99" i="2" s="1"/>
  <c r="FY178" i="2" a="1"/>
  <c r="FY178" i="2" s="1"/>
  <c r="FY152" i="2" a="1"/>
  <c r="FY152" i="2" s="1"/>
  <c r="FY47" i="2" a="1"/>
  <c r="FY47" i="2" s="1"/>
  <c r="FY124" i="2" a="1"/>
  <c r="FY124" i="2" s="1"/>
  <c r="FY126" i="2" a="1"/>
  <c r="FY126" i="2" s="1"/>
  <c r="FY92" i="2" a="1"/>
  <c r="FY92" i="2" s="1"/>
  <c r="FY111" i="2" a="1"/>
  <c r="FY111" i="2" s="1"/>
  <c r="FY73" i="2" a="1"/>
  <c r="FY73" i="2" s="1"/>
  <c r="FY186" i="2" a="1"/>
  <c r="FY186" i="2" s="1"/>
  <c r="FY110" i="2" a="1"/>
  <c r="FY110" i="2" s="1"/>
  <c r="FY116" i="2" a="1"/>
  <c r="FY116" i="2" s="1"/>
  <c r="FY159" i="2" a="1"/>
  <c r="FY159" i="2" s="1"/>
  <c r="FY143" i="2" a="1"/>
  <c r="FY143" i="2" s="1"/>
  <c r="FY191" i="2" a="1"/>
  <c r="FY191" i="2" s="1"/>
  <c r="FY102" i="2" a="1"/>
  <c r="FY102" i="2" s="1"/>
  <c r="FY18" i="2" a="1"/>
  <c r="FY18" i="2" s="1"/>
  <c r="FY173" i="2" a="1"/>
  <c r="FY173" i="2" s="1"/>
  <c r="FY66" i="2" a="1"/>
  <c r="FY66" i="2" s="1"/>
  <c r="FY120" i="2" a="1"/>
  <c r="FY120" i="2" s="1"/>
  <c r="FY71" i="2" a="1"/>
  <c r="FY71" i="2" s="1"/>
  <c r="FY133" i="2" a="1"/>
  <c r="FY133" i="2" s="1"/>
  <c r="FY153" i="2" a="1"/>
  <c r="FY153" i="2" s="1"/>
  <c r="FY146" i="2" a="1"/>
  <c r="FY146" i="2" s="1"/>
  <c r="FY69" i="2" a="1"/>
  <c r="FY69" i="2" s="1"/>
  <c r="FY29" i="2" a="1"/>
  <c r="FY29" i="2" s="1"/>
  <c r="FY35" i="2" a="1"/>
  <c r="FY35" i="2" s="1"/>
  <c r="FY165" i="2" a="1"/>
  <c r="FY165" i="2" s="1"/>
  <c r="FY32" i="2" a="1"/>
  <c r="FY32" i="2" s="1"/>
  <c r="FY50" i="2" a="1"/>
  <c r="FY50" i="2" s="1"/>
  <c r="FY140" i="2" a="1"/>
  <c r="FY140" i="2" s="1"/>
  <c r="FY90" i="2" a="1"/>
  <c r="FY90" i="2" s="1"/>
  <c r="FY57" i="2" a="1"/>
  <c r="FY57" i="2" s="1"/>
  <c r="FY54" i="2" a="1"/>
  <c r="FY54" i="2" s="1"/>
  <c r="FY109" i="2" a="1"/>
  <c r="FY109" i="2" s="1"/>
  <c r="FY79" i="2" a="1"/>
  <c r="FY79" i="2" s="1"/>
  <c r="FY22" i="2" a="1"/>
  <c r="FY22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J30" i="2" l="1"/>
  <c r="FJ118" i="2"/>
  <c r="FJ32" i="2"/>
  <c r="FJ23" i="2"/>
  <c r="FJ53" i="2"/>
  <c r="FJ133" i="2"/>
  <c r="FJ198" i="2"/>
  <c r="FJ161" i="2"/>
  <c r="FJ173" i="2"/>
  <c r="FJ70" i="2"/>
  <c r="FJ177" i="2"/>
  <c r="FJ28" i="2"/>
  <c r="FJ146" i="2"/>
  <c r="FJ144" i="2"/>
  <c r="FJ113" i="2"/>
  <c r="FJ190" i="2"/>
  <c r="FJ120" i="2"/>
  <c r="FJ131" i="2"/>
  <c r="FJ116" i="2"/>
  <c r="FJ83" i="2"/>
  <c r="FJ63" i="2"/>
  <c r="FJ85" i="2"/>
  <c r="FJ121" i="2"/>
  <c r="FJ135" i="2"/>
  <c r="FJ119" i="2"/>
  <c r="FJ175" i="2"/>
  <c r="FJ162" i="2"/>
  <c r="FJ130" i="2"/>
  <c r="FJ123" i="2"/>
  <c r="FJ65" i="2"/>
  <c r="FJ128" i="2"/>
  <c r="FJ199" i="2"/>
  <c r="FJ139" i="2"/>
  <c r="FJ103" i="2"/>
  <c r="FJ170" i="2"/>
  <c r="FJ197" i="2"/>
  <c r="FJ62" i="2"/>
  <c r="FJ57" i="2"/>
  <c r="FJ150" i="2"/>
  <c r="FJ91" i="2"/>
  <c r="FJ114" i="2"/>
  <c r="FJ186" i="2"/>
  <c r="FJ126" i="2"/>
  <c r="FJ6" i="2"/>
  <c r="FJ95" i="2"/>
  <c r="FJ145" i="2"/>
  <c r="FJ193" i="2"/>
  <c r="FJ35" i="2"/>
  <c r="FJ184" i="2"/>
  <c r="FJ189" i="2"/>
  <c r="FJ107" i="2"/>
  <c r="FJ93" i="2"/>
  <c r="FJ41" i="2"/>
  <c r="FJ136" i="2"/>
  <c r="FJ17" i="2"/>
  <c r="FJ15" i="2"/>
  <c r="FJ203" i="2"/>
  <c r="FJ122" i="2"/>
  <c r="FJ137" i="2"/>
  <c r="FJ71" i="2"/>
  <c r="FJ76" i="2"/>
  <c r="FJ101" i="2"/>
  <c r="FJ96" i="2"/>
  <c r="FJ155" i="2"/>
  <c r="FJ111" i="2"/>
  <c r="FJ98" i="2"/>
  <c r="FJ69" i="2"/>
  <c r="FJ110" i="2"/>
  <c r="FJ124" i="2"/>
  <c r="FJ194" i="2"/>
  <c r="FJ180" i="2"/>
  <c r="FJ11" i="2"/>
  <c r="FJ166" i="2"/>
  <c r="FJ94" i="2"/>
  <c r="FJ27" i="2"/>
  <c r="FJ5" i="2"/>
  <c r="FJ90" i="2"/>
  <c r="FJ64" i="2"/>
  <c r="FJ43" i="2"/>
  <c r="FJ46" i="2"/>
  <c r="FJ79" i="2"/>
  <c r="FJ12" i="2"/>
  <c r="FJ179" i="2"/>
  <c r="FJ22" i="2"/>
  <c r="FJ100" i="2"/>
  <c r="FJ16" i="2"/>
  <c r="FJ29" i="2"/>
  <c r="FJ112" i="2"/>
  <c r="FJ134" i="2"/>
  <c r="FJ183" i="2"/>
  <c r="FJ45" i="2"/>
  <c r="FJ68" i="2"/>
  <c r="FJ140" i="2"/>
  <c r="FJ109" i="2"/>
  <c r="FJ33" i="2"/>
  <c r="FJ152" i="2"/>
  <c r="FJ182" i="2"/>
  <c r="FJ59" i="2"/>
  <c r="FJ66" i="2"/>
  <c r="FJ151" i="2"/>
  <c r="FJ39" i="2"/>
  <c r="FJ156" i="2"/>
  <c r="FJ132" i="2"/>
  <c r="FJ149" i="2"/>
  <c r="FJ158" i="2"/>
  <c r="FJ160" i="2"/>
  <c r="FJ56" i="2"/>
  <c r="FJ14" i="2"/>
  <c r="FJ80" i="2"/>
  <c r="FJ20" i="2"/>
  <c r="FJ24" i="2"/>
  <c r="FJ104" i="2"/>
  <c r="FJ172" i="2"/>
  <c r="FJ157" i="2"/>
  <c r="FJ153" i="2"/>
  <c r="FJ67" i="2"/>
  <c r="FJ188" i="2"/>
  <c r="FJ200" i="2"/>
  <c r="FJ192" i="2"/>
  <c r="FJ9" i="2"/>
  <c r="FJ195" i="2"/>
  <c r="FJ55" i="2"/>
  <c r="FJ168" i="2"/>
  <c r="FJ174" i="2"/>
  <c r="FJ75" i="2"/>
  <c r="FJ165" i="2"/>
  <c r="FJ3" i="2"/>
  <c r="C13" i="4" s="1"/>
  <c r="E13" i="4" s="1"/>
  <c r="F13" i="4" s="1"/>
  <c r="G13" i="4" s="1"/>
  <c r="L13" i="4" s="1"/>
  <c r="FJ74" i="2"/>
  <c r="FJ37" i="2"/>
  <c r="FJ87" i="2"/>
  <c r="FJ44" i="2"/>
  <c r="FJ163" i="2"/>
  <c r="FJ176" i="2"/>
  <c r="FJ49" i="2"/>
  <c r="FJ97" i="2"/>
  <c r="FJ51" i="2"/>
  <c r="FJ72" i="2"/>
  <c r="FJ40" i="2"/>
  <c r="FJ31" i="2"/>
  <c r="FJ52" i="2"/>
  <c r="FJ105" i="2"/>
  <c r="FJ60" i="2"/>
  <c r="FJ167" i="2"/>
  <c r="FJ191" i="2"/>
  <c r="FJ82" i="2"/>
  <c r="FJ25" i="2"/>
  <c r="FJ141" i="2"/>
  <c r="FJ8" i="2"/>
  <c r="FJ106" i="2"/>
  <c r="FJ115" i="2"/>
  <c r="FJ108" i="2"/>
  <c r="FJ202" i="2"/>
  <c r="FJ34" i="2"/>
  <c r="FJ78" i="2"/>
  <c r="FJ81" i="2"/>
  <c r="FJ42" i="2"/>
  <c r="FJ125" i="2"/>
  <c r="FJ7" i="2"/>
  <c r="FJ48" i="2"/>
  <c r="FJ181" i="2"/>
  <c r="FJ54" i="2"/>
  <c r="FJ117" i="2"/>
  <c r="FJ26" i="2"/>
  <c r="FJ89" i="2"/>
  <c r="FJ178" i="2"/>
  <c r="FJ18" i="2"/>
  <c r="FJ58" i="2"/>
  <c r="FJ171" i="2"/>
  <c r="FJ196" i="2"/>
  <c r="FJ185" i="2"/>
  <c r="FJ36" i="2"/>
  <c r="FJ127" i="2"/>
  <c r="FJ159" i="2"/>
  <c r="FJ129" i="2"/>
  <c r="FJ10" i="2"/>
  <c r="FJ201" i="2"/>
  <c r="FJ99" i="2"/>
  <c r="FJ84" i="2"/>
  <c r="FJ86" i="2"/>
  <c r="FJ21" i="2"/>
  <c r="FJ61" i="2"/>
  <c r="FJ73" i="2"/>
  <c r="FJ143" i="2"/>
  <c r="FJ50" i="2"/>
  <c r="FJ19" i="2"/>
  <c r="FJ169" i="2"/>
  <c r="FJ147" i="2"/>
  <c r="FJ138" i="2"/>
  <c r="FJ187" i="2"/>
  <c r="FJ4" i="2"/>
  <c r="FJ77" i="2"/>
  <c r="FJ92" i="2"/>
  <c r="FJ88" i="2"/>
  <c r="FJ102" i="2"/>
  <c r="FJ154" i="2"/>
  <c r="FJ148" i="2"/>
  <c r="FJ164" i="2"/>
  <c r="FJ38" i="2"/>
  <c r="FJ47" i="2"/>
  <c r="FJ13" i="2"/>
  <c r="FJ142" i="2"/>
  <c r="FE104" i="2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E25" i="2" l="1"/>
  <c r="GE178" i="2"/>
  <c r="GE139" i="2"/>
  <c r="GE142" i="2"/>
  <c r="GE151" i="2"/>
  <c r="GE199" i="2"/>
  <c r="GE113" i="2"/>
  <c r="GE116" i="2"/>
  <c r="GE168" i="2"/>
  <c r="GE82" i="2"/>
  <c r="GE32" i="2"/>
  <c r="GE106" i="2"/>
  <c r="GE105" i="2"/>
  <c r="GE34" i="2"/>
  <c r="GE63" i="2"/>
  <c r="GE130" i="2"/>
  <c r="GE60" i="2"/>
  <c r="GE158" i="2"/>
  <c r="GE17" i="2"/>
  <c r="GE30" i="2"/>
  <c r="GE110" i="2"/>
  <c r="GE93" i="2"/>
  <c r="GE90" i="2"/>
  <c r="GE121" i="2"/>
  <c r="GE73" i="2"/>
  <c r="GE37" i="2"/>
  <c r="GE50" i="2"/>
  <c r="GE47" i="2"/>
  <c r="GE5" i="2"/>
  <c r="GE10" i="2"/>
  <c r="GE161" i="2"/>
  <c r="GE7" i="2"/>
  <c r="GE20" i="2"/>
  <c r="GE15" i="2"/>
  <c r="GE94" i="2"/>
  <c r="GE3" i="2"/>
  <c r="C14" i="4" s="1"/>
  <c r="E14" i="4" s="1"/>
  <c r="F14" i="4" s="1"/>
  <c r="G14" i="4" s="1"/>
  <c r="L14" i="4" s="1"/>
  <c r="GE147" i="2"/>
  <c r="GE102" i="2"/>
  <c r="GE76" i="2"/>
  <c r="GE38" i="2"/>
  <c r="GE156" i="2"/>
  <c r="GE174" i="2"/>
  <c r="GE22" i="2"/>
  <c r="GE57" i="2"/>
  <c r="GE190" i="2"/>
  <c r="GE197" i="2"/>
  <c r="GE100" i="2"/>
  <c r="GE56" i="2"/>
  <c r="GE176" i="2"/>
  <c r="GE148" i="2"/>
  <c r="GE95" i="2"/>
  <c r="GE169" i="2"/>
  <c r="GE31" i="2"/>
  <c r="GE192" i="2"/>
  <c r="GE173" i="2"/>
  <c r="GE36" i="2"/>
  <c r="GE75" i="2"/>
  <c r="GE35" i="2"/>
  <c r="GE48" i="2"/>
  <c r="GE11" i="2"/>
  <c r="GE187" i="2"/>
  <c r="GE13" i="2"/>
  <c r="GE193" i="2"/>
  <c r="GE171" i="2"/>
  <c r="GE98" i="2"/>
  <c r="GE200" i="2"/>
  <c r="GE59" i="2"/>
  <c r="GE88" i="2"/>
  <c r="GE42" i="2"/>
  <c r="GE96" i="2"/>
  <c r="GE195" i="2"/>
  <c r="GE69" i="2"/>
  <c r="GE55" i="2"/>
  <c r="GE160" i="2"/>
  <c r="GE159" i="2"/>
  <c r="GE182" i="2"/>
  <c r="GE149" i="2"/>
  <c r="GE184" i="2"/>
  <c r="GE137" i="2"/>
  <c r="GE109" i="2"/>
  <c r="GE115" i="2"/>
  <c r="GE118" i="2"/>
  <c r="GE166" i="2"/>
  <c r="GE87" i="2"/>
  <c r="GE201" i="2"/>
  <c r="GE111" i="2"/>
  <c r="GE16" i="2"/>
  <c r="GE49" i="2"/>
  <c r="GE179" i="2"/>
  <c r="GE53" i="2"/>
  <c r="GE80" i="2"/>
  <c r="GE92" i="2"/>
  <c r="GE185" i="2"/>
  <c r="GE33" i="2"/>
  <c r="GE134" i="2"/>
  <c r="GE140" i="2"/>
  <c r="GE146" i="2"/>
  <c r="GE189" i="2"/>
  <c r="GE153" i="2"/>
  <c r="GE155" i="2"/>
  <c r="GE52" i="2"/>
  <c r="GE203" i="2"/>
  <c r="GE107" i="2"/>
  <c r="GE180" i="2"/>
  <c r="GE150" i="2"/>
  <c r="GE133" i="2"/>
  <c r="GE64" i="2"/>
  <c r="GE165" i="2"/>
  <c r="GE175" i="2"/>
  <c r="GE97" i="2"/>
  <c r="GE62" i="2"/>
  <c r="GE112" i="2"/>
  <c r="GE162" i="2"/>
  <c r="GE152" i="2"/>
  <c r="GE123" i="2"/>
  <c r="GE28" i="2"/>
  <c r="GE131" i="2"/>
  <c r="GE89" i="2"/>
  <c r="GE188" i="2"/>
  <c r="GE127" i="2"/>
  <c r="GE183" i="2"/>
  <c r="GE54" i="2"/>
  <c r="GE19" i="2"/>
  <c r="GE99" i="2"/>
  <c r="GE45" i="2"/>
  <c r="GE164" i="2"/>
  <c r="GE65" i="2"/>
  <c r="GE67" i="2"/>
  <c r="GE14" i="2"/>
  <c r="GE66" i="2"/>
  <c r="GE104" i="2"/>
  <c r="GE119" i="2"/>
  <c r="GE44" i="2"/>
  <c r="GE40" i="2"/>
  <c r="GE51" i="2"/>
  <c r="GE27" i="2"/>
  <c r="GE78" i="2"/>
  <c r="GE39" i="2"/>
  <c r="GE8" i="2"/>
  <c r="GE85" i="2"/>
  <c r="GE41" i="2"/>
  <c r="GE125" i="2"/>
  <c r="GE61" i="2"/>
  <c r="GE43" i="2"/>
  <c r="GE21" i="2"/>
  <c r="GE124" i="2"/>
  <c r="GE18" i="2"/>
  <c r="GE9" i="2"/>
  <c r="GE84" i="2"/>
  <c r="GE141" i="2"/>
  <c r="GE101" i="2"/>
  <c r="GE120" i="2"/>
  <c r="GE126" i="2"/>
  <c r="GE72" i="2"/>
  <c r="GE6" i="2"/>
  <c r="GE181" i="2"/>
  <c r="GE26" i="2"/>
  <c r="GE157" i="2"/>
  <c r="GE74" i="2"/>
  <c r="GE132" i="2"/>
  <c r="GE24" i="2"/>
  <c r="GE191" i="2"/>
  <c r="GE177" i="2"/>
  <c r="GE143" i="2"/>
  <c r="GE77" i="2"/>
  <c r="GE70" i="2"/>
  <c r="GE23" i="2"/>
  <c r="GE135" i="2"/>
  <c r="GE129" i="2"/>
  <c r="GE103" i="2"/>
  <c r="GE114" i="2"/>
  <c r="GE46" i="2"/>
  <c r="GE136" i="2"/>
  <c r="GE29" i="2"/>
  <c r="GE198" i="2"/>
  <c r="GE202" i="2"/>
  <c r="GE170" i="2"/>
  <c r="GE71" i="2"/>
  <c r="GE186" i="2"/>
  <c r="GE172" i="2"/>
  <c r="GE144" i="2"/>
  <c r="GE79" i="2"/>
  <c r="GE122" i="2"/>
  <c r="GE4" i="2"/>
  <c r="GE128" i="2"/>
  <c r="GE91" i="2"/>
  <c r="GE68" i="2"/>
  <c r="GE163" i="2"/>
  <c r="GE81" i="2"/>
  <c r="GE196" i="2"/>
  <c r="GE12" i="2"/>
  <c r="GE167" i="2"/>
  <c r="GE58" i="2"/>
  <c r="GE138" i="2"/>
  <c r="GE194" i="2"/>
  <c r="GE86" i="2"/>
  <c r="GE83" i="2"/>
  <c r="GE145" i="2"/>
  <c r="GE154" i="2"/>
  <c r="GE108" i="2"/>
  <c r="GE117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186" i="2" l="1"/>
  <c r="CD167" i="2"/>
  <c r="CD60" i="2"/>
  <c r="CD134" i="2"/>
  <c r="CD187" i="2"/>
  <c r="CD78" i="2"/>
  <c r="CD175" i="2"/>
  <c r="CD155" i="2"/>
  <c r="CD86" i="2"/>
  <c r="CD115" i="2"/>
  <c r="CD7" i="2"/>
  <c r="CD144" i="2"/>
  <c r="CD58" i="2"/>
  <c r="CD43" i="2"/>
  <c r="CD164" i="2"/>
  <c r="CD118" i="2"/>
  <c r="CD19" i="2"/>
  <c r="CD9" i="2"/>
  <c r="CD136" i="2"/>
  <c r="CD127" i="2"/>
  <c r="CD32" i="2"/>
  <c r="CD30" i="2"/>
  <c r="CD76" i="2"/>
  <c r="CD39" i="2"/>
  <c r="CD129" i="2"/>
  <c r="CD93" i="2"/>
  <c r="CD48" i="2"/>
  <c r="CD36" i="2"/>
  <c r="CD198" i="2"/>
  <c r="CD110" i="2"/>
  <c r="CD67" i="2"/>
  <c r="CD102" i="2"/>
  <c r="CD5" i="2"/>
  <c r="CD106" i="2"/>
  <c r="CD31" i="2"/>
  <c r="CD20" i="2"/>
  <c r="CD49" i="2"/>
  <c r="CD112" i="2"/>
  <c r="CD95" i="2"/>
  <c r="CD178" i="2"/>
  <c r="CD152" i="2"/>
  <c r="CD80" i="2"/>
  <c r="CD62" i="2"/>
  <c r="CD160" i="2"/>
  <c r="CD184" i="2"/>
  <c r="CD47" i="2"/>
  <c r="CD176" i="2"/>
  <c r="CD15" i="2"/>
  <c r="CD165" i="2"/>
  <c r="CD109" i="2"/>
  <c r="CD145" i="2"/>
  <c r="CD53" i="2"/>
  <c r="CD41" i="2"/>
  <c r="CD154" i="2"/>
  <c r="CD44" i="2"/>
  <c r="CD194" i="2"/>
  <c r="CD46" i="2"/>
  <c r="CD28" i="2"/>
  <c r="CD171" i="2"/>
  <c r="CD149" i="2"/>
  <c r="CD104" i="2"/>
  <c r="CD125" i="2"/>
  <c r="CD25" i="2"/>
  <c r="CD16" i="2"/>
  <c r="CD195" i="2"/>
  <c r="CD45" i="2"/>
  <c r="CD180" i="2"/>
  <c r="CD8" i="2"/>
  <c r="CD4" i="2"/>
  <c r="CD40" i="2"/>
  <c r="CD65" i="2"/>
  <c r="CD98" i="2"/>
  <c r="CD96" i="2"/>
  <c r="CD57" i="2"/>
  <c r="CD188" i="2"/>
  <c r="CD64" i="2"/>
  <c r="CD126" i="2"/>
  <c r="CD79" i="2"/>
  <c r="CD55" i="2"/>
  <c r="CD156" i="2"/>
  <c r="CD157" i="2"/>
  <c r="CD77" i="2"/>
  <c r="CD120" i="2"/>
  <c r="CD190" i="2"/>
  <c r="CD88" i="2"/>
  <c r="CD189" i="2"/>
  <c r="CD73" i="2"/>
  <c r="CD173" i="2"/>
  <c r="CD14" i="2"/>
  <c r="CD196" i="2"/>
  <c r="CD99" i="2"/>
  <c r="CD121" i="2"/>
  <c r="CD137" i="2"/>
  <c r="CD202" i="2"/>
  <c r="CD183" i="2"/>
  <c r="CD203" i="2"/>
  <c r="CD158" i="2"/>
  <c r="CD90" i="2"/>
  <c r="CD103" i="2"/>
  <c r="CD163" i="2"/>
  <c r="CD29" i="2"/>
  <c r="CD42" i="2"/>
  <c r="CD89" i="2"/>
  <c r="CD94" i="2"/>
  <c r="CD33" i="2"/>
  <c r="CD18" i="2"/>
  <c r="CD123" i="2"/>
  <c r="CD66" i="2"/>
  <c r="CD61" i="2"/>
  <c r="CD124" i="2"/>
  <c r="CD84" i="2"/>
  <c r="CD191" i="2"/>
  <c r="CD50" i="2"/>
  <c r="CD72" i="2"/>
  <c r="CD200" i="2"/>
  <c r="CD133" i="2"/>
  <c r="CD161" i="2"/>
  <c r="CD11" i="2"/>
  <c r="CD185" i="2"/>
  <c r="CD91" i="2"/>
  <c r="CD151" i="2"/>
  <c r="CD37" i="2"/>
  <c r="CD143" i="2"/>
  <c r="CD12" i="2"/>
  <c r="CD147" i="2"/>
  <c r="CD197" i="2"/>
  <c r="CD69" i="2"/>
  <c r="CD181" i="2"/>
  <c r="CD113" i="2"/>
  <c r="CD10" i="2"/>
  <c r="CD170" i="2"/>
  <c r="CD172" i="2"/>
  <c r="CD24" i="2"/>
  <c r="CD3" i="2"/>
  <c r="C9" i="4" s="1"/>
  <c r="E9" i="4" s="1"/>
  <c r="F9" i="4" s="1"/>
  <c r="G9" i="4" s="1"/>
  <c r="L9" i="4" s="1"/>
  <c r="CD68" i="2"/>
  <c r="CD146" i="2"/>
  <c r="CD70" i="2"/>
  <c r="CD111" i="2"/>
  <c r="CD17" i="2"/>
  <c r="CD132" i="2"/>
  <c r="CD107" i="2"/>
  <c r="CD34" i="2"/>
  <c r="CD193" i="2"/>
  <c r="CD59" i="2"/>
  <c r="CD140" i="2"/>
  <c r="CD174" i="2"/>
  <c r="CD97" i="2"/>
  <c r="CD13" i="2"/>
  <c r="CD116" i="2"/>
  <c r="CD105" i="2"/>
  <c r="CD82" i="2"/>
  <c r="CD199" i="2"/>
  <c r="CD153" i="2"/>
  <c r="CD201" i="2"/>
  <c r="CD85" i="2"/>
  <c r="CD166" i="2"/>
  <c r="CD38" i="2"/>
  <c r="CD52" i="2"/>
  <c r="CD101" i="2"/>
  <c r="CD192" i="2"/>
  <c r="CD87" i="2"/>
  <c r="CD177" i="2"/>
  <c r="CD169" i="2"/>
  <c r="CD27" i="2"/>
  <c r="CD114" i="2"/>
  <c r="CD23" i="2"/>
  <c r="CD119" i="2"/>
  <c r="CD148" i="2"/>
  <c r="CD22" i="2"/>
  <c r="CD117" i="2"/>
  <c r="CD179" i="2"/>
  <c r="CD150" i="2"/>
  <c r="CD138" i="2"/>
  <c r="CD26" i="2"/>
  <c r="CD131" i="2"/>
  <c r="CD83" i="2"/>
  <c r="CD21" i="2"/>
  <c r="CD122" i="2"/>
  <c r="CD100" i="2"/>
  <c r="CD54" i="2"/>
  <c r="CD182" i="2"/>
  <c r="CD74" i="2"/>
  <c r="CD162" i="2"/>
  <c r="CD81" i="2"/>
  <c r="CD139" i="2"/>
  <c r="CD108" i="2"/>
  <c r="CD71" i="2"/>
  <c r="CD142" i="2"/>
  <c r="CD135" i="2"/>
  <c r="CD63" i="2"/>
  <c r="CD75" i="2"/>
  <c r="CD35" i="2"/>
  <c r="CD92" i="2"/>
  <c r="CD51" i="2"/>
  <c r="CD168" i="2"/>
  <c r="CD128" i="2"/>
  <c r="CD6" i="2"/>
  <c r="CD56" i="2"/>
  <c r="CD159" i="2"/>
  <c r="CD141" i="2"/>
  <c r="CD130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Z173" i="2" l="1"/>
  <c r="GZ112" i="2"/>
  <c r="GZ14" i="2"/>
  <c r="GZ28" i="2"/>
  <c r="GZ29" i="2"/>
  <c r="GZ147" i="2"/>
  <c r="GZ198" i="2"/>
  <c r="GZ199" i="2"/>
  <c r="GZ46" i="2"/>
  <c r="GZ177" i="2"/>
  <c r="GZ178" i="2"/>
  <c r="GZ25" i="2"/>
  <c r="GZ140" i="2"/>
  <c r="GZ141" i="2"/>
  <c r="GZ126" i="2"/>
  <c r="GZ111" i="2"/>
  <c r="GZ116" i="2"/>
  <c r="GZ105" i="2"/>
  <c r="GZ90" i="2"/>
  <c r="GZ6" i="2"/>
  <c r="GZ68" i="2"/>
  <c r="GZ53" i="2"/>
  <c r="GZ184" i="2"/>
  <c r="GZ39" i="2"/>
  <c r="GZ32" i="2"/>
  <c r="GZ187" i="2"/>
  <c r="GZ63" i="2"/>
  <c r="GZ202" i="2"/>
  <c r="GZ118" i="2"/>
  <c r="GZ42" i="2"/>
  <c r="GZ165" i="2"/>
  <c r="GZ97" i="2"/>
  <c r="GZ5" i="2"/>
  <c r="GZ144" i="2"/>
  <c r="GZ60" i="2"/>
  <c r="GZ175" i="2"/>
  <c r="GZ51" i="2"/>
  <c r="GZ31" i="2"/>
  <c r="GZ154" i="2"/>
  <c r="GZ78" i="2"/>
  <c r="GZ10" i="2"/>
  <c r="GZ117" i="2"/>
  <c r="GZ8" i="2"/>
  <c r="GZ172" i="2"/>
  <c r="GZ96" i="2"/>
  <c r="GZ81" i="2"/>
  <c r="GZ143" i="2"/>
  <c r="GZ181" i="2"/>
  <c r="GZ44" i="2"/>
  <c r="GZ122" i="2"/>
  <c r="GZ160" i="2"/>
  <c r="GZ15" i="2"/>
  <c r="GZ85" i="2"/>
  <c r="GZ179" i="2"/>
  <c r="GZ18" i="2"/>
  <c r="GZ64" i="2"/>
  <c r="GZ94" i="2"/>
  <c r="GZ180" i="2"/>
  <c r="GZ11" i="2"/>
  <c r="GZ73" i="2"/>
  <c r="GZ151" i="2"/>
  <c r="GZ197" i="2"/>
  <c r="GZ36" i="2"/>
  <c r="GZ130" i="2"/>
  <c r="GZ176" i="2"/>
  <c r="GZ7" i="2"/>
  <c r="GZ93" i="2"/>
  <c r="GZ35" i="2"/>
  <c r="GZ185" i="2"/>
  <c r="GZ72" i="2"/>
  <c r="GZ57" i="2"/>
  <c r="GZ148" i="2"/>
  <c r="GZ75" i="2"/>
  <c r="GZ20" i="2"/>
  <c r="GZ119" i="2"/>
  <c r="GZ136" i="2"/>
  <c r="GZ190" i="2"/>
  <c r="GZ41" i="2"/>
  <c r="GZ98" i="2"/>
  <c r="GZ155" i="2"/>
  <c r="GZ169" i="2"/>
  <c r="GZ61" i="2"/>
  <c r="GZ70" i="2"/>
  <c r="GZ193" i="2"/>
  <c r="GZ40" i="2"/>
  <c r="GZ49" i="2"/>
  <c r="GZ156" i="2"/>
  <c r="GZ67" i="2"/>
  <c r="GZ12" i="2"/>
  <c r="GZ127" i="2"/>
  <c r="GZ19" i="2"/>
  <c r="GZ182" i="2"/>
  <c r="GZ106" i="2"/>
  <c r="GZ30" i="2"/>
  <c r="GZ161" i="2"/>
  <c r="GZ69" i="2"/>
  <c r="GZ9" i="2"/>
  <c r="GZ124" i="2"/>
  <c r="GZ48" i="2"/>
  <c r="GZ99" i="2"/>
  <c r="GZ95" i="2"/>
  <c r="GZ131" i="2"/>
  <c r="GZ89" i="2"/>
  <c r="GZ74" i="2"/>
  <c r="GZ189" i="2"/>
  <c r="GZ52" i="2"/>
  <c r="GZ37" i="2"/>
  <c r="GZ168" i="2"/>
  <c r="GZ23" i="2"/>
  <c r="GZ16" i="2"/>
  <c r="GZ171" i="2"/>
  <c r="GZ132" i="2"/>
  <c r="GZ186" i="2"/>
  <c r="GZ102" i="2"/>
  <c r="GZ103" i="2"/>
  <c r="GZ149" i="2"/>
  <c r="GZ123" i="2"/>
  <c r="GZ82" i="2"/>
  <c r="GZ128" i="2"/>
  <c r="GZ158" i="2"/>
  <c r="GZ110" i="2"/>
  <c r="GZ91" i="2"/>
  <c r="GZ137" i="2"/>
  <c r="GZ24" i="2"/>
  <c r="GZ62" i="2"/>
  <c r="GZ100" i="2"/>
  <c r="GZ194" i="2"/>
  <c r="GZ71" i="2"/>
  <c r="GZ157" i="2"/>
  <c r="GZ142" i="2"/>
  <c r="GZ50" i="2"/>
  <c r="GZ203" i="2"/>
  <c r="GZ121" i="2"/>
  <c r="GZ13" i="2"/>
  <c r="GZ22" i="2"/>
  <c r="GZ84" i="2"/>
  <c r="GZ183" i="2"/>
  <c r="GZ200" i="2"/>
  <c r="GZ201" i="2"/>
  <c r="GZ162" i="2"/>
  <c r="GZ59" i="2"/>
  <c r="GZ164" i="2"/>
  <c r="GZ125" i="2"/>
  <c r="GZ134" i="2"/>
  <c r="GZ135" i="2"/>
  <c r="GZ104" i="2"/>
  <c r="GZ113" i="2"/>
  <c r="GZ114" i="2"/>
  <c r="GZ83" i="2"/>
  <c r="GZ76" i="2"/>
  <c r="GZ77" i="2"/>
  <c r="GZ38" i="2"/>
  <c r="GZ47" i="2"/>
  <c r="GZ56" i="2"/>
  <c r="GZ17" i="2"/>
  <c r="GZ26" i="2"/>
  <c r="GZ195" i="2"/>
  <c r="GZ4" i="2"/>
  <c r="GZ188" i="2"/>
  <c r="GZ120" i="2"/>
  <c r="GZ174" i="2"/>
  <c r="GZ159" i="2"/>
  <c r="GZ27" i="2"/>
  <c r="GZ153" i="2"/>
  <c r="GZ138" i="2"/>
  <c r="GZ54" i="2"/>
  <c r="GZ55" i="2"/>
  <c r="GZ101" i="2"/>
  <c r="GZ33" i="2"/>
  <c r="GZ34" i="2"/>
  <c r="GZ80" i="2"/>
  <c r="GZ163" i="2"/>
  <c r="GZ196" i="2"/>
  <c r="GZ139" i="2"/>
  <c r="GZ166" i="2"/>
  <c r="GZ167" i="2"/>
  <c r="GZ145" i="2"/>
  <c r="GZ146" i="2"/>
  <c r="GZ192" i="2"/>
  <c r="GZ108" i="2"/>
  <c r="GZ109" i="2"/>
  <c r="GZ43" i="2"/>
  <c r="GZ79" i="2"/>
  <c r="GZ88" i="2"/>
  <c r="GZ107" i="2"/>
  <c r="GZ58" i="2"/>
  <c r="GZ45" i="2"/>
  <c r="GZ150" i="2"/>
  <c r="GZ21" i="2"/>
  <c r="GZ152" i="2"/>
  <c r="GZ129" i="2"/>
  <c r="GZ191" i="2"/>
  <c r="GZ115" i="2"/>
  <c r="GZ92" i="2"/>
  <c r="GZ170" i="2"/>
  <c r="GZ86" i="2"/>
  <c r="GZ87" i="2"/>
  <c r="GZ133" i="2"/>
  <c r="GZ65" i="2"/>
  <c r="GZ66" i="2"/>
  <c r="GZ3" i="2"/>
  <c r="C15" i="4" s="1"/>
  <c r="E15" i="4" s="1"/>
  <c r="F15" i="4" s="1"/>
  <c r="G15" i="4" s="1"/>
  <c r="L15" i="4" s="1"/>
  <c r="CY20" i="2"/>
  <c r="CY43" i="2"/>
  <c r="CY24" i="2"/>
  <c r="CY21" i="2"/>
  <c r="CY153" i="2"/>
  <c r="CY45" i="2"/>
  <c r="CY83" i="2"/>
  <c r="CY39" i="2"/>
  <c r="CY71" i="2"/>
  <c r="CY141" i="2"/>
  <c r="CY193" i="2"/>
  <c r="CY72" i="2"/>
  <c r="CY19" i="2"/>
  <c r="CY172" i="2"/>
  <c r="CY59" i="2"/>
  <c r="CY77" i="2"/>
  <c r="CY94" i="2"/>
  <c r="CY17" i="2"/>
  <c r="CY146" i="2"/>
  <c r="CY65" i="2"/>
  <c r="CY87" i="2"/>
  <c r="CY23" i="2"/>
  <c r="CY40" i="2"/>
  <c r="CY63" i="2"/>
  <c r="CY150" i="2"/>
  <c r="CY156" i="2"/>
  <c r="CY12" i="2"/>
  <c r="CY198" i="2"/>
  <c r="CY203" i="2"/>
  <c r="CY179" i="2"/>
  <c r="CY143" i="2"/>
  <c r="CY189" i="2"/>
  <c r="CY171" i="2"/>
  <c r="CY26" i="2"/>
  <c r="CY97" i="2"/>
  <c r="CY164" i="2"/>
  <c r="CY78" i="2"/>
  <c r="CY47" i="2"/>
  <c r="CY42" i="2"/>
  <c r="CY145" i="2"/>
  <c r="CY85" i="2"/>
  <c r="CY88" i="2"/>
  <c r="CY5" i="2"/>
  <c r="CY144" i="2"/>
  <c r="CY98" i="2"/>
  <c r="CY51" i="2"/>
  <c r="CY6" i="2"/>
  <c r="CY66" i="2"/>
  <c r="CY60" i="2"/>
  <c r="CY157" i="2"/>
  <c r="CY99" i="2"/>
  <c r="CY190" i="2"/>
  <c r="CY133" i="2"/>
  <c r="CY33" i="2"/>
  <c r="CY188" i="2"/>
  <c r="CY70" i="2"/>
  <c r="CY166" i="2"/>
  <c r="CY149" i="2"/>
  <c r="CY58" i="2"/>
  <c r="CY132" i="2"/>
  <c r="CY184" i="2"/>
  <c r="CY16" i="2"/>
  <c r="CY44" i="2"/>
  <c r="CY82" i="2"/>
  <c r="CY191" i="2"/>
  <c r="CY167" i="2"/>
  <c r="CY195" i="2"/>
  <c r="CY112" i="2"/>
  <c r="CY11" i="2"/>
  <c r="CY117" i="2"/>
  <c r="CY22" i="2"/>
  <c r="CY103" i="2"/>
  <c r="CY32" i="2"/>
  <c r="CY170" i="2"/>
  <c r="CY7" i="2"/>
  <c r="CY50" i="2"/>
  <c r="CY163" i="2"/>
  <c r="CY116" i="2"/>
  <c r="CY139" i="2"/>
  <c r="CY123" i="2"/>
  <c r="CY126" i="2"/>
  <c r="CY106" i="2"/>
  <c r="CY131" i="2"/>
  <c r="CY31" i="2"/>
  <c r="CY124" i="2"/>
  <c r="CY9" i="2"/>
  <c r="CY201" i="2"/>
  <c r="CY192" i="2"/>
  <c r="CY80" i="2"/>
  <c r="CY154" i="2"/>
  <c r="CY152" i="2"/>
  <c r="CY177" i="2"/>
  <c r="CY199" i="2"/>
  <c r="CY125" i="2"/>
  <c r="CY127" i="2"/>
  <c r="CY119" i="2"/>
  <c r="CY181" i="2"/>
  <c r="CY62" i="2"/>
  <c r="CY95" i="2"/>
  <c r="CY49" i="2"/>
  <c r="CY130" i="2"/>
  <c r="CY54" i="2"/>
  <c r="CY53" i="2"/>
  <c r="CY64" i="2"/>
  <c r="CY183" i="2"/>
  <c r="CY134" i="2"/>
  <c r="CY160" i="2"/>
  <c r="CY67" i="2"/>
  <c r="CY121" i="2"/>
  <c r="CY81" i="2"/>
  <c r="CY111" i="2"/>
  <c r="CY38" i="2"/>
  <c r="CY165" i="2"/>
  <c r="CY69" i="2"/>
  <c r="CY173" i="2"/>
  <c r="CY122" i="2"/>
  <c r="CY102" i="2"/>
  <c r="CY56" i="2"/>
  <c r="CY108" i="2"/>
  <c r="CY10" i="2"/>
  <c r="CY96" i="2"/>
  <c r="CY168" i="2"/>
  <c r="CY76" i="2"/>
  <c r="CY194" i="2"/>
  <c r="CY15" i="2"/>
  <c r="CY73" i="2"/>
  <c r="CY8" i="2"/>
  <c r="CY28" i="2"/>
  <c r="CY113" i="2"/>
  <c r="CY36" i="2"/>
  <c r="CY57" i="2"/>
  <c r="CY180" i="2"/>
  <c r="CY55" i="2"/>
  <c r="CY109" i="2"/>
  <c r="CY176" i="2"/>
  <c r="CY120" i="2"/>
  <c r="CY147" i="2"/>
  <c r="CY107" i="2"/>
  <c r="CY104" i="2"/>
  <c r="CY142" i="2"/>
  <c r="CY138" i="2"/>
  <c r="CY187" i="2"/>
  <c r="CY68" i="2"/>
  <c r="CY91" i="2"/>
  <c r="CY159" i="2"/>
  <c r="CY115" i="2"/>
  <c r="CY89" i="2"/>
  <c r="CY140" i="2"/>
  <c r="CY52" i="2"/>
  <c r="CY128" i="2"/>
  <c r="CY79" i="2"/>
  <c r="CY84" i="2"/>
  <c r="CY25" i="2"/>
  <c r="CY182" i="2"/>
  <c r="CY35" i="2"/>
  <c r="CY148" i="2"/>
  <c r="CY155" i="2"/>
  <c r="CY3" i="2"/>
  <c r="C10" i="4" s="1"/>
  <c r="E10" i="4" s="1"/>
  <c r="F10" i="4" s="1"/>
  <c r="G10" i="4" s="1"/>
  <c r="L10" i="4" s="1"/>
  <c r="CY162" i="2"/>
  <c r="CY169" i="2"/>
  <c r="CY74" i="2"/>
  <c r="CY129" i="2"/>
  <c r="CY178" i="2"/>
  <c r="CY110" i="2"/>
  <c r="CY29" i="2"/>
  <c r="CY48" i="2"/>
  <c r="CY46" i="2"/>
  <c r="CY14" i="2"/>
  <c r="CY105" i="2"/>
  <c r="CY137" i="2"/>
  <c r="CY18" i="2"/>
  <c r="CY114" i="2"/>
  <c r="CY100" i="2"/>
  <c r="CY135" i="2"/>
  <c r="CY37" i="2"/>
  <c r="CY185" i="2"/>
  <c r="CY13" i="2"/>
  <c r="CY186" i="2"/>
  <c r="CY136" i="2"/>
  <c r="CY61" i="2"/>
  <c r="CY101" i="2"/>
  <c r="CY197" i="2"/>
  <c r="CY92" i="2"/>
  <c r="CY158" i="2"/>
  <c r="CY30" i="2"/>
  <c r="CY175" i="2"/>
  <c r="CY27" i="2"/>
  <c r="CY41" i="2"/>
  <c r="CY90" i="2"/>
  <c r="CY93" i="2"/>
  <c r="CY118" i="2"/>
  <c r="CY34" i="2"/>
  <c r="CY86" i="2"/>
  <c r="CY161" i="2"/>
  <c r="CY200" i="2"/>
  <c r="CY174" i="2"/>
  <c r="CY196" i="2"/>
  <c r="CY202" i="2"/>
  <c r="CY4" i="2"/>
  <c r="CY75" i="2"/>
  <c r="CY15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60" i="2"/>
  <c r="BI150" i="2"/>
  <c r="BI155" i="2"/>
  <c r="BI78" i="2"/>
  <c r="BI127" i="2"/>
  <c r="BI85" i="2"/>
  <c r="BI163" i="2"/>
  <c r="BI133" i="2"/>
  <c r="BI104" i="2"/>
  <c r="BI168" i="2"/>
  <c r="BI77" i="2"/>
  <c r="BI109" i="2"/>
  <c r="BI119" i="2"/>
  <c r="BI51" i="2"/>
  <c r="BI165" i="2"/>
  <c r="BI199" i="2"/>
  <c r="BI148" i="2"/>
  <c r="BI176" i="2"/>
  <c r="BI196" i="2"/>
  <c r="BI68" i="2"/>
  <c r="BI80" i="2"/>
  <c r="BI144" i="2"/>
  <c r="BI158" i="2"/>
  <c r="BI101" i="2"/>
  <c r="BI145" i="2"/>
  <c r="BI166" i="2"/>
  <c r="BI34" i="2"/>
  <c r="BI30" i="2"/>
  <c r="BI202" i="2"/>
  <c r="BI124" i="2"/>
  <c r="BI96" i="2"/>
  <c r="BI161" i="2"/>
  <c r="BI36" i="2"/>
  <c r="BI115" i="2"/>
  <c r="BI37" i="2"/>
  <c r="BI187" i="2"/>
  <c r="BI159" i="2"/>
  <c r="BI201" i="2"/>
  <c r="BI103" i="2"/>
  <c r="BI42" i="2"/>
  <c r="BI191" i="2"/>
  <c r="BI21" i="2"/>
  <c r="BI67" i="2"/>
  <c r="BI9" i="2"/>
  <c r="BI134" i="2"/>
  <c r="BI6" i="2"/>
  <c r="BI169" i="2"/>
  <c r="BI106" i="2"/>
  <c r="BI46" i="2"/>
  <c r="BI183" i="2"/>
  <c r="BI121" i="2"/>
  <c r="BI44" i="2"/>
  <c r="BI178" i="2"/>
  <c r="BI41" i="2"/>
  <c r="BI22" i="2"/>
  <c r="BI79" i="2"/>
  <c r="BI186" i="2"/>
  <c r="BI162" i="2"/>
  <c r="BI76" i="2"/>
  <c r="BI86" i="2"/>
  <c r="BI20" i="2"/>
  <c r="BI179" i="2"/>
  <c r="BI50" i="2"/>
  <c r="BI100" i="2"/>
  <c r="BI142" i="2"/>
  <c r="BI89" i="2"/>
  <c r="BI117" i="2"/>
  <c r="BI194" i="2"/>
  <c r="BI140" i="2"/>
  <c r="BI143" i="2"/>
  <c r="BI175" i="2"/>
  <c r="BI102" i="2"/>
  <c r="BI123" i="2"/>
  <c r="BI48" i="2"/>
  <c r="BI136" i="2"/>
  <c r="BI118" i="2"/>
  <c r="BI24" i="2"/>
  <c r="BI132" i="2"/>
  <c r="BI53" i="2"/>
  <c r="BI84" i="2"/>
  <c r="BI157" i="2"/>
  <c r="BI184" i="2"/>
  <c r="BI7" i="2"/>
  <c r="BI14" i="2"/>
  <c r="BI107" i="2"/>
  <c r="BI147" i="2"/>
  <c r="BI188" i="2"/>
  <c r="BI56" i="2"/>
  <c r="BI3" i="2"/>
  <c r="C8" i="4" s="1"/>
  <c r="E8" i="4" s="1"/>
  <c r="F8" i="4" s="1"/>
  <c r="G8" i="4" s="1"/>
  <c r="L8" i="4" s="1"/>
  <c r="BI8" i="2"/>
  <c r="BI40" i="2"/>
  <c r="BI74" i="2"/>
  <c r="BI64" i="2"/>
  <c r="BI62" i="2"/>
  <c r="BI112" i="2"/>
  <c r="BI193" i="2"/>
  <c r="BI75" i="2"/>
  <c r="BI126" i="2"/>
  <c r="BI154" i="2"/>
  <c r="BI95" i="2"/>
  <c r="BI18" i="2"/>
  <c r="BI116" i="2"/>
  <c r="BI149" i="2"/>
  <c r="BI135" i="2"/>
  <c r="BI87" i="2"/>
  <c r="BI182" i="2"/>
  <c r="BI55" i="2"/>
  <c r="BI83" i="2"/>
  <c r="BI17" i="2"/>
  <c r="BI19" i="2"/>
  <c r="BI4" i="2"/>
  <c r="BI10" i="2"/>
  <c r="BI151" i="2"/>
  <c r="BI66" i="2"/>
  <c r="BI128" i="2"/>
  <c r="BI181" i="2"/>
  <c r="BI192" i="2"/>
  <c r="BI105" i="2"/>
  <c r="BI73" i="2"/>
  <c r="BI58" i="2"/>
  <c r="BI13" i="2"/>
  <c r="BI57" i="2"/>
  <c r="BI65" i="2"/>
  <c r="BI122" i="2"/>
  <c r="BI200" i="2"/>
  <c r="BI25" i="2"/>
  <c r="BI190" i="2"/>
  <c r="BI170" i="2"/>
  <c r="BI43" i="2"/>
  <c r="BI11" i="2"/>
  <c r="BI129" i="2"/>
  <c r="BI173" i="2"/>
  <c r="BI38" i="2"/>
  <c r="BI180" i="2"/>
  <c r="BI82" i="2"/>
  <c r="BI152" i="2"/>
  <c r="BI63" i="2"/>
  <c r="BI114" i="2"/>
  <c r="BI91" i="2"/>
  <c r="BI59" i="2"/>
  <c r="BI137" i="2"/>
  <c r="BI49" i="2"/>
  <c r="BI92" i="2"/>
  <c r="BI54" i="2"/>
  <c r="BI111" i="2"/>
  <c r="BI16" i="2"/>
  <c r="BI156" i="2"/>
  <c r="BI12" i="2"/>
  <c r="BI52" i="2"/>
  <c r="BI33" i="2"/>
  <c r="BI189" i="2"/>
  <c r="BI108" i="2"/>
  <c r="BI69" i="2"/>
  <c r="BI99" i="2"/>
  <c r="BI120" i="2"/>
  <c r="BI27" i="2"/>
  <c r="BI5" i="2"/>
  <c r="BI61" i="2"/>
  <c r="BI113" i="2"/>
  <c r="BI39" i="2"/>
  <c r="BI185" i="2"/>
  <c r="BI172" i="2"/>
  <c r="BI26" i="2"/>
  <c r="BI32" i="2"/>
  <c r="BI35" i="2"/>
  <c r="BI72" i="2"/>
  <c r="BI90" i="2"/>
  <c r="BI15" i="2"/>
  <c r="BI139" i="2"/>
  <c r="BI23" i="2"/>
  <c r="BI60" i="2"/>
  <c r="BI71" i="2"/>
  <c r="BI45" i="2"/>
  <c r="BI171" i="2"/>
  <c r="BI131" i="2"/>
  <c r="BI203" i="2"/>
  <c r="BI93" i="2"/>
  <c r="BI177" i="2"/>
  <c r="BI153" i="2"/>
  <c r="BI31" i="2"/>
  <c r="BI130" i="2"/>
  <c r="BI197" i="2"/>
  <c r="BI146" i="2"/>
  <c r="BI164" i="2"/>
  <c r="BI167" i="2"/>
  <c r="BI94" i="2"/>
  <c r="BI138" i="2"/>
  <c r="BI174" i="2"/>
  <c r="BI70" i="2"/>
  <c r="BI195" i="2"/>
  <c r="BI28" i="2"/>
  <c r="BI141" i="2"/>
  <c r="BI81" i="2"/>
  <c r="BI98" i="2"/>
  <c r="BI198" i="2"/>
  <c r="BI125" i="2"/>
  <c r="BI110" i="2"/>
  <c r="BI88" i="2"/>
  <c r="BI97" i="2"/>
  <c r="BI2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<sst xmlns="http://schemas.openxmlformats.org/spreadsheetml/2006/main" count="1179" uniqueCount="324">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</sst>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636.99987545603415</c:v>
                </c:pt>
                <c:pt idx="82">
                  <c:v>649.58221541705063</c:v>
                </c:pt>
                <c:pt idx="83">
                  <c:v>662.15953068851047</c:v>
                </c:pt>
                <c:pt idx="84">
                  <c:v>674.73193011676551</c:v>
                </c:pt>
                <c:pt idx="85">
                  <c:v>687.29951816311348</c:v>
                </c:pt>
                <c:pt idx="86">
                  <c:v>699.86239515908403</c:v>
                </c:pt>
                <c:pt idx="87">
                  <c:v>712.42065754245129</c:v>
                </c:pt>
                <c:pt idx="88">
                  <c:v>724.97439807575211</c:v>
                </c:pt>
                <c:pt idx="89">
                  <c:v>737.52370604888972</c:v>
                </c:pt>
                <c:pt idx="90">
                  <c:v>750.06866746724211</c:v>
                </c:pt>
                <c:pt idx="91">
                  <c:v>601.32161215624615</c:v>
                </c:pt>
                <c:pt idx="92">
                  <c:v>612.58301041135394</c:v>
                </c:pt>
                <c:pt idx="93">
                  <c:v>623.84011521480943</c:v>
                </c:pt>
                <c:pt idx="94">
                  <c:v>635.09301493951614</c:v>
                </c:pt>
                <c:pt idx="95">
                  <c:v>646.34179457229266</c:v>
                </c:pt>
                <c:pt idx="96">
                  <c:v>657.58653590152971</c:v>
                </c:pt>
                <c:pt idx="97">
                  <c:v>668.82731769134739</c:v>
                </c:pt>
                <c:pt idx="98">
                  <c:v>680.06421584344105</c:v>
                </c:pt>
                <c:pt idx="99">
                  <c:v>691.29730354768026</c:v>
                </c:pt>
                <c:pt idx="100">
                  <c:v>702.52665142241483</c:v>
                </c:pt>
                <c:pt idx="101">
                  <c:v>712.42065754245107</c:v>
                </c:pt>
                <c:pt idx="102">
                  <c:v>722.31185677865858</c:v>
                </c:pt>
                <c:pt idx="103">
                  <c:v>732.20029297203462</c:v>
                </c:pt>
                <c:pt idx="104">
                  <c:v>742.08600868333099</c:v>
                </c:pt>
                <c:pt idx="105">
                  <c:v>751.96904524735601</c:v>
                </c:pt>
                <c:pt idx="106">
                  <c:v>761.84944282427648</c:v>
                </c:pt>
                <c:pt idx="107">
                  <c:v>771.72724044812094</c:v>
                </c:pt>
                <c:pt idx="108">
                  <c:v>781.60247607267092</c:v>
                </c:pt>
                <c:pt idx="109">
                  <c:v>791.47518661491574</c:v>
                </c:pt>
                <c:pt idx="110">
                  <c:v>801.34540799622619</c:v>
                </c:pt>
                <c:pt idx="111">
                  <c:v>608.19348941446765</c:v>
                </c:pt>
                <c:pt idx="112">
                  <c:v>616.78107210210862</c:v>
                </c:pt>
                <c:pt idx="113">
                  <c:v>625.36617664098856</c:v>
                </c:pt>
                <c:pt idx="114">
                  <c:v>633.94884184663999</c:v>
                </c:pt>
                <c:pt idx="115">
                  <c:v>642.52910539795459</c:v>
                </c:pt>
                <c:pt idx="116">
                  <c:v>651.10700388552493</c:v>
                </c:pt>
                <c:pt idx="117">
                  <c:v>659.68257285730954</c:v>
                </c:pt>
                <c:pt idx="118">
                  <c:v>668.25584686179957</c:v>
                </c:pt>
                <c:pt idx="119">
                  <c:v>676.82685948885762</c:v>
                </c:pt>
                <c:pt idx="120">
                  <c:v>685.39564340837808</c:v>
                </c:pt>
                <c:pt idx="121">
                  <c:v>693.39119233094789</c:v>
                </c:pt>
                <c:pt idx="122">
                  <c:v>701.38485267499789</c:v>
                </c:pt>
                <c:pt idx="123">
                  <c:v>709.37664899579306</c:v>
                </c:pt>
                <c:pt idx="124">
                  <c:v>717.36660525030732</c:v>
                </c:pt>
                <c:pt idx="125">
                  <c:v>725.35474481844449</c:v>
                </c:pt>
                <c:pt idx="126">
                  <c:v>733.34109052327722</c:v>
                </c:pt>
                <c:pt idx="127">
                  <c:v>741.32566465035904</c:v>
                </c:pt>
                <c:pt idx="128">
                  <c:v>749.30848896615805</c:v>
                </c:pt>
                <c:pt idx="129">
                  <c:v>757.28958473566934</c:v>
                </c:pt>
                <c:pt idx="130">
                  <c:v>765.2689727392434</c:v>
                </c:pt>
                <c:pt idx="131">
                  <c:v>599.22154722155733</c:v>
                </c:pt>
                <c:pt idx="132">
                  <c:v>606.47567200029607</c:v>
                </c:pt>
                <c:pt idx="133">
                  <c:v>613.72799533010129</c:v>
                </c:pt>
                <c:pt idx="134">
                  <c:v>620.97854150271451</c:v>
                </c:pt>
                <c:pt idx="135">
                  <c:v>628.22733419629969</c:v>
                </c:pt>
                <c:pt idx="136">
                  <c:v>635.47439649799799</c:v>
                </c:pt>
                <c:pt idx="137">
                  <c:v>642.71975092539503</c:v>
                </c:pt>
                <c:pt idx="138">
                  <c:v>649.96341944697554</c:v>
                </c:pt>
                <c:pt idx="139">
                  <c:v>657.20542350161361</c:v>
                </c:pt>
                <c:pt idx="140">
                  <c:v>664.44578401716376</c:v>
                </c:pt>
                <c:pt idx="141">
                  <c:v>671.1131007030807</c:v>
                </c:pt>
                <c:pt idx="142">
                  <c:v>677.77905606178604</c:v>
                </c:pt>
                <c:pt idx="143">
                  <c:v>684.44366537005408</c:v>
                </c:pt>
                <c:pt idx="144">
                  <c:v>691.10694358289311</c:v>
                </c:pt>
                <c:pt idx="145">
                  <c:v>697.76890534342408</c:v>
                </c:pt>
                <c:pt idx="146">
                  <c:v>704.42956499236743</c:v>
                </c:pt>
                <c:pt idx="147">
                  <c:v>711.08893657714862</c:v>
                </c:pt>
                <c:pt idx="148">
                  <c:v>717.74703386064687</c:v>
                </c:pt>
                <c:pt idx="149">
                  <c:v>724.40387032960223</c:v>
                </c:pt>
                <c:pt idx="150">
                  <c:v>731.05945920269721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8427376"/>
        <c:axId val="1068426288"/>
      </c:scatterChart>
      <c:valAx>
        <c:axId val="1068427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426288"/>
        <c:crosses val="autoZero"/>
        <c:crossBetween val="midCat"/>
      </c:valAx>
      <c:valAx>
        <c:axId val="1068426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427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123.12415447878497</c:v>
                </c:pt>
                <c:pt idx="22">
                  <c:v>138.35696538228595</c:v>
                </c:pt>
                <c:pt idx="23">
                  <c:v>153.54945750312899</c:v>
                </c:pt>
                <c:pt idx="24">
                  <c:v>168.70618534384241</c:v>
                </c:pt>
                <c:pt idx="25">
                  <c:v>183.83081652024464</c:v>
                </c:pt>
                <c:pt idx="26">
                  <c:v>199.27709915885649</c:v>
                </c:pt>
                <c:pt idx="27">
                  <c:v>214.69562221588228</c:v>
                </c:pt>
                <c:pt idx="28">
                  <c:v>230.08866047092724</c:v>
                </c:pt>
                <c:pt idx="29">
                  <c:v>245.45815924548194</c:v>
                </c:pt>
                <c:pt idx="30">
                  <c:v>260.80580020638394</c:v>
                </c:pt>
                <c:pt idx="31">
                  <c:v>276.13305084516719</c:v>
                </c:pt>
                <c:pt idx="32">
                  <c:v>291.44120238295483</c:v>
                </c:pt>
                <c:pt idx="33">
                  <c:v>306.7313992866795</c:v>
                </c:pt>
                <c:pt idx="34">
                  <c:v>322.00466258727732</c:v>
                </c:pt>
                <c:pt idx="35">
                  <c:v>337.26190853958752</c:v>
                </c:pt>
                <c:pt idx="36">
                  <c:v>218.19620322489709</c:v>
                </c:pt>
                <c:pt idx="37">
                  <c:v>231.48683334645435</c:v>
                </c:pt>
                <c:pt idx="38">
                  <c:v>244.76003171038471</c:v>
                </c:pt>
                <c:pt idx="39">
                  <c:v>258.01687712472409</c:v>
                </c:pt>
                <c:pt idx="40">
                  <c:v>271.25832842500023</c:v>
                </c:pt>
                <c:pt idx="41">
                  <c:v>284.48524314677451</c:v>
                </c:pt>
                <c:pt idx="42">
                  <c:v>297.69839254073707</c:v>
                </c:pt>
                <c:pt idx="43">
                  <c:v>310.89847378061245</c:v>
                </c:pt>
                <c:pt idx="44">
                  <c:v>324.0861199880448</c:v>
                </c:pt>
                <c:pt idx="45">
                  <c:v>337.26190853958735</c:v>
                </c:pt>
                <c:pt idx="46">
                  <c:v>350.42636800716019</c:v>
                </c:pt>
                <c:pt idx="47">
                  <c:v>363.5799840007133</c:v>
                </c:pt>
                <c:pt idx="48">
                  <c:v>376.72320412097571</c:v>
                </c:pt>
                <c:pt idx="49">
                  <c:v>389.85644218478711</c:v>
                </c:pt>
                <c:pt idx="50">
                  <c:v>402.98008185125178</c:v>
                </c:pt>
                <c:pt idx="51">
                  <c:v>416.09447975082259</c:v>
                </c:pt>
                <c:pt idx="52">
                  <c:v>429.19996819929173</c:v>
                </c:pt>
                <c:pt idx="53">
                  <c:v>442.2968575630004</c:v>
                </c:pt>
                <c:pt idx="54">
                  <c:v>455.38543832930395</c:v>
                </c:pt>
                <c:pt idx="55">
                  <c:v>468.46598292660588</c:v>
                </c:pt>
                <c:pt idx="56">
                  <c:v>481.19482482996779</c:v>
                </c:pt>
                <c:pt idx="57">
                  <c:v>493.91651328433619</c:v>
                </c:pt>
                <c:pt idx="58">
                  <c:v>506.63125847667106</c:v>
                </c:pt>
                <c:pt idx="59">
                  <c:v>519.33925918522516</c:v>
                </c:pt>
                <c:pt idx="60">
                  <c:v>532.04070366867973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2567936"/>
        <c:axId val="1092566848"/>
      </c:scatterChart>
      <c:valAx>
        <c:axId val="10925679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92566848"/>
        <c:crosses val="autoZero"/>
        <c:crossBetween val="midCat"/>
      </c:valAx>
      <c:valAx>
        <c:axId val="109256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92567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2.5739702149710419</c:v>
                </c:pt>
                <c:pt idx="2">
                  <c:v>3.2459194465110297</c:v>
                </c:pt>
                <c:pt idx="3">
                  <c:v>4.0939710189489533</c:v>
                </c:pt>
                <c:pt idx="4">
                  <c:v>5.1644468142220035</c:v>
                </c:pt>
                <c:pt idx="5">
                  <c:v>6.5158949204199574</c:v>
                </c:pt>
                <c:pt idx="6">
                  <c:v>8.2223268474483628</c:v>
                </c:pt>
                <c:pt idx="7">
                  <c:v>10.377314381529446</c:v>
                </c:pt>
                <c:pt idx="8">
                  <c:v>13.0991749633718</c:v>
                </c:pt>
                <c:pt idx="9">
                  <c:v>16.5375355648608</c:v>
                </c:pt>
                <c:pt idx="10">
                  <c:v>20.881642470054704</c:v>
                </c:pt>
                <c:pt idx="11">
                  <c:v>40.158707029353486</c:v>
                </c:pt>
                <c:pt idx="12">
                  <c:v>59.175912716477491</c:v>
                </c:pt>
                <c:pt idx="13">
                  <c:v>78.031511845010769</c:v>
                </c:pt>
                <c:pt idx="14">
                  <c:v>96.770620064133439</c:v>
                </c:pt>
                <c:pt idx="15">
                  <c:v>115.41913240124948</c:v>
                </c:pt>
                <c:pt idx="16">
                  <c:v>139.33857382377983</c:v>
                </c:pt>
                <c:pt idx="17">
                  <c:v>163.15917370613849</c:v>
                </c:pt>
                <c:pt idx="18">
                  <c:v>186.89742338047495</c:v>
                </c:pt>
                <c:pt idx="19">
                  <c:v>210.56526416532461</c:v>
                </c:pt>
                <c:pt idx="20">
                  <c:v>234.1717261002126</c:v>
                </c:pt>
                <c:pt idx="21">
                  <c:v>145.0249982538752</c:v>
                </c:pt>
                <c:pt idx="22">
                  <c:v>170.51654323504027</c:v>
                </c:pt>
                <c:pt idx="23">
                  <c:v>195.91822647250351</c:v>
                </c:pt>
                <c:pt idx="24">
                  <c:v>221.24334918385946</c:v>
                </c:pt>
                <c:pt idx="25">
                  <c:v>246.5019100362974</c:v>
                </c:pt>
                <c:pt idx="26">
                  <c:v>270.88192908271884</c:v>
                </c:pt>
                <c:pt idx="27">
                  <c:v>295.21258396391971</c:v>
                </c:pt>
                <c:pt idx="28">
                  <c:v>319.49851297916712</c:v>
                </c:pt>
                <c:pt idx="29">
                  <c:v>343.7435916472391</c:v>
                </c:pt>
                <c:pt idx="30">
                  <c:v>367.95110424042514</c:v>
                </c:pt>
                <c:pt idx="31">
                  <c:v>270.81361334976526</c:v>
                </c:pt>
                <c:pt idx="32">
                  <c:v>292.86002684671388</c:v>
                </c:pt>
                <c:pt idx="33">
                  <c:v>314.86939629706029</c:v>
                </c:pt>
                <c:pt idx="34">
                  <c:v>336.84467386393629</c:v>
                </c:pt>
                <c:pt idx="35">
                  <c:v>358.78839513118515</c:v>
                </c:pt>
                <c:pt idx="36">
                  <c:v>378.02433866846064</c:v>
                </c:pt>
                <c:pt idx="37">
                  <c:v>397.23898298464991</c:v>
                </c:pt>
                <c:pt idx="38">
                  <c:v>416.43350276675238</c:v>
                </c:pt>
                <c:pt idx="39">
                  <c:v>435.60895562573</c:v>
                </c:pt>
                <c:pt idx="40">
                  <c:v>454.7662985108031</c:v>
                </c:pt>
                <c:pt idx="41">
                  <c:v>352.88083208106292</c:v>
                </c:pt>
                <c:pt idx="42">
                  <c:v>369.54558155288436</c:v>
                </c:pt>
                <c:pt idx="43">
                  <c:v>386.19394120407043</c:v>
                </c:pt>
                <c:pt idx="44">
                  <c:v>402.82671684246179</c:v>
                </c:pt>
                <c:pt idx="45">
                  <c:v>419.44464231919113</c:v>
                </c:pt>
                <c:pt idx="46">
                  <c:v>433.88493422762093</c:v>
                </c:pt>
                <c:pt idx="47">
                  <c:v>448.31491037156951</c:v>
                </c:pt>
                <c:pt idx="48">
                  <c:v>462.73494948769138</c:v>
                </c:pt>
                <c:pt idx="49">
                  <c:v>477.14540478752315</c:v>
                </c:pt>
                <c:pt idx="50">
                  <c:v>491.5466064127836</c:v>
                </c:pt>
                <c:pt idx="51">
                  <c:v>431.21410057407803</c:v>
                </c:pt>
                <c:pt idx="52">
                  <c:v>443.65246288624508</c:v>
                </c:pt>
                <c:pt idx="53">
                  <c:v>456.08335619265745</c:v>
                </c:pt>
                <c:pt idx="54">
                  <c:v>468.50701274734303</c:v>
                </c:pt>
                <c:pt idx="55">
                  <c:v>480.92365148260507</c:v>
                </c:pt>
                <c:pt idx="56">
                  <c:v>491.51289051119289</c:v>
                </c:pt>
                <c:pt idx="57">
                  <c:v>502.09729276427265</c:v>
                </c:pt>
                <c:pt idx="58">
                  <c:v>512.67697458119881</c:v>
                </c:pt>
                <c:pt idx="59">
                  <c:v>523.25204710797016</c:v>
                </c:pt>
                <c:pt idx="60">
                  <c:v>533.8226166315709</c:v>
                </c:pt>
                <c:pt idx="61">
                  <c:v>491.78261635079099</c:v>
                </c:pt>
                <c:pt idx="62">
                  <c:v>500.61441511086258</c:v>
                </c:pt>
                <c:pt idx="63">
                  <c:v>509.44291639898364</c:v>
                </c:pt>
                <c:pt idx="64">
                  <c:v>518.2681854294982</c:v>
                </c:pt>
                <c:pt idx="65">
                  <c:v>527.09028501417185</c:v>
                </c:pt>
                <c:pt idx="66">
                  <c:v>534.66403201436515</c:v>
                </c:pt>
                <c:pt idx="67">
                  <c:v>542.23552329497863</c:v>
                </c:pt>
                <c:pt idx="68">
                  <c:v>549.80479480408326</c:v>
                </c:pt>
                <c:pt idx="69">
                  <c:v>557.37188141896718</c:v>
                </c:pt>
                <c:pt idx="70">
                  <c:v>564.93681699244883</c:v>
                </c:pt>
                <c:pt idx="71">
                  <c:v>528.40323103965056</c:v>
                </c:pt>
                <c:pt idx="72">
                  <c:v>535.43810957066455</c:v>
                </c:pt>
                <c:pt idx="73">
                  <c:v>542.47104501409672</c:v>
                </c:pt>
                <c:pt idx="74">
                  <c:v>549.50206612243039</c:v>
                </c:pt>
                <c:pt idx="75">
                  <c:v>556.53120085211901</c:v>
                </c:pt>
                <c:pt idx="76">
                  <c:v>562.51626962014586</c:v>
                </c:pt>
                <c:pt idx="77">
                  <c:v>568.50000621784136</c:v>
                </c:pt>
                <c:pt idx="78">
                  <c:v>574.48242664981956</c:v>
                </c:pt>
                <c:pt idx="79">
                  <c:v>580.46354656005849</c:v>
                </c:pt>
                <c:pt idx="80">
                  <c:v>586.44338124374281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8427920"/>
        <c:axId val="1068431184"/>
      </c:scatterChart>
      <c:valAx>
        <c:axId val="10684279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431184"/>
        <c:crosses val="autoZero"/>
        <c:crossBetween val="midCat"/>
      </c:valAx>
      <c:valAx>
        <c:axId val="106843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427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3.1079825342915606</c:v>
                </c:pt>
                <c:pt idx="2">
                  <c:v>3.9831352858359232</c:v>
                </c:pt>
                <c:pt idx="3">
                  <c:v>5.1056841629476652</c:v>
                </c:pt>
                <c:pt idx="4">
                  <c:v>6.5458229996824224</c:v>
                </c:pt>
                <c:pt idx="5">
                  <c:v>8.3937300292591015</c:v>
                </c:pt>
                <c:pt idx="6">
                  <c:v>10.765275524303604</c:v>
                </c:pt>
                <c:pt idx="7">
                  <c:v>13.809364307377871</c:v>
                </c:pt>
                <c:pt idx="8">
                  <c:v>17.717382659817904</c:v>
                </c:pt>
                <c:pt idx="9">
                  <c:v>22.735354328524441</c:v>
                </c:pt>
                <c:pt idx="10">
                  <c:v>29.179584501081067</c:v>
                </c:pt>
                <c:pt idx="11">
                  <c:v>37.456795063324897</c:v>
                </c:pt>
                <c:pt idx="12">
                  <c:v>48.090043708972111</c:v>
                </c:pt>
                <c:pt idx="13">
                  <c:v>61.752092288547864</c:v>
                </c:pt>
                <c:pt idx="14">
                  <c:v>79.308370348833833</c:v>
                </c:pt>
                <c:pt idx="15">
                  <c:v>101.87229931916873</c:v>
                </c:pt>
                <c:pt idx="16">
                  <c:v>117.38937647857762</c:v>
                </c:pt>
                <c:pt idx="17">
                  <c:v>132.85632044015878</c:v>
                </c:pt>
                <c:pt idx="18">
                  <c:v>148.27979814657829</c:v>
                </c:pt>
                <c:pt idx="19">
                  <c:v>163.66497200540442</c:v>
                </c:pt>
                <c:pt idx="20">
                  <c:v>179.01595233014768</c:v>
                </c:pt>
                <c:pt idx="21">
                  <c:v>194.59997246881539</c:v>
                </c:pt>
                <c:pt idx="22">
                  <c:v>210.1549883131822</c:v>
                </c:pt>
                <c:pt idx="23">
                  <c:v>225.68344951574352</c:v>
                </c:pt>
                <c:pt idx="24">
                  <c:v>241.18744081547302</c:v>
                </c:pt>
                <c:pt idx="25">
                  <c:v>256.66875686937959</c:v>
                </c:pt>
                <c:pt idx="26">
                  <c:v>198.29351956846904</c:v>
                </c:pt>
                <c:pt idx="27">
                  <c:v>213.57871664581691</c:v>
                </c:pt>
                <c:pt idx="28">
                  <c:v>228.83872386815744</c:v>
                </c:pt>
                <c:pt idx="29">
                  <c:v>244.0754578704227</c:v>
                </c:pt>
                <c:pt idx="30">
                  <c:v>259.29057630253919</c:v>
                </c:pt>
                <c:pt idx="31">
                  <c:v>273.96188391382958</c:v>
                </c:pt>
                <c:pt idx="32">
                  <c:v>288.61553966190291</c:v>
                </c:pt>
                <c:pt idx="33">
                  <c:v>303.25256606374194</c:v>
                </c:pt>
                <c:pt idx="34">
                  <c:v>317.87387884766321</c:v>
                </c:pt>
                <c:pt idx="35">
                  <c:v>332.48030260881734</c:v>
                </c:pt>
                <c:pt idx="36">
                  <c:v>278.41213183083715</c:v>
                </c:pt>
                <c:pt idx="37">
                  <c:v>292.27631779996528</c:v>
                </c:pt>
                <c:pt idx="38">
                  <c:v>306.12582263909644</c:v>
                </c:pt>
                <c:pt idx="39">
                  <c:v>319.96140418627698</c:v>
                </c:pt>
                <c:pt idx="40">
                  <c:v>333.78374937501832</c:v>
                </c:pt>
                <c:pt idx="41">
                  <c:v>346.55166637710568</c:v>
                </c:pt>
                <c:pt idx="42">
                  <c:v>359.30925781067913</c:v>
                </c:pt>
                <c:pt idx="43">
                  <c:v>372.05694200295653</c:v>
                </c:pt>
                <c:pt idx="44">
                  <c:v>384.79510627137751</c:v>
                </c:pt>
                <c:pt idx="45">
                  <c:v>397.52411019447646</c:v>
                </c:pt>
                <c:pt idx="46">
                  <c:v>339.51758892007979</c:v>
                </c:pt>
                <c:pt idx="47">
                  <c:v>351.76006924925809</c:v>
                </c:pt>
                <c:pt idx="48">
                  <c:v>363.99321066425381</c:v>
                </c:pt>
                <c:pt idx="49">
                  <c:v>376.21737131771482</c:v>
                </c:pt>
                <c:pt idx="50">
                  <c:v>388.4328841840873</c:v>
                </c:pt>
                <c:pt idx="51">
                  <c:v>399.86112159092801</c:v>
                </c:pt>
                <c:pt idx="52">
                  <c:v>411.28229041391364</c:v>
                </c:pt>
                <c:pt idx="53">
                  <c:v>422.69661464593588</c:v>
                </c:pt>
                <c:pt idx="54">
                  <c:v>434.10430519378178</c:v>
                </c:pt>
                <c:pt idx="55">
                  <c:v>445.50556097376767</c:v>
                </c:pt>
                <c:pt idx="56">
                  <c:v>386.35424502436632</c:v>
                </c:pt>
                <c:pt idx="57">
                  <c:v>397.26442392273333</c:v>
                </c:pt>
                <c:pt idx="58">
                  <c:v>408.16811416868921</c:v>
                </c:pt>
                <c:pt idx="59">
                  <c:v>419.06551357352504</c:v>
                </c:pt>
                <c:pt idx="60">
                  <c:v>429.95680881908919</c:v>
                </c:pt>
                <c:pt idx="61">
                  <c:v>440.06484307342475</c:v>
                </c:pt>
                <c:pt idx="62">
                  <c:v>450.16790026276612</c:v>
                </c:pt>
                <c:pt idx="63">
                  <c:v>460.26610785970826</c:v>
                </c:pt>
                <c:pt idx="64">
                  <c:v>470.35958728592249</c:v>
                </c:pt>
                <c:pt idx="65">
                  <c:v>480.44845432585157</c:v>
                </c:pt>
                <c:pt idx="66">
                  <c:v>423.993273379458</c:v>
                </c:pt>
                <c:pt idx="67">
                  <c:v>433.58591486422876</c:v>
                </c:pt>
                <c:pt idx="68">
                  <c:v>443.17400011470886</c:v>
                </c:pt>
                <c:pt idx="69">
                  <c:v>452.75764163369041</c:v>
                </c:pt>
                <c:pt idx="70">
                  <c:v>462.33694677132871</c:v>
                </c:pt>
                <c:pt idx="71">
                  <c:v>471.39455324221279</c:v>
                </c:pt>
                <c:pt idx="72">
                  <c:v>480.44845432585163</c:v>
                </c:pt>
                <c:pt idx="73">
                  <c:v>489.49872971371423</c:v>
                </c:pt>
                <c:pt idx="74">
                  <c:v>498.54545590936368</c:v>
                </c:pt>
                <c:pt idx="75">
                  <c:v>507.58870641276627</c:v>
                </c:pt>
                <c:pt idx="76">
                  <c:v>454.31133429442997</c:v>
                </c:pt>
                <c:pt idx="77">
                  <c:v>463.11346028434019</c:v>
                </c:pt>
                <c:pt idx="78">
                  <c:v>471.91201806530245</c:v>
                </c:pt>
                <c:pt idx="79">
                  <c:v>480.70708356712709</c:v>
                </c:pt>
                <c:pt idx="80">
                  <c:v>489.49872971371423</c:v>
                </c:pt>
                <c:pt idx="81">
                  <c:v>498.02859444198822</c:v>
                </c:pt>
                <c:pt idx="82">
                  <c:v>506.55536570967496</c:v>
                </c:pt>
                <c:pt idx="83">
                  <c:v>515.07910294474061</c:v>
                </c:pt>
                <c:pt idx="84">
                  <c:v>523.59986344738036</c:v>
                </c:pt>
                <c:pt idx="85">
                  <c:v>532.1177025003368</c:v>
                </c:pt>
                <c:pt idx="86">
                  <c:v>481.74157097323285</c:v>
                </c:pt>
                <c:pt idx="87">
                  <c:v>489.49872971371445</c:v>
                </c:pt>
                <c:pt idx="88">
                  <c:v>497.25328093317034</c:v>
                </c:pt>
                <c:pt idx="89">
                  <c:v>505.00527104516345</c:v>
                </c:pt>
                <c:pt idx="90">
                  <c:v>512.7547449216022</c:v>
                </c:pt>
                <c:pt idx="91">
                  <c:v>520.50174596698128</c:v>
                </c:pt>
                <c:pt idx="92">
                  <c:v>528.24631618797048</c:v>
                </c:pt>
                <c:pt idx="93">
                  <c:v>535.98849625870969</c:v>
                </c:pt>
                <c:pt idx="94">
                  <c:v>543.72832558213634</c:v>
                </c:pt>
                <c:pt idx="95">
                  <c:v>551.46584234763566</c:v>
                </c:pt>
                <c:pt idx="96">
                  <c:v>503.19670004131399</c:v>
                </c:pt>
                <c:pt idx="97">
                  <c:v>510.4301643532047</c:v>
                </c:pt>
                <c:pt idx="98">
                  <c:v>517.66146335524525</c:v>
                </c:pt>
                <c:pt idx="99">
                  <c:v>524.89063157230294</c:v>
                </c:pt>
                <c:pt idx="100">
                  <c:v>532.11770250033692</c:v>
                </c:pt>
                <c:pt idx="101">
                  <c:v>538.95570657046494</c:v>
                </c:pt>
                <c:pt idx="102">
                  <c:v>545.7918879539825</c:v>
                </c:pt>
                <c:pt idx="103">
                  <c:v>552.62627270805831</c:v>
                </c:pt>
                <c:pt idx="104">
                  <c:v>559.4588861925846</c:v>
                </c:pt>
                <c:pt idx="105">
                  <c:v>566.28975309730868</c:v>
                </c:pt>
                <c:pt idx="106">
                  <c:v>573.11889746758982</c:v>
                </c:pt>
                <c:pt idx="107">
                  <c:v>579.94634272886162</c:v>
                </c:pt>
                <c:pt idx="108">
                  <c:v>586.77211170988437</c:v>
                </c:pt>
                <c:pt idx="109">
                  <c:v>593.59622666485791</c:v>
                </c:pt>
                <c:pt idx="110">
                  <c:v>600.41870929446566</c:v>
                </c:pt>
                <c:pt idx="111">
                  <c:v>530.69826324876692</c:v>
                </c:pt>
                <c:pt idx="112">
                  <c:v>537.02060847710493</c:v>
                </c:pt>
                <c:pt idx="113">
                  <c:v>543.34138935187991</c:v>
                </c:pt>
                <c:pt idx="114">
                  <c:v>549.66062664564004</c:v>
                </c:pt>
                <c:pt idx="115">
                  <c:v>555.97834061416404</c:v>
                </c:pt>
                <c:pt idx="116">
                  <c:v>562.29455101517226</c:v>
                </c:pt>
                <c:pt idx="117">
                  <c:v>568.60927712615228</c:v>
                </c:pt>
                <c:pt idx="118">
                  <c:v>574.92253776135237</c:v>
                </c:pt>
                <c:pt idx="119">
                  <c:v>581.2343512879894</c:v>
                </c:pt>
                <c:pt idx="120">
                  <c:v>587.54473564171474</c:v>
                </c:pt>
                <c:pt idx="121">
                  <c:v>1.6144600406554537E-12</c:v>
                </c:pt>
                <c:pt idx="122">
                  <c:v>1.6144600406554537E-12</c:v>
                </c:pt>
                <c:pt idx="123">
                  <c:v>1.6144600406554537E-12</c:v>
                </c:pt>
                <c:pt idx="124">
                  <c:v>1.6144600406554537E-12</c:v>
                </c:pt>
                <c:pt idx="125">
                  <c:v>1.6144600406554537E-12</c:v>
                </c:pt>
                <c:pt idx="126">
                  <c:v>1.6144600406554537E-12</c:v>
                </c:pt>
                <c:pt idx="127">
                  <c:v>1.6144600406554537E-12</c:v>
                </c:pt>
                <c:pt idx="128">
                  <c:v>1.6144600406554537E-12</c:v>
                </c:pt>
                <c:pt idx="129">
                  <c:v>1.6144600406554537E-12</c:v>
                </c:pt>
                <c:pt idx="130">
                  <c:v>1.6144600406554537E-12</c:v>
                </c:pt>
                <c:pt idx="131">
                  <c:v>1.6144600406554537E-12</c:v>
                </c:pt>
                <c:pt idx="132">
                  <c:v>1.6144600406554537E-12</c:v>
                </c:pt>
                <c:pt idx="133">
                  <c:v>1.6144600406554537E-12</c:v>
                </c:pt>
                <c:pt idx="134">
                  <c:v>1.6144600406554537E-12</c:v>
                </c:pt>
                <c:pt idx="135">
                  <c:v>1.6144600406554537E-12</c:v>
                </c:pt>
                <c:pt idx="136">
                  <c:v>1.6144600406554537E-12</c:v>
                </c:pt>
                <c:pt idx="137">
                  <c:v>1.6144600406554537E-12</c:v>
                </c:pt>
                <c:pt idx="138">
                  <c:v>1.6144600406554537E-12</c:v>
                </c:pt>
                <c:pt idx="139">
                  <c:v>1.6144600406554537E-12</c:v>
                </c:pt>
                <c:pt idx="140">
                  <c:v>1.6144600406554537E-12</c:v>
                </c:pt>
                <c:pt idx="141">
                  <c:v>1.6144600406554537E-12</c:v>
                </c:pt>
                <c:pt idx="142">
                  <c:v>1.6144600406554537E-12</c:v>
                </c:pt>
                <c:pt idx="143">
                  <c:v>1.6144600406554537E-12</c:v>
                </c:pt>
                <c:pt idx="144">
                  <c:v>1.6144600406554537E-12</c:v>
                </c:pt>
                <c:pt idx="145">
                  <c:v>1.6144600406554537E-12</c:v>
                </c:pt>
                <c:pt idx="146">
                  <c:v>1.6144600406554537E-12</c:v>
                </c:pt>
                <c:pt idx="147">
                  <c:v>1.6144600406554537E-12</c:v>
                </c:pt>
                <c:pt idx="148">
                  <c:v>1.6144600406554537E-12</c:v>
                </c:pt>
                <c:pt idx="149">
                  <c:v>1.6144600406554537E-12</c:v>
                </c:pt>
                <c:pt idx="150">
                  <c:v>1.6144600406554537E-12</c:v>
                </c:pt>
                <c:pt idx="151">
                  <c:v>1.6144600406554537E-12</c:v>
                </c:pt>
                <c:pt idx="152">
                  <c:v>1.6144600406554537E-12</c:v>
                </c:pt>
                <c:pt idx="153">
                  <c:v>1.6144600406554537E-12</c:v>
                </c:pt>
                <c:pt idx="154">
                  <c:v>1.6144600406554537E-12</c:v>
                </c:pt>
                <c:pt idx="155">
                  <c:v>1.6144600406554537E-12</c:v>
                </c:pt>
                <c:pt idx="156">
                  <c:v>1.6144600406554537E-12</c:v>
                </c:pt>
                <c:pt idx="157">
                  <c:v>1.6144600406554537E-12</c:v>
                </c:pt>
                <c:pt idx="158">
                  <c:v>1.6144600406554537E-12</c:v>
                </c:pt>
                <c:pt idx="159">
                  <c:v>1.6144600406554537E-12</c:v>
                </c:pt>
                <c:pt idx="160">
                  <c:v>1.6144600406554537E-12</c:v>
                </c:pt>
                <c:pt idx="161">
                  <c:v>1.6144600406554537E-12</c:v>
                </c:pt>
                <c:pt idx="162">
                  <c:v>1.6144600406554537E-12</c:v>
                </c:pt>
                <c:pt idx="163">
                  <c:v>1.6144600406554537E-12</c:v>
                </c:pt>
                <c:pt idx="164">
                  <c:v>1.6144600406554537E-12</c:v>
                </c:pt>
                <c:pt idx="165">
                  <c:v>1.6144600406554537E-12</c:v>
                </c:pt>
                <c:pt idx="166">
                  <c:v>1.6144600406554537E-12</c:v>
                </c:pt>
                <c:pt idx="167">
                  <c:v>1.6144600406554537E-12</c:v>
                </c:pt>
                <c:pt idx="168">
                  <c:v>1.6144600406554537E-12</c:v>
                </c:pt>
                <c:pt idx="169">
                  <c:v>1.6144600406554537E-12</c:v>
                </c:pt>
                <c:pt idx="170">
                  <c:v>1.6144600406554537E-12</c:v>
                </c:pt>
                <c:pt idx="171">
                  <c:v>1.6144600406554537E-12</c:v>
                </c:pt>
                <c:pt idx="172">
                  <c:v>1.6144600406554537E-12</c:v>
                </c:pt>
                <c:pt idx="173">
                  <c:v>1.6144600406554537E-12</c:v>
                </c:pt>
                <c:pt idx="174">
                  <c:v>1.6144600406554537E-12</c:v>
                </c:pt>
                <c:pt idx="175">
                  <c:v>1.6144600406554537E-12</c:v>
                </c:pt>
                <c:pt idx="176">
                  <c:v>1.6144600406554537E-12</c:v>
                </c:pt>
                <c:pt idx="177">
                  <c:v>1.6144600406554537E-12</c:v>
                </c:pt>
                <c:pt idx="178">
                  <c:v>1.6144600406554537E-12</c:v>
                </c:pt>
                <c:pt idx="179">
                  <c:v>1.6144600406554537E-12</c:v>
                </c:pt>
                <c:pt idx="180">
                  <c:v>1.6144600406554537E-12</c:v>
                </c:pt>
                <c:pt idx="181">
                  <c:v>1.6144600406554537E-12</c:v>
                </c:pt>
                <c:pt idx="182">
                  <c:v>1.6144600406554537E-12</c:v>
                </c:pt>
                <c:pt idx="183">
                  <c:v>1.6144600406554537E-12</c:v>
                </c:pt>
                <c:pt idx="184">
                  <c:v>1.6144600406554537E-12</c:v>
                </c:pt>
                <c:pt idx="185">
                  <c:v>1.6144600406554537E-12</c:v>
                </c:pt>
                <c:pt idx="186">
                  <c:v>1.6144600406554537E-12</c:v>
                </c:pt>
                <c:pt idx="187">
                  <c:v>1.6144600406554537E-12</c:v>
                </c:pt>
                <c:pt idx="188">
                  <c:v>1.6144600406554537E-12</c:v>
                </c:pt>
                <c:pt idx="189">
                  <c:v>1.6144600406554537E-12</c:v>
                </c:pt>
                <c:pt idx="190">
                  <c:v>1.6144600406554537E-12</c:v>
                </c:pt>
                <c:pt idx="191">
                  <c:v>1.6144600406554537E-12</c:v>
                </c:pt>
                <c:pt idx="192">
                  <c:v>1.6144600406554537E-12</c:v>
                </c:pt>
                <c:pt idx="193">
                  <c:v>1.6144600406554537E-12</c:v>
                </c:pt>
                <c:pt idx="194">
                  <c:v>1.6144600406554537E-12</c:v>
                </c:pt>
                <c:pt idx="195">
                  <c:v>1.6144600406554537E-12</c:v>
                </c:pt>
                <c:pt idx="196">
                  <c:v>1.6144600406554537E-12</c:v>
                </c:pt>
                <c:pt idx="197">
                  <c:v>1.6144600406554537E-12</c:v>
                </c:pt>
                <c:pt idx="198">
                  <c:v>1.6144600406554537E-12</c:v>
                </c:pt>
                <c:pt idx="199">
                  <c:v>1.6144600406554537E-12</c:v>
                </c:pt>
                <c:pt idx="200">
                  <c:v>1.6144600406554537E-12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8430096"/>
        <c:axId val="1068424112"/>
      </c:scatterChart>
      <c:valAx>
        <c:axId val="1068430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424112"/>
        <c:crosses val="autoZero"/>
        <c:crossBetween val="midCat"/>
      </c:valAx>
      <c:valAx>
        <c:axId val="106842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430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8424656"/>
        <c:axId val="1068425200"/>
      </c:scatterChart>
      <c:valAx>
        <c:axId val="10684246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425200"/>
        <c:crosses val="autoZero"/>
        <c:crossBetween val="midCat"/>
      </c:valAx>
      <c:valAx>
        <c:axId val="106842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424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172.61880685670505</c:v>
                </c:pt>
                <c:pt idx="22">
                  <c:v>187.70863707245701</c:v>
                </c:pt>
                <c:pt idx="23">
                  <c:v>202.77017479447795</c:v>
                </c:pt>
                <c:pt idx="24">
                  <c:v>217.80581820310817</c:v>
                </c:pt>
                <c:pt idx="25">
                  <c:v>232.81760702956308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280.21615005760458</c:v>
                </c:pt>
                <c:pt idx="32">
                  <c:v>302.60315205267642</c:v>
                </c:pt>
                <c:pt idx="33">
                  <c:v>324.95330656071559</c:v>
                </c:pt>
                <c:pt idx="34">
                  <c:v>347.26950287262474</c:v>
                </c:pt>
                <c:pt idx="35">
                  <c:v>369.55422870449644</c:v>
                </c:pt>
                <c:pt idx="36">
                  <c:v>276.89622424264081</c:v>
                </c:pt>
                <c:pt idx="37">
                  <c:v>300.11758429718867</c:v>
                </c:pt>
                <c:pt idx="38">
                  <c:v>323.29893699066071</c:v>
                </c:pt>
                <c:pt idx="39">
                  <c:v>346.44355255688725</c:v>
                </c:pt>
                <c:pt idx="40">
                  <c:v>369.55422870449632</c:v>
                </c:pt>
                <c:pt idx="41">
                  <c:v>393.04523943920964</c:v>
                </c:pt>
                <c:pt idx="42">
                  <c:v>416.50581806048382</c:v>
                </c:pt>
                <c:pt idx="43">
                  <c:v>439.93791831951495</c:v>
                </c:pt>
                <c:pt idx="44">
                  <c:v>463.34326900875232</c:v>
                </c:pt>
                <c:pt idx="45">
                  <c:v>486.72341015001939</c:v>
                </c:pt>
                <c:pt idx="46">
                  <c:v>394.28074727616132</c:v>
                </c:pt>
                <c:pt idx="47">
                  <c:v>416.9171476106103</c:v>
                </c:pt>
                <c:pt idx="48">
                  <c:v>439.52706413119489</c:v>
                </c:pt>
                <c:pt idx="49">
                  <c:v>462.11204968448243</c:v>
                </c:pt>
                <c:pt idx="50">
                  <c:v>484.67349306043207</c:v>
                </c:pt>
                <c:pt idx="51">
                  <c:v>505.5741589882723</c:v>
                </c:pt>
                <c:pt idx="52">
                  <c:v>526.45656094055948</c:v>
                </c:pt>
                <c:pt idx="53">
                  <c:v>547.32152470399308</c:v>
                </c:pt>
                <c:pt idx="54">
                  <c:v>568.16980802286537</c:v>
                </c:pt>
                <c:pt idx="55">
                  <c:v>589.00210854701277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588.59378151919873</c:v>
                </c:pt>
                <c:pt idx="62">
                  <c:v>606.55465432493395</c:v>
                </c:pt>
                <c:pt idx="63">
                  <c:v>624.504487652433</c:v>
                </c:pt>
                <c:pt idx="64">
                  <c:v>642.44364323070261</c:v>
                </c:pt>
                <c:pt idx="65">
                  <c:v>660.3724609570171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645.2966381487488</c:v>
                </c:pt>
                <c:pt idx="72">
                  <c:v>660.77981648497882</c:v>
                </c:pt>
                <c:pt idx="73">
                  <c:v>676.25552834120583</c:v>
                </c:pt>
                <c:pt idx="74">
                  <c:v>691.72396853231078</c:v>
                </c:pt>
                <c:pt idx="75">
                  <c:v>707.18532245626284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679.91975639292957</c:v>
                </c:pt>
                <c:pt idx="82">
                  <c:v>693.35181003961088</c:v>
                </c:pt>
                <c:pt idx="83">
                  <c:v>706.77853400111223</c:v>
                </c:pt>
                <c:pt idx="84">
                  <c:v>720.20004373069298</c:v>
                </c:pt>
                <c:pt idx="85">
                  <c:v>733.61645003038905</c:v>
                </c:pt>
                <c:pt idx="86">
                  <c:v>747.02785932179313</c:v>
                </c:pt>
                <c:pt idx="87">
                  <c:v>760.4343738963945</c:v>
                </c:pt>
                <c:pt idx="88">
                  <c:v>773.83609214735907</c:v>
                </c:pt>
                <c:pt idx="89">
                  <c:v>787.23310878443408</c:v>
                </c:pt>
                <c:pt idx="90">
                  <c:v>800.62551503347186</c:v>
                </c:pt>
                <c:pt idx="91">
                  <c:v>641.83225318617042</c:v>
                </c:pt>
                <c:pt idx="92">
                  <c:v>653.85406638827408</c:v>
                </c:pt>
                <c:pt idx="93">
                  <c:v>665.87132552880155</c:v>
                </c:pt>
                <c:pt idx="94">
                  <c:v>677.88412434483791</c:v>
                </c:pt>
                <c:pt idx="95">
                  <c:v>689.89255298185105</c:v>
                </c:pt>
                <c:pt idx="96">
                  <c:v>701.89669819273695</c:v>
                </c:pt>
                <c:pt idx="97">
                  <c:v>713.89664352255079</c:v>
                </c:pt>
                <c:pt idx="98">
                  <c:v>725.89246948017455</c:v>
                </c:pt>
                <c:pt idx="99">
                  <c:v>737.88425369805907</c:v>
                </c:pt>
                <c:pt idx="100">
                  <c:v>749.87207108104519</c:v>
                </c:pt>
                <c:pt idx="101">
                  <c:v>760.43437389639394</c:v>
                </c:pt>
                <c:pt idx="102">
                  <c:v>770.99369945175965</c:v>
                </c:pt>
                <c:pt idx="103">
                  <c:v>781.55009424926186</c:v>
                </c:pt>
                <c:pt idx="104">
                  <c:v>792.10360343306365</c:v>
                </c:pt>
                <c:pt idx="105">
                  <c:v>802.65427084697183</c:v>
                </c:pt>
                <c:pt idx="106">
                  <c:v>813.2021390888516</c:v>
                </c:pt>
                <c:pt idx="107">
                  <c:v>823.74724956207217</c:v>
                </c:pt>
                <c:pt idx="108">
                  <c:v>834.28964252418791</c:v>
                </c:pt>
                <c:pt idx="109">
                  <c:v>844.82935713302641</c:v>
                </c:pt>
                <c:pt idx="110">
                  <c:v>855.36643149036433</c:v>
                </c:pt>
                <c:pt idx="111">
                  <c:v>649.16814374322746</c:v>
                </c:pt>
                <c:pt idx="112">
                  <c:v>658.33560563795163</c:v>
                </c:pt>
                <c:pt idx="113">
                  <c:v>667.50043896178022</c:v>
                </c:pt>
                <c:pt idx="114">
                  <c:v>676.66268488632613</c:v>
                </c:pt>
                <c:pt idx="115">
                  <c:v>685.82238337756644</c:v>
                </c:pt>
                <c:pt idx="116">
                  <c:v>694.97957324712058</c:v>
                </c:pt>
                <c:pt idx="117">
                  <c:v>704.13429220068656</c:v>
                </c:pt>
                <c:pt idx="118">
                  <c:v>713.28657688382884</c:v>
                </c:pt>
                <c:pt idx="119">
                  <c:v>722.43646292529365</c:v>
                </c:pt>
                <c:pt idx="120">
                  <c:v>731.58398497801829</c:v>
                </c:pt>
                <c:pt idx="121">
                  <c:v>740.11956914072152</c:v>
                </c:pt>
                <c:pt idx="122">
                  <c:v>748.65315008932919</c:v>
                </c:pt>
                <c:pt idx="123">
                  <c:v>757.18475386959517</c:v>
                </c:pt>
                <c:pt idx="124">
                  <c:v>765.71440589266729</c:v>
                </c:pt>
                <c:pt idx="125">
                  <c:v>774.24213095759603</c:v>
                </c:pt>
                <c:pt idx="126">
                  <c:v>782.76795327280058</c:v>
                </c:pt>
                <c:pt idx="127">
                  <c:v>791.29189647655346</c:v>
                </c:pt>
                <c:pt idx="128">
                  <c:v>799.81398365653479</c:v>
                </c:pt>
                <c:pt idx="129">
                  <c:v>808.33423736851239</c:v>
                </c:pt>
                <c:pt idx="130">
                  <c:v>816.85267965419155</c:v>
                </c:pt>
                <c:pt idx="131">
                  <c:v>639.59038670342318</c:v>
                </c:pt>
                <c:pt idx="132">
                  <c:v>647.33433222460849</c:v>
                </c:pt>
                <c:pt idx="133">
                  <c:v>655.07636694999781</c:v>
                </c:pt>
                <c:pt idx="134">
                  <c:v>662.81651664582557</c:v>
                </c:pt>
                <c:pt idx="135">
                  <c:v>670.55480642750706</c:v>
                </c:pt>
                <c:pt idx="136">
                  <c:v>678.29126078355807</c:v>
                </c:pt>
                <c:pt idx="137">
                  <c:v>686.02590359836915</c:v>
                </c:pt>
                <c:pt idx="138">
                  <c:v>693.7587581738976</c:v>
                </c:pt>
                <c:pt idx="139">
                  <c:v>701.48984725034506</c:v>
                </c:pt>
                <c:pt idx="140">
                  <c:v>709.21919302587401</c:v>
                </c:pt>
                <c:pt idx="141">
                  <c:v>716.33680368243961</c:v>
                </c:pt>
                <c:pt idx="142">
                  <c:v>723.45297038005356</c:v>
                </c:pt>
                <c:pt idx="143">
                  <c:v>730.5677093227813</c:v>
                </c:pt>
                <c:pt idx="144">
                  <c:v>737.68103637339038</c:v>
                </c:pt>
                <c:pt idx="145">
                  <c:v>744.79296706383138</c:v>
                </c:pt>
                <c:pt idx="146">
                  <c:v>751.90351660529711</c:v>
                </c:pt>
                <c:pt idx="147">
                  <c:v>759.01269989788318</c:v>
                </c:pt>
                <c:pt idx="148">
                  <c:v>766.12053153986801</c:v>
                </c:pt>
                <c:pt idx="149">
                  <c:v>773.22702583662794</c:v>
                </c:pt>
                <c:pt idx="150">
                  <c:v>780.33219680921172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8425744"/>
        <c:axId val="1068426832"/>
      </c:scatterChart>
      <c:valAx>
        <c:axId val="10684257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426832"/>
        <c:crosses val="autoZero"/>
        <c:crossBetween val="midCat"/>
      </c:valAx>
      <c:valAx>
        <c:axId val="106842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425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3.3586560307508679</c:v>
                </c:pt>
                <c:pt idx="2">
                  <c:v>4.1306410061423255</c:v>
                </c:pt>
                <c:pt idx="3">
                  <c:v>5.0807351927460944</c:v>
                </c:pt>
                <c:pt idx="4">
                  <c:v>6.2501765565144138</c:v>
                </c:pt>
                <c:pt idx="5">
                  <c:v>7.6897824265263219</c:v>
                </c:pt>
                <c:pt idx="6">
                  <c:v>9.4621815158002143</c:v>
                </c:pt>
                <c:pt idx="7">
                  <c:v>11.644567468377296</c:v>
                </c:pt>
                <c:pt idx="8">
                  <c:v>14.332096103316941</c:v>
                </c:pt>
                <c:pt idx="9">
                  <c:v>17.642077212259725</c:v>
                </c:pt>
                <c:pt idx="10">
                  <c:v>21.719147203029511</c:v>
                </c:pt>
                <c:pt idx="11">
                  <c:v>26.741652658615525</c:v>
                </c:pt>
                <c:pt idx="12">
                  <c:v>32.929528965829938</c:v>
                </c:pt>
                <c:pt idx="13">
                  <c:v>40.55402499266151</c:v>
                </c:pt>
                <c:pt idx="14">
                  <c:v>49.949707364108086</c:v>
                </c:pt>
                <c:pt idx="15">
                  <c:v>61.52927991988566</c:v>
                </c:pt>
                <c:pt idx="16">
                  <c:v>75.801880029428006</c:v>
                </c:pt>
                <c:pt idx="17">
                  <c:v>93.39566927233308</c:v>
                </c:pt>
                <c:pt idx="18">
                  <c:v>115.08572859234651</c:v>
                </c:pt>
                <c:pt idx="19">
                  <c:v>141.82850608908612</c:v>
                </c:pt>
                <c:pt idx="20">
                  <c:v>174.8043598694039</c:v>
                </c:pt>
                <c:pt idx="21">
                  <c:v>191.59133974610231</c:v>
                </c:pt>
                <c:pt idx="22">
                  <c:v>208.34408122016092</c:v>
                </c:pt>
                <c:pt idx="23">
                  <c:v>225.06572551561021</c:v>
                </c:pt>
                <c:pt idx="24">
                  <c:v>241.75890854864349</c:v>
                </c:pt>
                <c:pt idx="25">
                  <c:v>258.42587225263441</c:v>
                </c:pt>
                <c:pt idx="26">
                  <c:v>200.90243103308026</c:v>
                </c:pt>
                <c:pt idx="27">
                  <c:v>222.28082707888197</c:v>
                </c:pt>
                <c:pt idx="28">
                  <c:v>243.61205045301185</c:v>
                </c:pt>
                <c:pt idx="29">
                  <c:v>264.90081208016204</c:v>
                </c:pt>
                <c:pt idx="30">
                  <c:v>286.15100338127621</c:v>
                </c:pt>
                <c:pt idx="31">
                  <c:v>311.05204406793194</c:v>
                </c:pt>
                <c:pt idx="32">
                  <c:v>335.90885371669884</c:v>
                </c:pt>
                <c:pt idx="33">
                  <c:v>360.72516312195717</c:v>
                </c:pt>
                <c:pt idx="34">
                  <c:v>385.50414799512083</c:v>
                </c:pt>
                <c:pt idx="35">
                  <c:v>410.2485426639725</c:v>
                </c:pt>
                <c:pt idx="36">
                  <c:v>307.36589042386976</c:v>
                </c:pt>
                <c:pt idx="37">
                  <c:v>333.1490489500444</c:v>
                </c:pt>
                <c:pt idx="38">
                  <c:v>358.88823411477216</c:v>
                </c:pt>
                <c:pt idx="39">
                  <c:v>384.58704033593949</c:v>
                </c:pt>
                <c:pt idx="40">
                  <c:v>410.24854266397239</c:v>
                </c:pt>
                <c:pt idx="41">
                  <c:v>436.33272253339618</c:v>
                </c:pt>
                <c:pt idx="42">
                  <c:v>462.38345350022161</c:v>
                </c:pt>
                <c:pt idx="43">
                  <c:v>488.40288299445155</c:v>
                </c:pt>
                <c:pt idx="44">
                  <c:v>514.39291118678466</c:v>
                </c:pt>
                <c:pt idx="45">
                  <c:v>540.35523076412767</c:v>
                </c:pt>
                <c:pt idx="46">
                  <c:v>437.70462758915534</c:v>
                </c:pt>
                <c:pt idx="47">
                  <c:v>462.8401985900677</c:v>
                </c:pt>
                <c:pt idx="48">
                  <c:v>487.94666038986725</c:v>
                </c:pt>
                <c:pt idx="49">
                  <c:v>513.02571977154446</c:v>
                </c:pt>
                <c:pt idx="50">
                  <c:v>538.07890319826015</c:v>
                </c:pt>
                <c:pt idx="51">
                  <c:v>561.28811451546608</c:v>
                </c:pt>
                <c:pt idx="52">
                  <c:v>584.47725131696131</c:v>
                </c:pt>
                <c:pt idx="53">
                  <c:v>607.64722125113985</c:v>
                </c:pt>
                <c:pt idx="54">
                  <c:v>630.79885717882416</c:v>
                </c:pt>
                <c:pt idx="55">
                  <c:v>653.93292590911062</c:v>
                </c:pt>
                <c:pt idx="56">
                  <c:v>548.09324346307551</c:v>
                </c:pt>
                <c:pt idx="57">
                  <c:v>569.47475955098787</c:v>
                </c:pt>
                <c:pt idx="58">
                  <c:v>590.83950728108505</c:v>
                </c:pt>
                <c:pt idx="59">
                  <c:v>612.18817773567764</c:v>
                </c:pt>
                <c:pt idx="60">
                  <c:v>633.52140991484157</c:v>
                </c:pt>
                <c:pt idx="61">
                  <c:v>653.47948098691757</c:v>
                </c:pt>
                <c:pt idx="62">
                  <c:v>673.42499429307338</c:v>
                </c:pt>
                <c:pt idx="63">
                  <c:v>693.35837375801611</c:v>
                </c:pt>
                <c:pt idx="64">
                  <c:v>713.28001696958779</c:v>
                </c:pt>
                <c:pt idx="65">
                  <c:v>733.19029751967912</c:v>
                </c:pt>
                <c:pt idx="66">
                  <c:v>624.8991574180119</c:v>
                </c:pt>
                <c:pt idx="67">
                  <c:v>643.50204276587419</c:v>
                </c:pt>
                <c:pt idx="68">
                  <c:v>662.09383135504959</c:v>
                </c:pt>
                <c:pt idx="69">
                  <c:v>680.67487838070929</c:v>
                </c:pt>
                <c:pt idx="70">
                  <c:v>699.24551808280933</c:v>
                </c:pt>
                <c:pt idx="71">
                  <c:v>716.44831231729302</c:v>
                </c:pt>
                <c:pt idx="72">
                  <c:v>733.64267463552369</c:v>
                </c:pt>
                <c:pt idx="73">
                  <c:v>750.82883030840048</c:v>
                </c:pt>
                <c:pt idx="74">
                  <c:v>768.0069934631473</c:v>
                </c:pt>
                <c:pt idx="75">
                  <c:v>785.17736787656111</c:v>
                </c:pt>
                <c:pt idx="76">
                  <c:v>674.78446916222117</c:v>
                </c:pt>
                <c:pt idx="77">
                  <c:v>691.09381526985146</c:v>
                </c:pt>
                <c:pt idx="78">
                  <c:v>707.39527591573994</c:v>
                </c:pt>
                <c:pt idx="79">
                  <c:v>723.6890582627783</c:v>
                </c:pt>
                <c:pt idx="80">
                  <c:v>739.9753593927303</c:v>
                </c:pt>
                <c:pt idx="81">
                  <c:v>754.89805719297362</c:v>
                </c:pt>
                <c:pt idx="82">
                  <c:v>769.81476463385832</c:v>
                </c:pt>
                <c:pt idx="83">
                  <c:v>784.72561404845692</c:v>
                </c:pt>
                <c:pt idx="84">
                  <c:v>799.63073233511477</c:v>
                </c:pt>
                <c:pt idx="85">
                  <c:v>814.53024127986862</c:v>
                </c:pt>
                <c:pt idx="86">
                  <c:v>829.42425785407204</c:v>
                </c:pt>
                <c:pt idx="87">
                  <c:v>844.31289448954988</c:v>
                </c:pt>
                <c:pt idx="88">
                  <c:v>859.19625933335737</c:v>
                </c:pt>
                <c:pt idx="89">
                  <c:v>874.0744564839855</c:v>
                </c:pt>
                <c:pt idx="90">
                  <c:v>888.94758621066649</c:v>
                </c:pt>
                <c:pt idx="91">
                  <c:v>712.60105917771659</c:v>
                </c:pt>
                <c:pt idx="92">
                  <c:v>725.951487545752</c:v>
                </c:pt>
                <c:pt idx="93">
                  <c:v>739.29691040004309</c:v>
                </c:pt>
                <c:pt idx="94">
                  <c:v>752.63743076999765</c:v>
                </c:pt>
                <c:pt idx="95">
                  <c:v>765.97314773736298</c:v>
                </c:pt>
                <c:pt idx="96">
                  <c:v>779.30415665500334</c:v>
                </c:pt>
                <c:pt idx="97">
                  <c:v>792.63054934994216</c:v>
                </c:pt>
                <c:pt idx="98">
                  <c:v>805.95241431204943</c:v>
                </c:pt>
                <c:pt idx="99">
                  <c:v>819.26983686961796</c:v>
                </c:pt>
                <c:pt idx="100">
                  <c:v>832.58289935293749</c:v>
                </c:pt>
                <c:pt idx="101">
                  <c:v>844.31289448954965</c:v>
                </c:pt>
                <c:pt idx="102">
                  <c:v>856.03961722513759</c:v>
                </c:pt>
                <c:pt idx="103">
                  <c:v>867.76311867165805</c:v>
                </c:pt>
                <c:pt idx="104">
                  <c:v>879.48344844849532</c:v>
                </c:pt>
                <c:pt idx="105">
                  <c:v>891.20065474576961</c:v>
                </c:pt>
                <c:pt idx="106">
                  <c:v>902.91478438414788</c:v>
                </c:pt>
                <c:pt idx="107">
                  <c:v>914.62588287138863</c:v>
                </c:pt>
                <c:pt idx="108">
                  <c:v>926.33399445584871</c:v>
                </c:pt>
                <c:pt idx="109">
                  <c:v>938.03916217714016</c:v>
                </c:pt>
                <c:pt idx="110">
                  <c:v>949.74142791413612</c:v>
                </c:pt>
                <c:pt idx="111">
                  <c:v>720.74768439099068</c:v>
                </c:pt>
                <c:pt idx="112">
                  <c:v>730.92832656071721</c:v>
                </c:pt>
                <c:pt idx="113">
                  <c:v>741.10607958467199</c:v>
                </c:pt>
                <c:pt idx="114">
                  <c:v>751.28098871588327</c:v>
                </c:pt>
                <c:pt idx="115">
                  <c:v>761.45309788222528</c:v>
                </c:pt>
                <c:pt idx="116">
                  <c:v>771.62244974278258</c:v>
                </c:pt>
                <c:pt idx="117">
                  <c:v>781.78908574108516</c:v>
                </c:pt>
                <c:pt idx="118">
                  <c:v>791.95304615543694</c:v>
                </c:pt>
                <c:pt idx="119">
                  <c:v>802.11437014652483</c:v>
                </c:pt>
                <c:pt idx="120">
                  <c:v>812.27309580249357</c:v>
                </c:pt>
                <c:pt idx="121">
                  <c:v>821.75226151221102</c:v>
                </c:pt>
                <c:pt idx="122">
                  <c:v>831.2292254256804</c:v>
                </c:pt>
                <c:pt idx="123">
                  <c:v>840.7040161706185</c:v>
                </c:pt>
                <c:pt idx="124">
                  <c:v>850.17666167722484</c:v>
                </c:pt>
                <c:pt idx="125">
                  <c:v>859.64718920292319</c:v>
                </c:pt>
                <c:pt idx="126">
                  <c:v>869.11562535595624</c:v>
                </c:pt>
                <c:pt idx="127">
                  <c:v>878.5819961179003</c:v>
                </c:pt>
                <c:pt idx="128">
                  <c:v>888.04632686515822</c:v>
                </c:pt>
                <c:pt idx="129">
                  <c:v>897.50864238948998</c:v>
                </c:pt>
                <c:pt idx="130">
                  <c:v>906.9689669176347</c:v>
                </c:pt>
                <c:pt idx="131">
                  <c:v>710.11143407886391</c:v>
                </c:pt>
                <c:pt idx="132">
                  <c:v>718.71120518049167</c:v>
                </c:pt>
                <c:pt idx="133">
                  <c:v>727.30887606576096</c:v>
                </c:pt>
                <c:pt idx="134">
                  <c:v>735.90447505515885</c:v>
                </c:pt>
                <c:pt idx="135">
                  <c:v>744.49802975383579</c:v>
                </c:pt>
                <c:pt idx="136">
                  <c:v>753.08956707789741</c:v>
                </c:pt>
                <c:pt idx="137">
                  <c:v>761.67911327943602</c:v>
                </c:pt>
                <c:pt idx="138">
                  <c:v>770.26669397037347</c:v>
                </c:pt>
                <c:pt idx="139">
                  <c:v>778.85233414518734</c:v>
                </c:pt>
                <c:pt idx="140">
                  <c:v>787.43605820258335</c:v>
                </c:pt>
                <c:pt idx="141">
                  <c:v>795.3404451858396</c:v>
                </c:pt>
                <c:pt idx="142">
                  <c:v>803.24324506794221</c:v>
                </c:pt>
                <c:pt idx="143">
                  <c:v>811.14447565929538</c:v>
                </c:pt>
                <c:pt idx="144">
                  <c:v>819.04415439517004</c:v>
                </c:pt>
                <c:pt idx="145">
                  <c:v>826.94229834722648</c:v>
                </c:pt>
                <c:pt idx="146">
                  <c:v>834.8389242345703</c:v>
                </c:pt>
                <c:pt idx="147">
                  <c:v>842.73404843437027</c:v>
                </c:pt>
                <c:pt idx="148">
                  <c:v>850.62768699205628</c:v>
                </c:pt>
                <c:pt idx="149">
                  <c:v>858.51985563112385</c:v>
                </c:pt>
                <c:pt idx="150">
                  <c:v>866.41056976255186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2564128"/>
        <c:axId val="1092565216"/>
      </c:scatterChart>
      <c:valAx>
        <c:axId val="1092564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92565216"/>
        <c:crosses val="autoZero"/>
        <c:crossBetween val="midCat"/>
      </c:valAx>
      <c:valAx>
        <c:axId val="109256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92564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2.4233379605482943</c:v>
                </c:pt>
                <c:pt idx="2">
                  <c:v>3.3911899510511758</c:v>
                </c:pt>
                <c:pt idx="3">
                  <c:v>4.7472570973955088</c:v>
                </c:pt>
                <c:pt idx="4">
                  <c:v>6.6478847603431106</c:v>
                </c:pt>
                <c:pt idx="5">
                  <c:v>9.3126189320690731</c:v>
                </c:pt>
                <c:pt idx="6">
                  <c:v>13.049842479543365</c:v>
                </c:pt>
                <c:pt idx="7">
                  <c:v>18.292843135377566</c:v>
                </c:pt>
                <c:pt idx="8">
                  <c:v>25.650570254048265</c:v>
                </c:pt>
                <c:pt idx="9">
                  <c:v>35.979079079598641</c:v>
                </c:pt>
                <c:pt idx="10">
                  <c:v>50.482117279404498</c:v>
                </c:pt>
                <c:pt idx="11">
                  <c:v>64.095146966739819</c:v>
                </c:pt>
                <c:pt idx="12">
                  <c:v>77.632991838946381</c:v>
                </c:pt>
                <c:pt idx="13">
                  <c:v>91.110686124684605</c:v>
                </c:pt>
                <c:pt idx="14">
                  <c:v>104.53841309330278</c:v>
                </c:pt>
                <c:pt idx="15">
                  <c:v>117.92351039680756</c:v>
                </c:pt>
                <c:pt idx="16">
                  <c:v>132.58566846707615</c:v>
                </c:pt>
                <c:pt idx="17">
                  <c:v>147.20868319853497</c:v>
                </c:pt>
                <c:pt idx="18">
                  <c:v>161.79699433043689</c:v>
                </c:pt>
                <c:pt idx="19">
                  <c:v>176.35417385644337</c:v>
                </c:pt>
                <c:pt idx="20">
                  <c:v>190.88315490424284</c:v>
                </c:pt>
                <c:pt idx="21">
                  <c:v>148.1448304530447</c:v>
                </c:pt>
                <c:pt idx="22">
                  <c:v>162.35744096511164</c:v>
                </c:pt>
                <c:pt idx="23">
                  <c:v>176.54061559438961</c:v>
                </c:pt>
                <c:pt idx="24">
                  <c:v>190.69705365420279</c:v>
                </c:pt>
                <c:pt idx="25">
                  <c:v>204.82902043085244</c:v>
                </c:pt>
                <c:pt idx="26">
                  <c:v>218.19637580534933</c:v>
                </c:pt>
                <c:pt idx="27">
                  <c:v>231.54491400588816</c:v>
                </c:pt>
                <c:pt idx="28">
                  <c:v>244.87587306175826</c:v>
                </c:pt>
                <c:pt idx="29">
                  <c:v>258.19034511136186</c:v>
                </c:pt>
                <c:pt idx="30">
                  <c:v>271.48930039264548</c:v>
                </c:pt>
                <c:pt idx="31">
                  <c:v>227.65345831954789</c:v>
                </c:pt>
                <c:pt idx="32">
                  <c:v>240.24898910471029</c:v>
                </c:pt>
                <c:pt idx="33">
                  <c:v>252.82948997931717</c:v>
                </c:pt>
                <c:pt idx="34">
                  <c:v>265.3958144897008</c:v>
                </c:pt>
                <c:pt idx="35">
                  <c:v>277.94872870657542</c:v>
                </c:pt>
                <c:pt idx="36">
                  <c:v>289.38293116514234</c:v>
                </c:pt>
                <c:pt idx="37">
                  <c:v>300.80703762598421</c:v>
                </c:pt>
                <c:pt idx="38">
                  <c:v>312.22148572483741</c:v>
                </c:pt>
                <c:pt idx="39">
                  <c:v>323.62667847115443</c:v>
                </c:pt>
                <c:pt idx="40">
                  <c:v>335.02298813768738</c:v>
                </c:pt>
                <c:pt idx="41">
                  <c:v>288.82989941789356</c:v>
                </c:pt>
                <c:pt idx="42">
                  <c:v>299.70190776572849</c:v>
                </c:pt>
                <c:pt idx="43">
                  <c:v>310.56513314671798</c:v>
                </c:pt>
                <c:pt idx="44">
                  <c:v>321.41992623463284</c:v>
                </c:pt>
                <c:pt idx="45">
                  <c:v>332.26661207234366</c:v>
                </c:pt>
                <c:pt idx="46">
                  <c:v>342.37089418257489</c:v>
                </c:pt>
                <c:pt idx="47">
                  <c:v>352.46862226287652</c:v>
                </c:pt>
                <c:pt idx="48">
                  <c:v>362.56001063918217</c:v>
                </c:pt>
                <c:pt idx="49">
                  <c:v>372.64526072714688</c:v>
                </c:pt>
                <c:pt idx="50">
                  <c:v>382.72456214571116</c:v>
                </c:pt>
                <c:pt idx="51">
                  <c:v>339.98320906401625</c:v>
                </c:pt>
                <c:pt idx="52">
                  <c:v>349.53176450400855</c:v>
                </c:pt>
                <c:pt idx="53">
                  <c:v>359.07459859126061</c:v>
                </c:pt>
                <c:pt idx="54">
                  <c:v>368.61188489876866</c:v>
                </c:pt>
                <c:pt idx="55">
                  <c:v>378.14378727996063</c:v>
                </c:pt>
                <c:pt idx="56">
                  <c:v>386.93782188026211</c:v>
                </c:pt>
                <c:pt idx="57">
                  <c:v>395.7275166731165</c:v>
                </c:pt>
                <c:pt idx="58">
                  <c:v>404.51298169693899</c:v>
                </c:pt>
                <c:pt idx="59">
                  <c:v>413.29432181793192</c:v>
                </c:pt>
                <c:pt idx="60">
                  <c:v>422.07163708031607</c:v>
                </c:pt>
                <c:pt idx="61">
                  <c:v>379.97624131213121</c:v>
                </c:pt>
                <c:pt idx="62">
                  <c:v>388.21991999001648</c:v>
                </c:pt>
                <c:pt idx="63">
                  <c:v>396.4597988325782</c:v>
                </c:pt>
                <c:pt idx="64">
                  <c:v>404.69596800009577</c:v>
                </c:pt>
                <c:pt idx="65">
                  <c:v>412.92851368148507</c:v>
                </c:pt>
                <c:pt idx="66">
                  <c:v>420.42619259356735</c:v>
                </c:pt>
                <c:pt idx="67">
                  <c:v>427.92099191345005</c:v>
                </c:pt>
                <c:pt idx="68">
                  <c:v>435.41296921989988</c:v>
                </c:pt>
                <c:pt idx="69">
                  <c:v>442.90217994739669</c:v>
                </c:pt>
                <c:pt idx="70">
                  <c:v>450.38867750169061</c:v>
                </c:pt>
                <c:pt idx="71">
                  <c:v>412.92851368148513</c:v>
                </c:pt>
                <c:pt idx="72">
                  <c:v>420.24335687514667</c:v>
                </c:pt>
                <c:pt idx="73">
                  <c:v>427.55545787700925</c:v>
                </c:pt>
                <c:pt idx="74">
                  <c:v>434.8648702289716</c:v>
                </c:pt>
                <c:pt idx="75">
                  <c:v>442.17164552507165</c:v>
                </c:pt>
                <c:pt idx="76">
                  <c:v>448.92810808361315</c:v>
                </c:pt>
                <c:pt idx="77">
                  <c:v>455.68239493388319</c:v>
                </c:pt>
                <c:pt idx="78">
                  <c:v>462.4345428939136</c:v>
                </c:pt>
                <c:pt idx="79">
                  <c:v>469.18458761820074</c:v>
                </c:pt>
                <c:pt idx="80">
                  <c:v>475.9325636510539</c:v>
                </c:pt>
                <c:pt idx="81">
                  <c:v>441.25844110945678</c:v>
                </c:pt>
                <c:pt idx="82">
                  <c:v>447.65002642287277</c:v>
                </c:pt>
                <c:pt idx="83">
                  <c:v>454.03965853817658</c:v>
                </c:pt>
                <c:pt idx="84">
                  <c:v>460.42736883834408</c:v>
                </c:pt>
                <c:pt idx="85">
                  <c:v>466.81318776396671</c:v>
                </c:pt>
                <c:pt idx="86">
                  <c:v>473.01477165455441</c:v>
                </c:pt>
                <c:pt idx="87">
                  <c:v>479.214624883559</c:v>
                </c:pt>
                <c:pt idx="88">
                  <c:v>485.4127730136849</c:v>
                </c:pt>
                <c:pt idx="89">
                  <c:v>491.60924090118425</c:v>
                </c:pt>
                <c:pt idx="90">
                  <c:v>497.8040527242361</c:v>
                </c:pt>
                <c:pt idx="91">
                  <c:v>464.44153106100708</c:v>
                </c:pt>
                <c:pt idx="92">
                  <c:v>470.27899364015747</c:v>
                </c:pt>
                <c:pt idx="93">
                  <c:v>476.11491298718494</c:v>
                </c:pt>
                <c:pt idx="94">
                  <c:v>481.94931069924172</c:v>
                </c:pt>
                <c:pt idx="95">
                  <c:v>487.78220780757994</c:v>
                </c:pt>
                <c:pt idx="96">
                  <c:v>493.43141522263085</c:v>
                </c:pt>
                <c:pt idx="97">
                  <c:v>499.07925174186192</c:v>
                </c:pt>
                <c:pt idx="98">
                  <c:v>504.72573507714452</c:v>
                </c:pt>
                <c:pt idx="99">
                  <c:v>510.37088251149186</c:v>
                </c:pt>
                <c:pt idx="100">
                  <c:v>516.01471091417579</c:v>
                </c:pt>
                <c:pt idx="101">
                  <c:v>485.68618184612097</c:v>
                </c:pt>
                <c:pt idx="102">
                  <c:v>490.88033109552151</c:v>
                </c:pt>
                <c:pt idx="103">
                  <c:v>496.07331476727899</c:v>
                </c:pt>
                <c:pt idx="104">
                  <c:v>501.26514679259532</c:v>
                </c:pt>
                <c:pt idx="105">
                  <c:v>506.4558407903549</c:v>
                </c:pt>
                <c:pt idx="106">
                  <c:v>511.64541007732623</c:v>
                </c:pt>
                <c:pt idx="107">
                  <c:v>516.83386767792888</c:v>
                </c:pt>
                <c:pt idx="108">
                  <c:v>522.02122633358715</c:v>
                </c:pt>
                <c:pt idx="109">
                  <c:v>527.20749851169228</c:v>
                </c:pt>
                <c:pt idx="110">
                  <c:v>532.39269641419344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2566304"/>
        <c:axId val="1092570112"/>
      </c:scatterChart>
      <c:valAx>
        <c:axId val="1092566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92570112"/>
        <c:crosses val="autoZero"/>
        <c:crossBetween val="midCat"/>
      </c:valAx>
      <c:valAx>
        <c:axId val="109257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92566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2.3792316710116794</c:v>
                </c:pt>
                <c:pt idx="2">
                  <c:v>3.0001714302004134</c:v>
                </c:pt>
                <c:pt idx="3">
                  <c:v>3.7838026635400475</c:v>
                </c:pt>
                <c:pt idx="4">
                  <c:v>4.7729092148501211</c:v>
                </c:pt>
                <c:pt idx="5">
                  <c:v>6.0215647416368272</c:v>
                </c:pt>
                <c:pt idx="6">
                  <c:v>7.5981213697524668</c:v>
                </c:pt>
                <c:pt idx="7">
                  <c:v>9.5889918293318406</c:v>
                </c:pt>
                <c:pt idx="8">
                  <c:v>12.103436304894307</c:v>
                </c:pt>
                <c:pt idx="9">
                  <c:v>15.279621602197665</c:v>
                </c:pt>
                <c:pt idx="10">
                  <c:v>19.292291680236925</c:v>
                </c:pt>
                <c:pt idx="11">
                  <c:v>37.096852338099858</c:v>
                </c:pt>
                <c:pt idx="12">
                  <c:v>54.659647561719503</c:v>
                </c:pt>
                <c:pt idx="13">
                  <c:v>72.072088558495707</c:v>
                </c:pt>
                <c:pt idx="14">
                  <c:v>89.376149667899369</c:v>
                </c:pt>
                <c:pt idx="15">
                  <c:v>106.595922899923</c:v>
                </c:pt>
                <c:pt idx="16">
                  <c:v>128.68204943403745</c:v>
                </c:pt>
                <c:pt idx="17">
                  <c:v>150.67621656079791</c:v>
                </c:pt>
                <c:pt idx="18">
                  <c:v>172.59376735487015</c:v>
                </c:pt>
                <c:pt idx="19">
                  <c:v>194.44581168538045</c:v>
                </c:pt>
                <c:pt idx="20">
                  <c:v>216.24075084880474</c:v>
                </c:pt>
                <c:pt idx="21">
                  <c:v>133.93252826541888</c:v>
                </c:pt>
                <c:pt idx="22">
                  <c:v>157.46934134660478</c:v>
                </c:pt>
                <c:pt idx="23">
                  <c:v>180.92254957217764</c:v>
                </c:pt>
                <c:pt idx="24">
                  <c:v>204.3045280233529</c:v>
                </c:pt>
                <c:pt idx="25">
                  <c:v>227.62457918072189</c:v>
                </c:pt>
                <c:pt idx="26">
                  <c:v>250.13311494134999</c:v>
                </c:pt>
                <c:pt idx="27">
                  <c:v>272.59572366188627</c:v>
                </c:pt>
                <c:pt idx="28">
                  <c:v>295.01672068637509</c:v>
                </c:pt>
                <c:pt idx="29">
                  <c:v>317.39971168920596</c:v>
                </c:pt>
                <c:pt idx="30">
                  <c:v>339.74775226555522</c:v>
                </c:pt>
                <c:pt idx="31">
                  <c:v>250.07004383824537</c:v>
                </c:pt>
                <c:pt idx="32">
                  <c:v>270.42380439071962</c:v>
                </c:pt>
                <c:pt idx="33">
                  <c:v>290.74310019724186</c:v>
                </c:pt>
                <c:pt idx="34">
                  <c:v>311.03067786790672</c:v>
                </c:pt>
                <c:pt idx="35">
                  <c:v>331.28889643907786</c:v>
                </c:pt>
                <c:pt idx="36">
                  <c:v>349.04714813629499</c:v>
                </c:pt>
                <c:pt idx="37">
                  <c:v>366.78558363331143</c:v>
                </c:pt>
                <c:pt idx="38">
                  <c:v>384.50529582609062</c:v>
                </c:pt>
                <c:pt idx="39">
                  <c:v>402.20726868632238</c:v>
                </c:pt>
                <c:pt idx="40">
                  <c:v>419.89239253282386</c:v>
                </c:pt>
                <c:pt idx="41">
                  <c:v>325.83511614471871</c:v>
                </c:pt>
                <c:pt idx="42">
                  <c:v>341.21974267416618</c:v>
                </c:pt>
                <c:pt idx="43">
                  <c:v>356.58912057242401</c:v>
                </c:pt>
                <c:pt idx="44">
                  <c:v>371.94399954059327</c:v>
                </c:pt>
                <c:pt idx="45">
                  <c:v>387.28506233326408</c:v>
                </c:pt>
                <c:pt idx="46">
                  <c:v>400.61572997207281</c:v>
                </c:pt>
                <c:pt idx="47">
                  <c:v>413.9368001118296</c:v>
                </c:pt>
                <c:pt idx="48">
                  <c:v>427.24862511853593</c:v>
                </c:pt>
                <c:pt idx="49">
                  <c:v>440.55153361033672</c:v>
                </c:pt>
                <c:pt idx="50">
                  <c:v>453.84583274186275</c:v>
                </c:pt>
                <c:pt idx="51">
                  <c:v>398.15013483461621</c:v>
                </c:pt>
                <c:pt idx="52">
                  <c:v>409.63265752074312</c:v>
                </c:pt>
                <c:pt idx="53">
                  <c:v>421.10823125259907</c:v>
                </c:pt>
                <c:pt idx="54">
                  <c:v>432.57707211284247</c:v>
                </c:pt>
                <c:pt idx="55">
                  <c:v>444.03938378997123</c:v>
                </c:pt>
                <c:pt idx="56">
                  <c:v>453.81470838209202</c:v>
                </c:pt>
                <c:pt idx="57">
                  <c:v>463.58553297341928</c:v>
                </c:pt>
                <c:pt idx="58">
                  <c:v>473.35196580283736</c:v>
                </c:pt>
                <c:pt idx="59">
                  <c:v>483.1141102774788</c:v>
                </c:pt>
                <c:pt idx="60">
                  <c:v>492.8720652837838</c:v>
                </c:pt>
                <c:pt idx="61">
                  <c:v>454.06370198273868</c:v>
                </c:pt>
                <c:pt idx="62">
                  <c:v>462.21663985035343</c:v>
                </c:pt>
                <c:pt idx="63">
                  <c:v>470.36650984219659</c:v>
                </c:pt>
                <c:pt idx="64">
                  <c:v>478.51337263187162</c:v>
                </c:pt>
                <c:pt idx="65">
                  <c:v>486.65728665769001</c:v>
                </c:pt>
                <c:pt idx="66">
                  <c:v>493.64879532061622</c:v>
                </c:pt>
                <c:pt idx="67">
                  <c:v>500.63820532506929</c:v>
                </c:pt>
                <c:pt idx="68">
                  <c:v>507.62555011613114</c:v>
                </c:pt>
                <c:pt idx="69">
                  <c:v>514.61086214265538</c:v>
                </c:pt>
                <c:pt idx="70">
                  <c:v>521.59417290035935</c:v>
                </c:pt>
                <c:pt idx="71">
                  <c:v>487.8693000072526</c:v>
                </c:pt>
                <c:pt idx="72">
                  <c:v>494.36336407119035</c:v>
                </c:pt>
                <c:pt idx="73">
                  <c:v>500.85562034073132</c:v>
                </c:pt>
                <c:pt idx="74">
                  <c:v>507.34609556638321</c:v>
                </c:pt>
                <c:pt idx="75">
                  <c:v>513.83481575804865</c:v>
                </c:pt>
                <c:pt idx="76">
                  <c:v>519.35972931464255</c:v>
                </c:pt>
                <c:pt idx="77">
                  <c:v>524.88340345718075</c:v>
                </c:pt>
                <c:pt idx="78">
                  <c:v>530.40585307590879</c:v>
                </c:pt>
                <c:pt idx="79">
                  <c:v>535.9270927255476</c:v>
                </c:pt>
                <c:pt idx="80">
                  <c:v>541.44713663630864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2569568"/>
        <c:axId val="1092563584"/>
      </c:scatterChart>
      <c:valAx>
        <c:axId val="10925695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92563584"/>
        <c:crosses val="autoZero"/>
        <c:crossBetween val="midCat"/>
      </c:valAx>
      <c:valAx>
        <c:axId val="109256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92569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2.6650117287285462</c:v>
                </c:pt>
                <c:pt idx="2">
                  <c:v>3.2354654067477706</c:v>
                </c:pt>
                <c:pt idx="3">
                  <c:v>3.9284869234853752</c:v>
                </c:pt>
                <c:pt idx="4">
                  <c:v>4.770504601663986</c:v>
                </c:pt>
                <c:pt idx="5">
                  <c:v>5.7936641476729482</c:v>
                </c:pt>
                <c:pt idx="6">
                  <c:v>7.0370693192090075</c:v>
                </c:pt>
                <c:pt idx="7">
                  <c:v>8.5482925779705372</c:v>
                </c:pt>
                <c:pt idx="8">
                  <c:v>10.385214631800892</c:v>
                </c:pt>
                <c:pt idx="9">
                  <c:v>12.618264652585031</c:v>
                </c:pt>
                <c:pt idx="10">
                  <c:v>15.33314866131672</c:v>
                </c:pt>
                <c:pt idx="11">
                  <c:v>18.634172720004408</c:v>
                </c:pt>
                <c:pt idx="12">
                  <c:v>22.64829091777025</c:v>
                </c:pt>
                <c:pt idx="13">
                  <c:v>27.530036608323286</c:v>
                </c:pt>
                <c:pt idx="14">
                  <c:v>33.46753007373961</c:v>
                </c:pt>
                <c:pt idx="15">
                  <c:v>40.689798128782996</c:v>
                </c:pt>
                <c:pt idx="16">
                  <c:v>49.475692816958805</c:v>
                </c:pt>
                <c:pt idx="17">
                  <c:v>60.164759329410423</c:v>
                </c:pt>
                <c:pt idx="18">
                  <c:v>73.170480096564106</c:v>
                </c:pt>
                <c:pt idx="19">
                  <c:v>88.99641570607578</c:v>
                </c:pt>
                <c:pt idx="20">
                  <c:v>108.25587760652975</c:v>
                </c:pt>
                <c:pt idx="21">
                  <c:v>128.9130744021389</c:v>
                </c:pt>
                <c:pt idx="22">
                  <c:v>149.49002281670286</c:v>
                </c:pt>
                <c:pt idx="23">
                  <c:v>169.99934455849356</c:v>
                </c:pt>
                <c:pt idx="24">
                  <c:v>190.45035477579154</c:v>
                </c:pt>
                <c:pt idx="25">
                  <c:v>210.85019924163907</c:v>
                </c:pt>
                <c:pt idx="26">
                  <c:v>185.24975095506522</c:v>
                </c:pt>
                <c:pt idx="27">
                  <c:v>207.88589861014086</c:v>
                </c:pt>
                <c:pt idx="28">
                  <c:v>230.46511069348855</c:v>
                </c:pt>
                <c:pt idx="29">
                  <c:v>252.99374979192666</c:v>
                </c:pt>
                <c:pt idx="30">
                  <c:v>275.47695163372049</c:v>
                </c:pt>
                <c:pt idx="31">
                  <c:v>299.0216509304434</c:v>
                </c:pt>
                <c:pt idx="32">
                  <c:v>322.52505476163668</c:v>
                </c:pt>
                <c:pt idx="33">
                  <c:v>345.99059370648024</c:v>
                </c:pt>
                <c:pt idx="34">
                  <c:v>369.42119511414563</c:v>
                </c:pt>
                <c:pt idx="35">
                  <c:v>392.81938482304872</c:v>
                </c:pt>
                <c:pt idx="36">
                  <c:v>289.09398574595861</c:v>
                </c:pt>
                <c:pt idx="37">
                  <c:v>313.71588765662</c:v>
                </c:pt>
                <c:pt idx="38">
                  <c:v>338.294948711404</c:v>
                </c:pt>
                <c:pt idx="39">
                  <c:v>362.83471688970462</c:v>
                </c:pt>
                <c:pt idx="40">
                  <c:v>387.33822121677059</c:v>
                </c:pt>
                <c:pt idx="41">
                  <c:v>412.53802704609888</c:v>
                </c:pt>
                <c:pt idx="42">
                  <c:v>437.70462758915545</c:v>
                </c:pt>
                <c:pt idx="43">
                  <c:v>462.84019859006793</c:v>
                </c:pt>
                <c:pt idx="44">
                  <c:v>487.94666038986742</c:v>
                </c:pt>
                <c:pt idx="45">
                  <c:v>513.02571977154469</c:v>
                </c:pt>
                <c:pt idx="46">
                  <c:v>410.34809118885158</c:v>
                </c:pt>
                <c:pt idx="47">
                  <c:v>435.15294270927825</c:v>
                </c:pt>
                <c:pt idx="48">
                  <c:v>459.92745587773499</c:v>
                </c:pt>
                <c:pt idx="49">
                  <c:v>484.67349306043229</c:v>
                </c:pt>
                <c:pt idx="50">
                  <c:v>509.39271110335471</c:v>
                </c:pt>
                <c:pt idx="51">
                  <c:v>533.72362475342334</c:v>
                </c:pt>
                <c:pt idx="52">
                  <c:v>558.03122014259679</c:v>
                </c:pt>
                <c:pt idx="53">
                  <c:v>582.31665474406691</c:v>
                </c:pt>
                <c:pt idx="54">
                  <c:v>606.58098171901804</c:v>
                </c:pt>
                <c:pt idx="55">
                  <c:v>630.82516319719264</c:v>
                </c:pt>
                <c:pt idx="56">
                  <c:v>527.55236536708924</c:v>
                </c:pt>
                <c:pt idx="57">
                  <c:v>551.14032081646064</c:v>
                </c:pt>
                <c:pt idx="58">
                  <c:v>574.7071209020188</c:v>
                </c:pt>
                <c:pt idx="59">
                  <c:v>598.25375422735704</c:v>
                </c:pt>
                <c:pt idx="60">
                  <c:v>621.78112531404167</c:v>
                </c:pt>
                <c:pt idx="61">
                  <c:v>644.20543127173016</c:v>
                </c:pt>
                <c:pt idx="62">
                  <c:v>666.61363333729264</c:v>
                </c:pt>
                <c:pt idx="63">
                  <c:v>689.006348405685</c:v>
                </c:pt>
                <c:pt idx="64">
                  <c:v>711.38415005145782</c:v>
                </c:pt>
                <c:pt idx="65">
                  <c:v>733.74757286509896</c:v>
                </c:pt>
                <c:pt idx="66">
                  <c:v>628.65484029812285</c:v>
                </c:pt>
                <c:pt idx="67">
                  <c:v>649.98970921008811</c:v>
                </c:pt>
                <c:pt idx="68">
                  <c:v>671.31014346170321</c:v>
                </c:pt>
                <c:pt idx="69">
                  <c:v>692.61666551890175</c:v>
                </c:pt>
                <c:pt idx="70">
                  <c:v>713.90976311819679</c:v>
                </c:pt>
                <c:pt idx="71">
                  <c:v>733.74757286509896</c:v>
                </c:pt>
                <c:pt idx="72">
                  <c:v>753.57446075706082</c:v>
                </c:pt>
                <c:pt idx="73">
                  <c:v>773.39075429462207</c:v>
                </c:pt>
                <c:pt idx="74">
                  <c:v>793.19676284650984</c:v>
                </c:pt>
                <c:pt idx="75">
                  <c:v>812.99277909027751</c:v>
                </c:pt>
                <c:pt idx="76">
                  <c:v>705.61063085359956</c:v>
                </c:pt>
                <c:pt idx="77">
                  <c:v>724.37108110022939</c:v>
                </c:pt>
                <c:pt idx="78">
                  <c:v>743.12162419643846</c:v>
                </c:pt>
                <c:pt idx="79">
                  <c:v>761.86254506494254</c:v>
                </c:pt>
                <c:pt idx="80">
                  <c:v>780.59411348307538</c:v>
                </c:pt>
                <c:pt idx="81">
                  <c:v>797.87671246011939</c:v>
                </c:pt>
                <c:pt idx="82">
                  <c:v>815.15175193693824</c:v>
                </c:pt>
                <c:pt idx="83">
                  <c:v>832.41941451556761</c:v>
                </c:pt>
                <c:pt idx="84">
                  <c:v>849.67987461282746</c:v>
                </c:pt>
                <c:pt idx="85">
                  <c:v>866.93329898942159</c:v>
                </c:pt>
                <c:pt idx="86">
                  <c:v>762.40300850854248</c:v>
                </c:pt>
                <c:pt idx="87">
                  <c:v>778.43324765234229</c:v>
                </c:pt>
                <c:pt idx="88">
                  <c:v>794.45680403437666</c:v>
                </c:pt>
                <c:pt idx="89">
                  <c:v>810.47383130192986</c:v>
                </c:pt>
                <c:pt idx="90">
                  <c:v>826.48447654013432</c:v>
                </c:pt>
                <c:pt idx="91">
                  <c:v>842.48888067652013</c:v>
                </c:pt>
                <c:pt idx="92">
                  <c:v>858.48717885326153</c:v>
                </c:pt>
                <c:pt idx="93">
                  <c:v>874.47950077026019</c:v>
                </c:pt>
                <c:pt idx="94">
                  <c:v>890.46597100185636</c:v>
                </c:pt>
                <c:pt idx="95">
                  <c:v>906.44670928963933</c:v>
                </c:pt>
                <c:pt idx="96">
                  <c:v>811.19354675848274</c:v>
                </c:pt>
                <c:pt idx="97">
                  <c:v>825.58516883989205</c:v>
                </c:pt>
                <c:pt idx="98">
                  <c:v>839.97174204805378</c:v>
                </c:pt>
                <c:pt idx="99">
                  <c:v>854.35336496332911</c:v>
                </c:pt>
                <c:pt idx="100">
                  <c:v>868.73013257971525</c:v>
                </c:pt>
                <c:pt idx="101">
                  <c:v>883.10213649372565</c:v>
                </c:pt>
                <c:pt idx="102">
                  <c:v>897.46946508035262</c:v>
                </c:pt>
                <c:pt idx="103">
                  <c:v>911.83220365718444</c:v>
                </c:pt>
                <c:pt idx="104">
                  <c:v>926.1904346376582</c:v>
                </c:pt>
                <c:pt idx="105">
                  <c:v>940.54423767432684</c:v>
                </c:pt>
                <c:pt idx="106">
                  <c:v>851.11792645574042</c:v>
                </c:pt>
                <c:pt idx="107">
                  <c:v>864.0582099934544</c:v>
                </c:pt>
                <c:pt idx="108">
                  <c:v>876.99461115440192</c:v>
                </c:pt>
                <c:pt idx="109">
                  <c:v>889.92719522725372</c:v>
                </c:pt>
                <c:pt idx="110">
                  <c:v>902.85602545009397</c:v>
                </c:pt>
                <c:pt idx="111">
                  <c:v>915.78116310387611</c:v>
                </c:pt>
                <c:pt idx="112">
                  <c:v>928.70266760032712</c:v>
                </c:pt>
                <c:pt idx="113">
                  <c:v>941.62059656471547</c:v>
                </c:pt>
                <c:pt idx="114">
                  <c:v>954.5350059138442</c:v>
                </c:pt>
                <c:pt idx="115">
                  <c:v>967.44594992960674</c:v>
                </c:pt>
                <c:pt idx="116">
                  <c:v>883.82061324075357</c:v>
                </c:pt>
                <c:pt idx="117">
                  <c:v>895.31466045688728</c:v>
                </c:pt>
                <c:pt idx="118">
                  <c:v>906.80576205324132</c:v>
                </c:pt>
                <c:pt idx="119">
                  <c:v>918.29396058680368</c:v>
                </c:pt>
                <c:pt idx="120">
                  <c:v>929.77929746384177</c:v>
                </c:pt>
                <c:pt idx="121">
                  <c:v>941.26181298514211</c:v>
                </c:pt>
                <c:pt idx="122">
                  <c:v>952.74154638892969</c:v>
                </c:pt>
                <c:pt idx="123">
                  <c:v>964.21853589161526</c:v>
                </c:pt>
                <c:pt idx="124">
                  <c:v>975.69281872650174</c:v>
                </c:pt>
                <c:pt idx="125">
                  <c:v>987.16443118057657</c:v>
                </c:pt>
                <c:pt idx="126">
                  <c:v>906.08765368982722</c:v>
                </c:pt>
                <c:pt idx="127">
                  <c:v>916.49911923931393</c:v>
                </c:pt>
                <c:pt idx="128">
                  <c:v>926.90822930245065</c:v>
                </c:pt>
                <c:pt idx="129">
                  <c:v>937.31501403861023</c:v>
                </c:pt>
                <c:pt idx="130">
                  <c:v>947.71950288339883</c:v>
                </c:pt>
                <c:pt idx="131">
                  <c:v>958.12172457394684</c:v>
                </c:pt>
                <c:pt idx="132">
                  <c:v>968.52170717304398</c:v>
                </c:pt>
                <c:pt idx="133">
                  <c:v>978.91947809218345</c:v>
                </c:pt>
                <c:pt idx="134">
                  <c:v>989.31506411358021</c:v>
                </c:pt>
                <c:pt idx="135">
                  <c:v>999.7084914112146</c:v>
                </c:pt>
                <c:pt idx="136">
                  <c:v>920.6869737353968</c:v>
                </c:pt>
                <c:pt idx="137">
                  <c:v>929.54004852710386</c:v>
                </c:pt>
                <c:pt idx="138">
                  <c:v>938.39144644330747</c:v>
                </c:pt>
                <c:pt idx="139">
                  <c:v>947.24118551961294</c:v>
                </c:pt>
                <c:pt idx="140">
                  <c:v>956.08928342739136</c:v>
                </c:pt>
                <c:pt idx="141">
                  <c:v>964.93575748450849</c:v>
                </c:pt>
                <c:pt idx="142">
                  <c:v>973.78062466564097</c:v>
                </c:pt>
                <c:pt idx="143">
                  <c:v>982.62390161219776</c:v>
                </c:pt>
                <c:pt idx="144">
                  <c:v>991.46560464186643</c:v>
                </c:pt>
                <c:pt idx="145">
                  <c:v>1000.3057497578019</c:v>
                </c:pt>
                <c:pt idx="146">
                  <c:v>1009.1443526574726</c:v>
                </c:pt>
                <c:pt idx="147">
                  <c:v>1017.9814287411829</c:v>
                </c:pt>
                <c:pt idx="148">
                  <c:v>1026.8169931202824</c:v>
                </c:pt>
                <c:pt idx="149">
                  <c:v>1035.6510606250799</c:v>
                </c:pt>
                <c:pt idx="150">
                  <c:v>1044.483645812473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2567392"/>
        <c:axId val="1092565760"/>
      </c:scatterChart>
      <c:valAx>
        <c:axId val="10925673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92565760"/>
        <c:crosses val="autoZero"/>
        <c:crossBetween val="midCat"/>
      </c:valAx>
      <c:valAx>
        <c:axId val="109256576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92567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25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25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25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25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25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25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25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25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25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25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25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25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25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25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25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25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25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25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B1" zoomScale="85" zoomScaleNormal="85" workbookViewId="0">
      <selection activeCell="F7" sqref="F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2" t="s">
        <v>231</v>
      </c>
      <c r="B5" s="302"/>
      <c r="C5" s="26">
        <v>4.24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0.33</v>
      </c>
      <c r="D9" s="36">
        <f t="shared" ref="D9:D18" si="0">C9*$C$5</f>
        <v>1.3992000000000002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23</v>
      </c>
      <c r="C10" s="35">
        <v>0.13</v>
      </c>
      <c r="D10" s="36">
        <f t="shared" si="0"/>
        <v>0.55120000000000002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6</v>
      </c>
      <c r="C11" s="35">
        <v>0.1</v>
      </c>
      <c r="D11" s="36">
        <f t="shared" si="0"/>
        <v>0.42400000000000004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29</v>
      </c>
      <c r="C12" s="35">
        <v>0.1</v>
      </c>
      <c r="D12" s="36">
        <f t="shared" si="0"/>
        <v>0.42400000000000004</v>
      </c>
      <c r="E12" s="37">
        <v>69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</v>
      </c>
      <c r="C13" s="35">
        <v>0.05</v>
      </c>
      <c r="D13" s="36">
        <f t="shared" si="0"/>
        <v>0.21200000000000002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52</v>
      </c>
      <c r="C14" s="35">
        <v>0.05</v>
      </c>
      <c r="D14" s="36">
        <f t="shared" si="0"/>
        <v>0.21200000000000002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50</v>
      </c>
      <c r="C15" s="35">
        <v>0.05</v>
      </c>
      <c r="D15" s="36">
        <f t="shared" si="0"/>
        <v>0.21200000000000002</v>
      </c>
      <c r="E15" s="37">
        <v>110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8</v>
      </c>
      <c r="C16" s="35">
        <v>0.05</v>
      </c>
      <c r="D16" s="36">
        <f t="shared" si="0"/>
        <v>0.21200000000000002</v>
      </c>
      <c r="E16" s="37">
        <v>80</v>
      </c>
      <c r="F16" s="38" t="str">
        <f t="array" ref="F16">IF(E16="","",IF(INDEX(A:A,MAX(IF(ISNUMBER($A$218:$A$237),ROW($A$218:$A$237),"")))&lt;&gt;E16,"Corrigez : révolution incorrecte","OK"))</f>
        <v>OK</v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25</v>
      </c>
      <c r="C17" s="35">
        <v>0.05</v>
      </c>
      <c r="D17" s="36">
        <f t="shared" si="0"/>
        <v>0.21200000000000002</v>
      </c>
      <c r="E17" s="37">
        <v>150</v>
      </c>
      <c r="F17" s="38" t="str">
        <f t="array" ref="F17">IF(E17="","",IF(INDEX(A:A,MAX(IF(ISNUMBER($A$244:$A$263),ROW($A$244:$A$263),"")))&lt;&gt;E17,"Corrigez : révolution incorrecte","OK"))</f>
        <v>OK</v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 t="s">
        <v>5</v>
      </c>
      <c r="C18" s="35">
        <v>0.05</v>
      </c>
      <c r="D18" s="36">
        <f t="shared" si="0"/>
        <v>0.21200000000000002</v>
      </c>
      <c r="E18" s="37">
        <v>60</v>
      </c>
      <c r="F18" s="38" t="str">
        <f t="array" ref="F18">IF(E18="","",IF(INDEX(A:A,MAX(IF(ISNUMBER($A$270:$A$289),ROW($A$270:$A$289),"")))&lt;&gt;E18,"Corrigez : révolution incorrecte","OK"))</f>
        <v>OK</v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0.9600000000000003</v>
      </c>
      <c r="D19" s="41">
        <f>SUM(D9:D18)</f>
        <v>4.0704000000000011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9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1">
        <f>67+6</f>
        <v>73</v>
      </c>
      <c r="C36" s="61"/>
      <c r="D36" s="61"/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1">
        <f>75+6+28</f>
        <v>109</v>
      </c>
      <c r="C37" s="61">
        <v>1</v>
      </c>
      <c r="D37" s="61">
        <f>6+28</f>
        <v>34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1">
        <f>93+28</f>
        <v>121</v>
      </c>
      <c r="C38" s="61"/>
      <c r="D38" s="61"/>
      <c r="E38" s="54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1">
        <f>119+28+28</f>
        <v>175</v>
      </c>
      <c r="C39" s="61">
        <v>2</v>
      </c>
      <c r="D39" s="61">
        <f>28+28</f>
        <v>56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1">
        <f>147+28</f>
        <v>175</v>
      </c>
      <c r="C40" s="61"/>
      <c r="D40" s="61"/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1">
        <f>176+28+28</f>
        <v>232</v>
      </c>
      <c r="C41" s="61">
        <v>3</v>
      </c>
      <c r="D41" s="61">
        <f>28+28</f>
        <v>56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1">
        <f>203+28</f>
        <v>231</v>
      </c>
      <c r="C42" s="61"/>
      <c r="D42" s="61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1">
        <v>55</v>
      </c>
      <c r="B43" s="61">
        <f>226+28+28</f>
        <v>282</v>
      </c>
      <c r="C43" s="61">
        <v>4</v>
      </c>
      <c r="D43" s="61">
        <f>28+28</f>
        <v>56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1">
        <v>60</v>
      </c>
      <c r="B44" s="61">
        <f>245+28</f>
        <v>273</v>
      </c>
      <c r="C44" s="61"/>
      <c r="D44" s="61"/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1">
        <v>65</v>
      </c>
      <c r="B45" s="61">
        <f>261+28+28</f>
        <v>317</v>
      </c>
      <c r="C45" s="61">
        <v>5</v>
      </c>
      <c r="D45" s="61">
        <f>28+28</f>
        <v>56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1">
        <v>70</v>
      </c>
      <c r="B46" s="61">
        <f>274+28</f>
        <v>302</v>
      </c>
      <c r="C46" s="61"/>
      <c r="D46" s="61"/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1">
        <v>75</v>
      </c>
      <c r="B47" s="61">
        <f>284+28+28</f>
        <v>340</v>
      </c>
      <c r="C47" s="61">
        <v>6</v>
      </c>
      <c r="D47" s="61">
        <f>28+28</f>
        <v>56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1">
        <v>80</v>
      </c>
      <c r="B48" s="61">
        <f>292+28</f>
        <v>320</v>
      </c>
      <c r="C48" s="61"/>
      <c r="D48" s="61"/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1">
        <v>90</v>
      </c>
      <c r="B49" s="61">
        <f>302+28+28+28</f>
        <v>386</v>
      </c>
      <c r="C49" s="61">
        <v>7</v>
      </c>
      <c r="D49" s="61">
        <f>28+28+28</f>
        <v>84</v>
      </c>
      <c r="E49" s="54"/>
      <c r="F49" s="54"/>
      <c r="G49" s="54"/>
      <c r="H49" s="54"/>
      <c r="I49" s="52">
        <f t="shared" si="1"/>
        <v>6.6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1">
        <v>100</v>
      </c>
      <c r="B50" s="53">
        <v>361</v>
      </c>
      <c r="C50" s="53"/>
      <c r="D50" s="53"/>
      <c r="E50" s="54"/>
      <c r="F50" s="54"/>
      <c r="G50" s="54"/>
      <c r="H50" s="54"/>
      <c r="I50" s="52">
        <f t="shared" si="1"/>
        <v>5.9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>
        <v>110</v>
      </c>
      <c r="B51" s="53">
        <v>413</v>
      </c>
      <c r="C51" s="53">
        <v>8</v>
      </c>
      <c r="D51" s="53">
        <v>106</v>
      </c>
      <c r="E51" s="54"/>
      <c r="F51" s="54"/>
      <c r="G51" s="54"/>
      <c r="H51" s="54"/>
      <c r="I51" s="52">
        <f t="shared" si="1"/>
        <v>5.2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>
        <v>120</v>
      </c>
      <c r="B52" s="53">
        <v>352</v>
      </c>
      <c r="C52" s="53"/>
      <c r="D52" s="53"/>
      <c r="E52" s="54"/>
      <c r="F52" s="54"/>
      <c r="G52" s="54"/>
      <c r="H52" s="54"/>
      <c r="I52" s="52">
        <f t="shared" si="1"/>
        <v>4.5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>
        <v>130</v>
      </c>
      <c r="B53" s="53">
        <v>394</v>
      </c>
      <c r="C53" s="53">
        <v>9</v>
      </c>
      <c r="D53" s="53">
        <v>91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>
        <v>140</v>
      </c>
      <c r="B54" s="53">
        <v>341</v>
      </c>
      <c r="C54" s="53"/>
      <c r="D54" s="53"/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>
        <v>150</v>
      </c>
      <c r="B55" s="53">
        <v>376</v>
      </c>
      <c r="C55" s="53">
        <v>10</v>
      </c>
      <c r="D55" s="53">
        <v>376</v>
      </c>
      <c r="E55" s="54"/>
      <c r="F55" s="54"/>
      <c r="G55" s="54"/>
      <c r="H55" s="54"/>
      <c r="I55" s="52">
        <f t="shared" si="1"/>
        <v>3.5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Erable sycomore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9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10</v>
      </c>
      <c r="B62" s="61">
        <f>11.1</f>
        <v>11.1</v>
      </c>
      <c r="C62" s="61"/>
      <c r="D62" s="61"/>
      <c r="E62" s="54"/>
      <c r="F62" s="54"/>
      <c r="G62" s="54"/>
      <c r="H62" s="91"/>
      <c r="I62" s="56">
        <f>IFERROR(B62/A62,"")</f>
        <v>1.1099999999999999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15</v>
      </c>
      <c r="B63" s="61">
        <f>33+31.5</f>
        <v>64.5</v>
      </c>
      <c r="C63" s="61"/>
      <c r="D63" s="61"/>
      <c r="E63" s="54"/>
      <c r="F63" s="54"/>
      <c r="G63" s="54"/>
      <c r="H63" s="91"/>
      <c r="I63" s="52">
        <f>IF(A63&lt;&gt;0,(B63-(B62-D62))/(A63-A62),"")</f>
        <v>10.68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20</v>
      </c>
      <c r="B64" s="61">
        <f>66.8+31.5+35</f>
        <v>133.30000000000001</v>
      </c>
      <c r="C64" s="61">
        <v>1</v>
      </c>
      <c r="D64" s="61">
        <f>31.5+35</f>
        <v>66.5</v>
      </c>
      <c r="E64" s="91"/>
      <c r="F64" s="91"/>
      <c r="G64" s="91"/>
      <c r="H64" s="91">
        <v>1</v>
      </c>
      <c r="I64" s="52">
        <f>IF(A64&lt;&gt;0,(B64-(B63-D63))/(A64-A63),"")</f>
        <v>13.760000000000002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25</v>
      </c>
      <c r="B65" s="61">
        <f>105.5+35</f>
        <v>140.5</v>
      </c>
      <c r="C65" s="61"/>
      <c r="D65" s="61"/>
      <c r="E65" s="91"/>
      <c r="F65" s="91"/>
      <c r="G65" s="91"/>
      <c r="H65" s="91"/>
      <c r="I65" s="52">
        <f>IF(A65&lt;&gt;0,(B65-(B64-D64))/(A65-A64),"")</f>
        <v>14.739999999999998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30</v>
      </c>
      <c r="B66" s="61">
        <f>141.8+35+35</f>
        <v>211.8</v>
      </c>
      <c r="C66" s="61">
        <v>2</v>
      </c>
      <c r="D66" s="61">
        <f>35+35</f>
        <v>70</v>
      </c>
      <c r="E66" s="91"/>
      <c r="F66" s="91"/>
      <c r="G66" s="91"/>
      <c r="H66" s="91">
        <v>1</v>
      </c>
      <c r="I66" s="52">
        <f t="shared" ref="I66:I81" si="2">IF(A66&lt;&gt;0,(B66-(B65-D65))/(A66-A65),"")</f>
        <v>14.260000000000002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35</v>
      </c>
      <c r="B67" s="61">
        <f>171.4+35</f>
        <v>206.4</v>
      </c>
      <c r="C67" s="61"/>
      <c r="D67" s="61"/>
      <c r="E67" s="91"/>
      <c r="F67" s="91"/>
      <c r="G67" s="91"/>
      <c r="H67" s="91"/>
      <c r="I67" s="52">
        <f t="shared" si="2"/>
        <v>12.919999999999998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40</v>
      </c>
      <c r="B68" s="61">
        <f>193.1+35+35</f>
        <v>263.10000000000002</v>
      </c>
      <c r="C68" s="61">
        <v>3</v>
      </c>
      <c r="D68" s="61">
        <f>35+35</f>
        <v>70</v>
      </c>
      <c r="E68" s="91"/>
      <c r="F68" s="91"/>
      <c r="G68" s="91"/>
      <c r="H68" s="91"/>
      <c r="I68" s="52">
        <f t="shared" si="2"/>
        <v>11.340000000000003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61">
        <v>45</v>
      </c>
      <c r="B69" s="61">
        <f>218+24.2</f>
        <v>242.2</v>
      </c>
      <c r="C69" s="61"/>
      <c r="D69" s="61"/>
      <c r="E69" s="91"/>
      <c r="F69" s="91"/>
      <c r="G69" s="91"/>
      <c r="H69" s="91"/>
      <c r="I69" s="52">
        <f t="shared" si="2"/>
        <v>9.8199999999999932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61">
        <v>50</v>
      </c>
      <c r="B70" s="61">
        <f>241.8+24.2+18.9</f>
        <v>284.89999999999998</v>
      </c>
      <c r="C70" s="61">
        <v>4</v>
      </c>
      <c r="D70" s="61">
        <f>24.2+18.9</f>
        <v>43.099999999999994</v>
      </c>
      <c r="E70" s="91"/>
      <c r="F70" s="91"/>
      <c r="G70" s="91"/>
      <c r="H70" s="91"/>
      <c r="I70" s="52">
        <f t="shared" si="2"/>
        <v>8.5399999999999974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61">
        <v>55</v>
      </c>
      <c r="B71" s="61">
        <f>262.6+16</f>
        <v>278.60000000000002</v>
      </c>
      <c r="C71" s="61"/>
      <c r="D71" s="61"/>
      <c r="E71" s="91"/>
      <c r="F71" s="91"/>
      <c r="G71" s="91"/>
      <c r="H71" s="91"/>
      <c r="I71" s="52">
        <f t="shared" si="2"/>
        <v>7.3600000000000083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61">
        <v>60</v>
      </c>
      <c r="B72" s="61">
        <f>279.8+16+14.2</f>
        <v>310</v>
      </c>
      <c r="C72" s="61">
        <v>5</v>
      </c>
      <c r="D72" s="61">
        <f>16+14.2</f>
        <v>30.2</v>
      </c>
      <c r="E72" s="91"/>
      <c r="F72" s="91"/>
      <c r="G72" s="91"/>
      <c r="H72" s="91"/>
      <c r="I72" s="52">
        <f t="shared" si="2"/>
        <v>6.2799999999999958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61">
        <v>65</v>
      </c>
      <c r="B73" s="61">
        <f>292.6+13.4</f>
        <v>306</v>
      </c>
      <c r="C73" s="61"/>
      <c r="D73" s="61"/>
      <c r="E73" s="91"/>
      <c r="F73" s="91"/>
      <c r="G73" s="91"/>
      <c r="H73" s="91"/>
      <c r="I73" s="52">
        <f t="shared" si="2"/>
        <v>5.2399999999999975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61">
        <v>70</v>
      </c>
      <c r="B74" s="61">
        <f>302.6+13.4+12.5</f>
        <v>328.5</v>
      </c>
      <c r="C74" s="61">
        <v>6</v>
      </c>
      <c r="D74" s="61">
        <f>13.4+12.5</f>
        <v>25.9</v>
      </c>
      <c r="E74" s="66"/>
      <c r="F74" s="66"/>
      <c r="G74" s="66"/>
      <c r="H74" s="66"/>
      <c r="I74" s="52">
        <f t="shared" si="2"/>
        <v>4.5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61">
        <v>75</v>
      </c>
      <c r="B75" s="61">
        <f>311.9+11.6</f>
        <v>323.5</v>
      </c>
      <c r="C75" s="61"/>
      <c r="D75" s="61"/>
      <c r="E75" s="66"/>
      <c r="F75" s="66"/>
      <c r="G75" s="66"/>
      <c r="H75" s="66"/>
      <c r="I75" s="52">
        <f t="shared" si="2"/>
        <v>4.1799999999999953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61">
        <v>80</v>
      </c>
      <c r="B76" s="53">
        <v>341.3</v>
      </c>
      <c r="C76" s="61">
        <v>7</v>
      </c>
      <c r="D76" s="53">
        <v>341.3</v>
      </c>
      <c r="E76" s="57"/>
      <c r="F76" s="57"/>
      <c r="G76" s="57"/>
      <c r="H76" s="57"/>
      <c r="I76" s="52">
        <f t="shared" si="2"/>
        <v>3.5600000000000023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Charme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9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1">
        <f>74/1.56</f>
        <v>47.435897435897431</v>
      </c>
      <c r="C88" s="61"/>
      <c r="D88" s="61"/>
      <c r="E88" s="54"/>
      <c r="F88" s="54"/>
      <c r="G88" s="54"/>
      <c r="H88" s="54"/>
      <c r="I88" s="56">
        <f>IFERROR(B88/A88,"")</f>
        <v>3.1623931623931623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1">
        <f>(118+14)/1.56</f>
        <v>84.615384615384613</v>
      </c>
      <c r="C89" s="61"/>
      <c r="D89" s="61"/>
      <c r="E89" s="54"/>
      <c r="F89" s="54"/>
      <c r="G89" s="54"/>
      <c r="H89" s="54"/>
      <c r="I89" s="56">
        <f t="shared" ref="I89:I107" si="3">IF(A89&lt;&gt;0,(B89-(B88-D88))/(A89-A88),"")</f>
        <v>7.4358974358974361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1">
        <f>(158+14+19)/1.56</f>
        <v>122.43589743589743</v>
      </c>
      <c r="C90" s="61">
        <v>1</v>
      </c>
      <c r="D90" s="61">
        <f>(14+19+23)/1.56</f>
        <v>35.897435897435898</v>
      </c>
      <c r="E90" s="54"/>
      <c r="F90" s="54"/>
      <c r="G90" s="54"/>
      <c r="H90" s="54">
        <v>1</v>
      </c>
      <c r="I90" s="56">
        <f t="shared" si="3"/>
        <v>7.5641025641025639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1">
        <f>193/1.56</f>
        <v>123.71794871794872</v>
      </c>
      <c r="C91" s="61"/>
      <c r="D91" s="61"/>
      <c r="E91" s="54"/>
      <c r="F91" s="54"/>
      <c r="G91" s="54"/>
      <c r="H91" s="54"/>
      <c r="I91" s="56">
        <f t="shared" si="3"/>
        <v>7.4358974358974361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1">
        <f>(224+25)/1.56</f>
        <v>159.61538461538461</v>
      </c>
      <c r="C92" s="61">
        <v>2</v>
      </c>
      <c r="D92" s="61">
        <f>(25+27)/1.56</f>
        <v>33.333333333333336</v>
      </c>
      <c r="E92" s="54"/>
      <c r="F92" s="54"/>
      <c r="G92" s="54"/>
      <c r="H92" s="54"/>
      <c r="I92" s="56">
        <f t="shared" si="3"/>
        <v>7.1794871794871797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1">
        <f>250/1.56</f>
        <v>160.25641025641025</v>
      </c>
      <c r="C93" s="61"/>
      <c r="D93" s="61"/>
      <c r="E93" s="54"/>
      <c r="F93" s="54"/>
      <c r="G93" s="54"/>
      <c r="H93" s="54"/>
      <c r="I93" s="56">
        <f t="shared" si="3"/>
        <v>6.7948717948717956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1">
        <f>(272+27)/1.56</f>
        <v>191.66666666666666</v>
      </c>
      <c r="C94" s="61">
        <v>3</v>
      </c>
      <c r="D94" s="61">
        <f>(27+27)/1.56</f>
        <v>34.615384615384613</v>
      </c>
      <c r="E94" s="54"/>
      <c r="F94" s="54"/>
      <c r="G94" s="54"/>
      <c r="H94" s="54"/>
      <c r="I94" s="56">
        <f t="shared" si="3"/>
        <v>6.2820512820512819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50</v>
      </c>
      <c r="B95" s="53">
        <v>187.17948717948718</v>
      </c>
      <c r="C95" s="53"/>
      <c r="D95" s="53"/>
      <c r="E95" s="54"/>
      <c r="F95" s="54"/>
      <c r="G95" s="54"/>
      <c r="H95" s="54"/>
      <c r="I95" s="56">
        <f t="shared" si="3"/>
        <v>6.0256410256410273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55</v>
      </c>
      <c r="B96" s="53">
        <v>215.38461538461539</v>
      </c>
      <c r="C96" s="53">
        <v>4</v>
      </c>
      <c r="D96" s="53">
        <v>34.615384615384613</v>
      </c>
      <c r="E96" s="54"/>
      <c r="F96" s="54"/>
      <c r="G96" s="54"/>
      <c r="H96" s="54"/>
      <c r="I96" s="56">
        <f t="shared" si="3"/>
        <v>5.6410256410256405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60</v>
      </c>
      <c r="B97" s="53">
        <v>207.69230769230768</v>
      </c>
      <c r="C97" s="53"/>
      <c r="D97" s="53"/>
      <c r="E97" s="54"/>
      <c r="F97" s="54"/>
      <c r="G97" s="54"/>
      <c r="H97" s="54"/>
      <c r="I97" s="56">
        <f t="shared" si="3"/>
        <v>5.3846153846153815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65</v>
      </c>
      <c r="B98" s="53">
        <v>232.69230769230768</v>
      </c>
      <c r="C98" s="53">
        <v>5</v>
      </c>
      <c r="D98" s="53">
        <v>32.692307692307693</v>
      </c>
      <c r="E98" s="54"/>
      <c r="F98" s="54"/>
      <c r="G98" s="54"/>
      <c r="H98" s="54"/>
      <c r="I98" s="56">
        <f t="shared" si="3"/>
        <v>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70</v>
      </c>
      <c r="B99" s="53">
        <v>223.7179487179487</v>
      </c>
      <c r="C99" s="53"/>
      <c r="D99" s="53"/>
      <c r="E99" s="54"/>
      <c r="F99" s="54"/>
      <c r="G99" s="54"/>
      <c r="H99" s="54"/>
      <c r="I99" s="56">
        <f t="shared" si="3"/>
        <v>4.7435897435897401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75</v>
      </c>
      <c r="B100" s="53">
        <v>246.15384615384613</v>
      </c>
      <c r="C100" s="53">
        <v>6</v>
      </c>
      <c r="D100" s="53">
        <v>30.769230769230766</v>
      </c>
      <c r="E100" s="54"/>
      <c r="F100" s="54"/>
      <c r="G100" s="54"/>
      <c r="H100" s="54"/>
      <c r="I100" s="56">
        <f t="shared" si="3"/>
        <v>4.4871794871794863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80</v>
      </c>
      <c r="B101" s="53">
        <v>237.17948717948718</v>
      </c>
      <c r="C101" s="53"/>
      <c r="D101" s="53"/>
      <c r="E101" s="54"/>
      <c r="F101" s="54"/>
      <c r="G101" s="54"/>
      <c r="H101" s="54"/>
      <c r="I101" s="56">
        <f t="shared" si="3"/>
        <v>4.3589743589743648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85</v>
      </c>
      <c r="B102" s="53">
        <v>258.33333333333331</v>
      </c>
      <c r="C102" s="53">
        <v>7</v>
      </c>
      <c r="D102" s="53">
        <v>28.846153846153847</v>
      </c>
      <c r="E102" s="54"/>
      <c r="F102" s="54"/>
      <c r="G102" s="54"/>
      <c r="H102" s="54"/>
      <c r="I102" s="56">
        <f t="shared" si="3"/>
        <v>4.2307692307692264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90</v>
      </c>
      <c r="B103" s="53">
        <v>248.7179487179487</v>
      </c>
      <c r="C103" s="53"/>
      <c r="D103" s="53"/>
      <c r="E103" s="54"/>
      <c r="F103" s="54"/>
      <c r="G103" s="54"/>
      <c r="H103" s="54"/>
      <c r="I103" s="56">
        <f t="shared" si="3"/>
        <v>3.8461538461538454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95</v>
      </c>
      <c r="B104" s="53">
        <v>267.94871794871796</v>
      </c>
      <c r="C104" s="53">
        <v>8</v>
      </c>
      <c r="D104" s="53">
        <v>27.564102564102562</v>
      </c>
      <c r="E104" s="54"/>
      <c r="F104" s="54"/>
      <c r="G104" s="54"/>
      <c r="H104" s="54"/>
      <c r="I104" s="56">
        <f t="shared" si="3"/>
        <v>3.8461538461538511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100</v>
      </c>
      <c r="B105" s="53">
        <v>258.33333333333331</v>
      </c>
      <c r="C105" s="53"/>
      <c r="D105" s="53"/>
      <c r="E105" s="54"/>
      <c r="F105" s="54"/>
      <c r="G105" s="54"/>
      <c r="H105" s="54"/>
      <c r="I105" s="56">
        <f t="shared" si="3"/>
        <v>3.5897435897435854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110</v>
      </c>
      <c r="B106" s="53">
        <v>292.30769230769232</v>
      </c>
      <c r="C106" s="53">
        <v>9</v>
      </c>
      <c r="D106" s="53">
        <v>37.820512820512818</v>
      </c>
      <c r="E106" s="54"/>
      <c r="F106" s="54"/>
      <c r="G106" s="54"/>
      <c r="H106" s="54"/>
      <c r="I106" s="56">
        <f t="shared" si="3"/>
        <v>3.3974358974359005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285.89743589743591</v>
      </c>
      <c r="C107" s="53">
        <v>10</v>
      </c>
      <c r="D107" s="53">
        <v>285.89743589743591</v>
      </c>
      <c r="E107" s="54"/>
      <c r="F107" s="54"/>
      <c r="G107" s="54"/>
      <c r="H107" s="54"/>
      <c r="I107" s="56">
        <f t="shared" si="3"/>
        <v>3.141025641025641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Merisier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9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1">
        <v>40</v>
      </c>
      <c r="C114" s="53"/>
      <c r="D114" s="61"/>
      <c r="E114" s="64"/>
      <c r="F114" s="64"/>
      <c r="G114" s="64"/>
      <c r="H114" s="64"/>
      <c r="I114" s="56">
        <f>IFERROR(B114/A114,"")</f>
        <v>2.6666666666666665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1">
        <f>85+3</f>
        <v>88</v>
      </c>
      <c r="C115" s="53"/>
      <c r="D115" s="61"/>
      <c r="E115" s="64"/>
      <c r="F115" s="64"/>
      <c r="G115" s="64"/>
      <c r="H115" s="64"/>
      <c r="I115" s="56">
        <f t="shared" ref="I115:I133" si="4">IF(A115&lt;&gt;0,(B115-(B114-D114))/(A115-A114),"")</f>
        <v>9.6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1">
        <f>113+3+25</f>
        <v>141</v>
      </c>
      <c r="C116" s="53">
        <v>1</v>
      </c>
      <c r="D116" s="61">
        <f>3+25+27</f>
        <v>55</v>
      </c>
      <c r="E116" s="64"/>
      <c r="F116" s="64"/>
      <c r="G116" s="64"/>
      <c r="H116" s="64">
        <v>1</v>
      </c>
      <c r="I116" s="56">
        <f t="shared" si="4"/>
        <v>10.6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8">
        <v>31</v>
      </c>
      <c r="B117" s="58">
        <v>155</v>
      </c>
      <c r="C117" s="58">
        <v>2</v>
      </c>
      <c r="D117" s="58">
        <v>36</v>
      </c>
      <c r="E117" s="64"/>
      <c r="F117" s="64"/>
      <c r="G117" s="64"/>
      <c r="H117" s="64"/>
      <c r="I117" s="56">
        <f t="shared" si="4"/>
        <v>11.5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8">
        <v>37</v>
      </c>
      <c r="B118" s="58">
        <v>188</v>
      </c>
      <c r="C118" s="58">
        <v>3</v>
      </c>
      <c r="D118" s="58">
        <v>36</v>
      </c>
      <c r="E118" s="64"/>
      <c r="F118" s="64"/>
      <c r="G118" s="64"/>
      <c r="H118" s="64"/>
      <c r="I118" s="56">
        <f t="shared" si="4"/>
        <v>11.5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8">
        <v>44</v>
      </c>
      <c r="B119" s="58">
        <v>230</v>
      </c>
      <c r="C119" s="58">
        <v>4</v>
      </c>
      <c r="D119" s="58">
        <v>43</v>
      </c>
      <c r="E119" s="64"/>
      <c r="F119" s="64"/>
      <c r="G119" s="64"/>
      <c r="H119" s="64"/>
      <c r="I119" s="56">
        <f t="shared" si="4"/>
        <v>11.142857142857142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8">
        <v>52</v>
      </c>
      <c r="B120" s="58">
        <v>270</v>
      </c>
      <c r="C120" s="58">
        <v>5</v>
      </c>
      <c r="D120" s="58">
        <v>48</v>
      </c>
      <c r="E120" s="64"/>
      <c r="F120" s="64"/>
      <c r="G120" s="64"/>
      <c r="H120" s="64"/>
      <c r="I120" s="56">
        <f t="shared" si="4"/>
        <v>10.375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8">
        <v>60</v>
      </c>
      <c r="B121" s="58">
        <v>297</v>
      </c>
      <c r="C121" s="58">
        <v>6</v>
      </c>
      <c r="D121" s="58">
        <v>47</v>
      </c>
      <c r="E121" s="64"/>
      <c r="F121" s="64"/>
      <c r="G121" s="64"/>
      <c r="H121" s="64"/>
      <c r="I121" s="56">
        <f t="shared" si="4"/>
        <v>9.375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8">
        <v>69</v>
      </c>
      <c r="B122" s="58">
        <v>328</v>
      </c>
      <c r="C122" s="58">
        <v>7</v>
      </c>
      <c r="D122" s="58">
        <v>328</v>
      </c>
      <c r="E122" s="64"/>
      <c r="F122" s="64"/>
      <c r="G122" s="64"/>
      <c r="H122" s="64"/>
      <c r="I122" s="56">
        <f t="shared" si="4"/>
        <v>8.6666666666666661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/>
      <c r="B123" s="53"/>
      <c r="C123" s="53"/>
      <c r="D123" s="53"/>
      <c r="E123" s="54"/>
      <c r="F123" s="54"/>
      <c r="G123" s="54"/>
      <c r="H123" s="5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/>
      <c r="B124" s="53"/>
      <c r="C124" s="53"/>
      <c r="D124" s="53"/>
      <c r="E124" s="54"/>
      <c r="F124" s="54"/>
      <c r="G124" s="54"/>
      <c r="H124" s="5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/>
      <c r="B125" s="53"/>
      <c r="C125" s="53"/>
      <c r="D125" s="53"/>
      <c r="E125" s="54"/>
      <c r="F125" s="54"/>
      <c r="G125" s="54"/>
      <c r="H125" s="5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/>
      <c r="B126" s="53"/>
      <c r="C126" s="53"/>
      <c r="D126" s="53"/>
      <c r="E126" s="54"/>
      <c r="F126" s="54"/>
      <c r="G126" s="54"/>
      <c r="H126" s="54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/>
      <c r="B127" s="53"/>
      <c r="C127" s="53"/>
      <c r="D127" s="53"/>
      <c r="E127" s="54"/>
      <c r="F127" s="54"/>
      <c r="G127" s="54"/>
      <c r="H127" s="54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4"/>
      <c r="F128" s="54"/>
      <c r="G128" s="54"/>
      <c r="H128" s="54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4"/>
      <c r="F129" s="54"/>
      <c r="G129" s="54"/>
      <c r="H129" s="54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Alisier torminal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9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1">
        <f>67+6</f>
        <v>73</v>
      </c>
      <c r="C140" s="61"/>
      <c r="D140" s="61"/>
      <c r="E140" s="54"/>
      <c r="F140" s="54"/>
      <c r="G140" s="54"/>
      <c r="H140" s="54"/>
      <c r="I140" s="59">
        <f>IFERROR(B140/A140,"")</f>
        <v>3.65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1">
        <f>75+6+28</f>
        <v>109</v>
      </c>
      <c r="C141" s="61">
        <v>1</v>
      </c>
      <c r="D141" s="61">
        <f>6+28</f>
        <v>34</v>
      </c>
      <c r="E141" s="54"/>
      <c r="F141" s="54"/>
      <c r="G141" s="54"/>
      <c r="H141" s="54">
        <v>1</v>
      </c>
      <c r="I141" s="59">
        <f t="shared" ref="I141:I159" si="5">IF(A141&lt;&gt;0,(B141-(B140-D140))/(A141-A140),"")</f>
        <v>7.2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1">
        <f>93+28</f>
        <v>121</v>
      </c>
      <c r="C142" s="61"/>
      <c r="D142" s="61"/>
      <c r="E142" s="54"/>
      <c r="F142" s="54"/>
      <c r="G142" s="54"/>
      <c r="H142" s="54"/>
      <c r="I142" s="59">
        <f t="shared" si="5"/>
        <v>9.1999999999999993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1">
        <f>119+28+28</f>
        <v>175</v>
      </c>
      <c r="C143" s="61">
        <v>2</v>
      </c>
      <c r="D143" s="61">
        <f>28+28</f>
        <v>56</v>
      </c>
      <c r="E143" s="54"/>
      <c r="F143" s="54"/>
      <c r="G143" s="54"/>
      <c r="H143" s="54"/>
      <c r="I143" s="59">
        <f t="shared" si="5"/>
        <v>10.8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1">
        <f>147+28</f>
        <v>175</v>
      </c>
      <c r="C144" s="61"/>
      <c r="D144" s="61"/>
      <c r="E144" s="54"/>
      <c r="F144" s="54"/>
      <c r="G144" s="54"/>
      <c r="H144" s="54"/>
      <c r="I144" s="59">
        <f t="shared" si="5"/>
        <v>11.2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1">
        <f>176+28+28</f>
        <v>232</v>
      </c>
      <c r="C145" s="61">
        <v>3</v>
      </c>
      <c r="D145" s="61">
        <f>28+28</f>
        <v>56</v>
      </c>
      <c r="E145" s="54"/>
      <c r="F145" s="54"/>
      <c r="G145" s="54"/>
      <c r="H145" s="54"/>
      <c r="I145" s="59">
        <f t="shared" si="5"/>
        <v>11.4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1">
        <f>203+28</f>
        <v>231</v>
      </c>
      <c r="C146" s="61"/>
      <c r="D146" s="61"/>
      <c r="E146" s="54"/>
      <c r="F146" s="54"/>
      <c r="G146" s="54"/>
      <c r="H146" s="54"/>
      <c r="I146" s="59">
        <f t="shared" si="5"/>
        <v>11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281">
        <v>55</v>
      </c>
      <c r="B147" s="61">
        <f>226+28+28</f>
        <v>282</v>
      </c>
      <c r="C147" s="61">
        <v>4</v>
      </c>
      <c r="D147" s="61">
        <f>28+28</f>
        <v>56</v>
      </c>
      <c r="E147" s="54"/>
      <c r="F147" s="54"/>
      <c r="G147" s="54"/>
      <c r="H147" s="54"/>
      <c r="I147" s="59">
        <f>IF(A147&lt;&gt;0,(B147-(B146-D146))/(A147-A146),"")</f>
        <v>10.199999999999999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281">
        <v>60</v>
      </c>
      <c r="B148" s="61">
        <f>245+28</f>
        <v>273</v>
      </c>
      <c r="C148" s="61"/>
      <c r="D148" s="61"/>
      <c r="E148" s="54"/>
      <c r="F148" s="54"/>
      <c r="G148" s="54"/>
      <c r="H148" s="54"/>
      <c r="I148" s="59">
        <f t="shared" si="5"/>
        <v>9.4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281">
        <v>65</v>
      </c>
      <c r="B149" s="61">
        <f>261+28+28</f>
        <v>317</v>
      </c>
      <c r="C149" s="61">
        <v>5</v>
      </c>
      <c r="D149" s="61">
        <f>28+28</f>
        <v>56</v>
      </c>
      <c r="E149" s="54"/>
      <c r="F149" s="54"/>
      <c r="G149" s="54"/>
      <c r="H149" s="54"/>
      <c r="I149" s="59">
        <f t="shared" si="5"/>
        <v>8.8000000000000007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281">
        <v>70</v>
      </c>
      <c r="B150" s="61">
        <f>274+28</f>
        <v>302</v>
      </c>
      <c r="C150" s="61"/>
      <c r="D150" s="61"/>
      <c r="E150" s="54"/>
      <c r="F150" s="54"/>
      <c r="G150" s="54"/>
      <c r="H150" s="54"/>
      <c r="I150" s="59">
        <f t="shared" si="5"/>
        <v>8.1999999999999993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281">
        <v>75</v>
      </c>
      <c r="B151" s="61">
        <f>284+28+28</f>
        <v>340</v>
      </c>
      <c r="C151" s="61">
        <v>6</v>
      </c>
      <c r="D151" s="61">
        <f>28+28</f>
        <v>56</v>
      </c>
      <c r="E151" s="54"/>
      <c r="F151" s="54"/>
      <c r="G151" s="54"/>
      <c r="H151" s="54"/>
      <c r="I151" s="59">
        <f t="shared" si="5"/>
        <v>7.6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281">
        <v>80</v>
      </c>
      <c r="B152" s="61">
        <f>292+28</f>
        <v>320</v>
      </c>
      <c r="C152" s="61"/>
      <c r="D152" s="61"/>
      <c r="E152" s="54"/>
      <c r="F152" s="54"/>
      <c r="G152" s="54"/>
      <c r="H152" s="54"/>
      <c r="I152" s="59">
        <f t="shared" si="5"/>
        <v>7.2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281">
        <v>90</v>
      </c>
      <c r="B153" s="61">
        <f>302+28+28+28</f>
        <v>386</v>
      </c>
      <c r="C153" s="61">
        <v>7</v>
      </c>
      <c r="D153" s="61">
        <f>28+28+28</f>
        <v>84</v>
      </c>
      <c r="E153" s="54"/>
      <c r="F153" s="54"/>
      <c r="G153" s="54"/>
      <c r="H153" s="54"/>
      <c r="I153" s="59">
        <f t="shared" si="5"/>
        <v>6.6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281">
        <v>100</v>
      </c>
      <c r="B154" s="53">
        <v>361</v>
      </c>
      <c r="C154" s="53"/>
      <c r="D154" s="53"/>
      <c r="E154" s="54"/>
      <c r="F154" s="54"/>
      <c r="G154" s="54"/>
      <c r="H154" s="54"/>
      <c r="I154" s="59">
        <f t="shared" si="5"/>
        <v>5.9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281">
        <v>110</v>
      </c>
      <c r="B155" s="53">
        <v>413</v>
      </c>
      <c r="C155" s="53">
        <v>8</v>
      </c>
      <c r="D155" s="53">
        <v>106</v>
      </c>
      <c r="E155" s="54"/>
      <c r="F155" s="54"/>
      <c r="G155" s="54"/>
      <c r="H155" s="54"/>
      <c r="I155" s="59">
        <f t="shared" si="5"/>
        <v>5.2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281">
        <v>120</v>
      </c>
      <c r="B156" s="53">
        <v>352</v>
      </c>
      <c r="C156" s="53"/>
      <c r="D156" s="53"/>
      <c r="E156" s="54"/>
      <c r="F156" s="54"/>
      <c r="G156" s="54"/>
      <c r="H156" s="54"/>
      <c r="I156" s="59">
        <f t="shared" si="5"/>
        <v>4.5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281">
        <v>130</v>
      </c>
      <c r="B157" s="53">
        <v>394</v>
      </c>
      <c r="C157" s="53">
        <v>9</v>
      </c>
      <c r="D157" s="53">
        <v>91</v>
      </c>
      <c r="E157" s="54"/>
      <c r="F157" s="54"/>
      <c r="G157" s="54"/>
      <c r="H157" s="54"/>
      <c r="I157" s="59">
        <f t="shared" si="5"/>
        <v>4.2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281">
        <v>140</v>
      </c>
      <c r="B158" s="53">
        <v>341</v>
      </c>
      <c r="C158" s="53"/>
      <c r="D158" s="53"/>
      <c r="E158" s="54"/>
      <c r="F158" s="54"/>
      <c r="G158" s="54"/>
      <c r="H158" s="54"/>
      <c r="I158" s="59">
        <f t="shared" si="5"/>
        <v>3.8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281">
        <v>150</v>
      </c>
      <c r="B159" s="53">
        <v>376</v>
      </c>
      <c r="C159" s="53">
        <v>10</v>
      </c>
      <c r="D159" s="53">
        <v>376</v>
      </c>
      <c r="E159" s="54"/>
      <c r="F159" s="54"/>
      <c r="G159" s="54"/>
      <c r="H159" s="54"/>
      <c r="I159" s="59">
        <f t="shared" si="5"/>
        <v>3.5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Cormier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9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61">
        <f>67+6</f>
        <v>73</v>
      </c>
      <c r="C166" s="61"/>
      <c r="D166" s="61"/>
      <c r="E166" s="54"/>
      <c r="F166" s="54"/>
      <c r="G166" s="54"/>
      <c r="H166" s="54"/>
      <c r="I166" s="52">
        <f>IFERROR(B166/A166,"")</f>
        <v>3.65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25</v>
      </c>
      <c r="B167" s="61">
        <f>75+6+28</f>
        <v>109</v>
      </c>
      <c r="C167" s="61">
        <v>1</v>
      </c>
      <c r="D167" s="61">
        <f>6+28</f>
        <v>34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7.2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30</v>
      </c>
      <c r="B168" s="61">
        <f>93+28</f>
        <v>121</v>
      </c>
      <c r="C168" s="61"/>
      <c r="D168" s="61"/>
      <c r="E168" s="54"/>
      <c r="F168" s="54"/>
      <c r="G168" s="54"/>
      <c r="H168" s="54"/>
      <c r="I168" s="52">
        <f t="shared" si="6"/>
        <v>9.1999999999999993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35</v>
      </c>
      <c r="B169" s="61">
        <f>119+28+28</f>
        <v>175</v>
      </c>
      <c r="C169" s="61">
        <v>2</v>
      </c>
      <c r="D169" s="61">
        <f>28+28</f>
        <v>56</v>
      </c>
      <c r="E169" s="54"/>
      <c r="F169" s="54"/>
      <c r="G169" s="54"/>
      <c r="H169" s="54"/>
      <c r="I169" s="52">
        <f t="shared" si="6"/>
        <v>10.8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40</v>
      </c>
      <c r="B170" s="61">
        <f>147+28</f>
        <v>175</v>
      </c>
      <c r="C170" s="61"/>
      <c r="D170" s="61"/>
      <c r="E170" s="54"/>
      <c r="F170" s="54"/>
      <c r="G170" s="54"/>
      <c r="H170" s="54"/>
      <c r="I170" s="52">
        <f t="shared" si="6"/>
        <v>11.2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45</v>
      </c>
      <c r="B171" s="61">
        <f>176+28+28</f>
        <v>232</v>
      </c>
      <c r="C171" s="61">
        <v>3</v>
      </c>
      <c r="D171" s="61">
        <f>28+28</f>
        <v>56</v>
      </c>
      <c r="E171" s="54"/>
      <c r="F171" s="54"/>
      <c r="G171" s="54"/>
      <c r="H171" s="54"/>
      <c r="I171" s="52">
        <f t="shared" si="6"/>
        <v>11.4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50</v>
      </c>
      <c r="B172" s="61">
        <f>203+28</f>
        <v>231</v>
      </c>
      <c r="C172" s="61"/>
      <c r="D172" s="61"/>
      <c r="E172" s="54"/>
      <c r="F172" s="54"/>
      <c r="G172" s="54"/>
      <c r="H172" s="54"/>
      <c r="I172" s="52">
        <f t="shared" si="6"/>
        <v>11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281">
        <v>55</v>
      </c>
      <c r="B173" s="61">
        <f>226+28+28</f>
        <v>282</v>
      </c>
      <c r="C173" s="61">
        <v>4</v>
      </c>
      <c r="D173" s="61">
        <f>28+28</f>
        <v>56</v>
      </c>
      <c r="E173" s="54"/>
      <c r="F173" s="54"/>
      <c r="G173" s="54"/>
      <c r="H173" s="54"/>
      <c r="I173" s="52">
        <f t="shared" si="6"/>
        <v>10.199999999999999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281">
        <v>60</v>
      </c>
      <c r="B174" s="61">
        <f>245+28</f>
        <v>273</v>
      </c>
      <c r="C174" s="61"/>
      <c r="D174" s="61"/>
      <c r="E174" s="54"/>
      <c r="F174" s="54"/>
      <c r="G174" s="54"/>
      <c r="H174" s="54"/>
      <c r="I174" s="52">
        <f t="shared" si="6"/>
        <v>9.4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281">
        <v>65</v>
      </c>
      <c r="B175" s="61">
        <f>261+28+28</f>
        <v>317</v>
      </c>
      <c r="C175" s="61">
        <v>5</v>
      </c>
      <c r="D175" s="61">
        <f>28+28</f>
        <v>56</v>
      </c>
      <c r="E175" s="54"/>
      <c r="F175" s="54"/>
      <c r="G175" s="54"/>
      <c r="H175" s="54"/>
      <c r="I175" s="52">
        <f t="shared" si="6"/>
        <v>8.8000000000000007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281">
        <v>70</v>
      </c>
      <c r="B176" s="61">
        <f>274+28</f>
        <v>302</v>
      </c>
      <c r="C176" s="61"/>
      <c r="D176" s="61"/>
      <c r="E176" s="54"/>
      <c r="F176" s="54"/>
      <c r="G176" s="54"/>
      <c r="H176" s="54"/>
      <c r="I176" s="52">
        <f t="shared" si="6"/>
        <v>8.1999999999999993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281">
        <v>75</v>
      </c>
      <c r="B177" s="61">
        <f>284+28+28</f>
        <v>340</v>
      </c>
      <c r="C177" s="61">
        <v>6</v>
      </c>
      <c r="D177" s="61">
        <f>28+28</f>
        <v>56</v>
      </c>
      <c r="E177" s="54"/>
      <c r="F177" s="54"/>
      <c r="G177" s="54"/>
      <c r="H177" s="54"/>
      <c r="I177" s="52">
        <f t="shared" si="6"/>
        <v>7.6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281">
        <v>80</v>
      </c>
      <c r="B178" s="61">
        <f>292+28</f>
        <v>320</v>
      </c>
      <c r="C178" s="61"/>
      <c r="D178" s="61"/>
      <c r="E178" s="54"/>
      <c r="F178" s="54"/>
      <c r="G178" s="54"/>
      <c r="H178" s="54"/>
      <c r="I178" s="52">
        <f t="shared" si="6"/>
        <v>7.2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281">
        <v>90</v>
      </c>
      <c r="B179" s="61">
        <f>302+28+28+28</f>
        <v>386</v>
      </c>
      <c r="C179" s="61">
        <v>7</v>
      </c>
      <c r="D179" s="61">
        <f>28+28+28</f>
        <v>84</v>
      </c>
      <c r="E179" s="54"/>
      <c r="F179" s="54"/>
      <c r="G179" s="54"/>
      <c r="H179" s="54"/>
      <c r="I179" s="52">
        <f t="shared" si="6"/>
        <v>6.6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281">
        <v>100</v>
      </c>
      <c r="B180" s="53">
        <v>361</v>
      </c>
      <c r="C180" s="53"/>
      <c r="D180" s="53"/>
      <c r="E180" s="54"/>
      <c r="F180" s="54"/>
      <c r="G180" s="54"/>
      <c r="H180" s="54"/>
      <c r="I180" s="52">
        <f t="shared" si="6"/>
        <v>5.9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281">
        <v>110</v>
      </c>
      <c r="B181" s="53">
        <v>413</v>
      </c>
      <c r="C181" s="53">
        <v>8</v>
      </c>
      <c r="D181" s="53">
        <v>106</v>
      </c>
      <c r="E181" s="54"/>
      <c r="F181" s="54"/>
      <c r="G181" s="54"/>
      <c r="H181" s="54"/>
      <c r="I181" s="52">
        <f t="shared" si="6"/>
        <v>5.2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281">
        <v>120</v>
      </c>
      <c r="B182" s="53">
        <v>352</v>
      </c>
      <c r="C182" s="53"/>
      <c r="D182" s="53"/>
      <c r="E182" s="54"/>
      <c r="F182" s="54"/>
      <c r="G182" s="54"/>
      <c r="H182" s="54"/>
      <c r="I182" s="52">
        <f t="shared" si="6"/>
        <v>4.5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281">
        <v>130</v>
      </c>
      <c r="B183" s="53">
        <v>394</v>
      </c>
      <c r="C183" s="53">
        <v>9</v>
      </c>
      <c r="D183" s="53">
        <v>91</v>
      </c>
      <c r="E183" s="54"/>
      <c r="F183" s="54"/>
      <c r="G183" s="54"/>
      <c r="H183" s="54"/>
      <c r="I183" s="52">
        <f t="shared" si="6"/>
        <v>4.2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281">
        <v>140</v>
      </c>
      <c r="B184" s="53">
        <v>341</v>
      </c>
      <c r="C184" s="53"/>
      <c r="D184" s="53"/>
      <c r="E184" s="54"/>
      <c r="F184" s="54"/>
      <c r="G184" s="54"/>
      <c r="H184" s="54"/>
      <c r="I184" s="52">
        <f t="shared" si="6"/>
        <v>3.8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281">
        <v>150</v>
      </c>
      <c r="B185" s="53">
        <v>376</v>
      </c>
      <c r="C185" s="53">
        <v>10</v>
      </c>
      <c r="D185" s="53">
        <v>376</v>
      </c>
      <c r="E185" s="54"/>
      <c r="F185" s="54"/>
      <c r="G185" s="54"/>
      <c r="H185" s="54"/>
      <c r="I185" s="52">
        <f t="shared" si="6"/>
        <v>3.5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Tilleul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9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10</v>
      </c>
      <c r="B192" s="61">
        <f>51/1.56</f>
        <v>32.692307692307693</v>
      </c>
      <c r="C192" s="61"/>
      <c r="D192" s="61"/>
      <c r="E192" s="54"/>
      <c r="F192" s="54"/>
      <c r="G192" s="54"/>
      <c r="H192" s="54"/>
      <c r="I192" s="52">
        <f>IFERROR(B192/A192,"")</f>
        <v>3.2692307692307692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15</v>
      </c>
      <c r="B193" s="61">
        <f>(110+12)/1.56</f>
        <v>78.205128205128204</v>
      </c>
      <c r="C193" s="61"/>
      <c r="D193" s="61"/>
      <c r="E193" s="54"/>
      <c r="F193" s="54"/>
      <c r="G193" s="54"/>
      <c r="H193" s="54"/>
      <c r="I193" s="52">
        <f t="shared" ref="I193:I211" si="7">IF(A193&lt;&gt;0,(B193-(B192-D192))/(A193-A192),"")</f>
        <v>9.1025641025641022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20</v>
      </c>
      <c r="B194" s="61">
        <f>(166+12+22)/1.56</f>
        <v>128.2051282051282</v>
      </c>
      <c r="C194" s="61">
        <v>1</v>
      </c>
      <c r="D194" s="61">
        <f>(12+22+27)/1.56</f>
        <v>39.102564102564102</v>
      </c>
      <c r="E194" s="54"/>
      <c r="F194" s="54"/>
      <c r="G194" s="54"/>
      <c r="H194" s="54">
        <v>1</v>
      </c>
      <c r="I194" s="52">
        <f t="shared" si="7"/>
        <v>10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25</v>
      </c>
      <c r="B195" s="61">
        <f>215/1.56</f>
        <v>137.82051282051282</v>
      </c>
      <c r="C195" s="61"/>
      <c r="D195" s="61"/>
      <c r="E195" s="54"/>
      <c r="F195" s="54"/>
      <c r="G195" s="54"/>
      <c r="H195" s="54"/>
      <c r="I195" s="52">
        <f t="shared" si="7"/>
        <v>9.7435897435897427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30</v>
      </c>
      <c r="B196" s="61">
        <f>(257+30)/1.56</f>
        <v>183.97435897435898</v>
      </c>
      <c r="C196" s="61">
        <v>2</v>
      </c>
      <c r="D196" s="61">
        <f>(30+31)/1.56</f>
        <v>39.102564102564102</v>
      </c>
      <c r="E196" s="54"/>
      <c r="F196" s="54"/>
      <c r="G196" s="54"/>
      <c r="H196" s="54">
        <v>1</v>
      </c>
      <c r="I196" s="52">
        <f t="shared" si="7"/>
        <v>9.2307692307692317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35</v>
      </c>
      <c r="B197" s="61">
        <f>294/1.56</f>
        <v>188.46153846153845</v>
      </c>
      <c r="C197" s="61"/>
      <c r="D197" s="61"/>
      <c r="E197" s="54"/>
      <c r="F197" s="54"/>
      <c r="G197" s="54"/>
      <c r="H197" s="54"/>
      <c r="I197" s="52">
        <f t="shared" si="7"/>
        <v>8.717948717948719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40</v>
      </c>
      <c r="B198" s="61">
        <f>(325+31)/1.56</f>
        <v>228.2051282051282</v>
      </c>
      <c r="C198" s="61">
        <v>3</v>
      </c>
      <c r="D198" s="61">
        <f>(31+31)/1.56</f>
        <v>39.743589743589745</v>
      </c>
      <c r="E198" s="54"/>
      <c r="F198" s="54"/>
      <c r="G198" s="54"/>
      <c r="H198" s="54"/>
      <c r="I198" s="52">
        <f t="shared" si="7"/>
        <v>7.9487179487179507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45</v>
      </c>
      <c r="B199" s="53">
        <v>226.28205128205127</v>
      </c>
      <c r="C199" s="53"/>
      <c r="D199" s="53"/>
      <c r="E199" s="54"/>
      <c r="F199" s="54"/>
      <c r="G199" s="54"/>
      <c r="H199" s="54"/>
      <c r="I199" s="52">
        <f t="shared" si="7"/>
        <v>7.5641025641025639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50</v>
      </c>
      <c r="B200" s="53">
        <v>261.53846153846155</v>
      </c>
      <c r="C200" s="53">
        <v>4</v>
      </c>
      <c r="D200" s="53">
        <v>36.53846153846154</v>
      </c>
      <c r="E200" s="54"/>
      <c r="F200" s="54"/>
      <c r="G200" s="54"/>
      <c r="H200" s="54"/>
      <c r="I200" s="52">
        <f t="shared" si="7"/>
        <v>7.0512820512820555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8">
        <v>55</v>
      </c>
      <c r="B201" s="58">
        <v>258.33333333333331</v>
      </c>
      <c r="C201" s="58"/>
      <c r="D201" s="58"/>
      <c r="E201" s="64"/>
      <c r="F201" s="64"/>
      <c r="G201" s="64"/>
      <c r="H201" s="64"/>
      <c r="I201" s="52">
        <f t="shared" si="7"/>
        <v>6.6666666666666625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8">
        <v>60</v>
      </c>
      <c r="B202" s="58">
        <v>289.10256410256409</v>
      </c>
      <c r="C202" s="58">
        <v>5</v>
      </c>
      <c r="D202" s="58">
        <v>35.256410256410255</v>
      </c>
      <c r="E202" s="64"/>
      <c r="F202" s="64"/>
      <c r="G202" s="64"/>
      <c r="H202" s="64"/>
      <c r="I202" s="52">
        <f t="shared" si="7"/>
        <v>6.1538461538461551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8">
        <v>65</v>
      </c>
      <c r="B203" s="58">
        <v>282.69230769230768</v>
      </c>
      <c r="C203" s="58"/>
      <c r="D203" s="58"/>
      <c r="E203" s="64"/>
      <c r="F203" s="64"/>
      <c r="G203" s="64"/>
      <c r="H203" s="64"/>
      <c r="I203" s="52">
        <f t="shared" si="7"/>
        <v>5.7692307692307683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8">
        <v>70</v>
      </c>
      <c r="B204" s="58">
        <v>308.97435897435895</v>
      </c>
      <c r="C204" s="58">
        <v>6</v>
      </c>
      <c r="D204" s="58">
        <v>31.410256410256409</v>
      </c>
      <c r="E204" s="65"/>
      <c r="F204" s="65"/>
      <c r="G204" s="65"/>
      <c r="H204" s="65"/>
      <c r="I204" s="52">
        <f t="shared" si="7"/>
        <v>5.2564102564102537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92">
        <v>75</v>
      </c>
      <c r="B205" s="61">
        <f>473/1.56</f>
        <v>303.20512820512818</v>
      </c>
      <c r="C205" s="92"/>
      <c r="D205" s="61"/>
      <c r="E205" s="57"/>
      <c r="F205" s="57"/>
      <c r="G205" s="57"/>
      <c r="H205" s="57"/>
      <c r="I205" s="52">
        <f t="shared" si="7"/>
        <v>5.1282051282051269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80</v>
      </c>
      <c r="B206" s="53">
        <v>326.92307692307691</v>
      </c>
      <c r="C206" s="53">
        <v>7</v>
      </c>
      <c r="D206" s="53">
        <v>28.846153846153847</v>
      </c>
      <c r="E206" s="57"/>
      <c r="F206" s="57"/>
      <c r="G206" s="57"/>
      <c r="H206" s="57"/>
      <c r="I206" s="52">
        <f t="shared" si="7"/>
        <v>4.7435897435897463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85</v>
      </c>
      <c r="B207" s="53">
        <v>320.5128205128205</v>
      </c>
      <c r="C207" s="53"/>
      <c r="D207" s="53"/>
      <c r="E207" s="57"/>
      <c r="F207" s="57"/>
      <c r="G207" s="57"/>
      <c r="H207" s="57"/>
      <c r="I207" s="52">
        <f t="shared" si="7"/>
        <v>4.4871794871794917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90</v>
      </c>
      <c r="B208" s="53">
        <v>342.30769230769232</v>
      </c>
      <c r="C208" s="53">
        <v>8</v>
      </c>
      <c r="D208" s="53">
        <v>27.564102564102562</v>
      </c>
      <c r="E208" s="57"/>
      <c r="F208" s="57"/>
      <c r="G208" s="57"/>
      <c r="H208" s="57"/>
      <c r="I208" s="52">
        <f t="shared" si="7"/>
        <v>4.3589743589743648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95</v>
      </c>
      <c r="B209" s="53">
        <v>335.25641025641022</v>
      </c>
      <c r="C209" s="53"/>
      <c r="D209" s="53"/>
      <c r="E209" s="57"/>
      <c r="F209" s="57"/>
      <c r="G209" s="57"/>
      <c r="H209" s="57"/>
      <c r="I209" s="52">
        <f t="shared" si="7"/>
        <v>4.102564102564088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100</v>
      </c>
      <c r="B210" s="53">
        <v>355.12820512820514</v>
      </c>
      <c r="C210" s="53">
        <v>9</v>
      </c>
      <c r="D210" s="53">
        <v>25</v>
      </c>
      <c r="E210" s="57"/>
      <c r="F210" s="57"/>
      <c r="G210" s="57"/>
      <c r="H210" s="57"/>
      <c r="I210" s="52">
        <f t="shared" si="7"/>
        <v>3.9743589743589838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110</v>
      </c>
      <c r="B211" s="53">
        <v>366.66666666666663</v>
      </c>
      <c r="C211" s="53">
        <v>10</v>
      </c>
      <c r="D211" s="53">
        <v>366.66666666666663</v>
      </c>
      <c r="E211" s="57"/>
      <c r="F211" s="57"/>
      <c r="G211" s="57"/>
      <c r="H211" s="57"/>
      <c r="I211" s="52">
        <f t="shared" si="7"/>
        <v>3.6538461538461489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Châtaignier</v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9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10</v>
      </c>
      <c r="B218" s="61">
        <f>11.1</f>
        <v>11.1</v>
      </c>
      <c r="C218" s="61"/>
      <c r="D218" s="61"/>
      <c r="E218" s="54"/>
      <c r="F218" s="54"/>
      <c r="G218" s="54"/>
      <c r="H218" s="91"/>
      <c r="I218" s="56">
        <f>IFERROR(B218/A218,"")</f>
        <v>1.1099999999999999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15</v>
      </c>
      <c r="B219" s="61">
        <f>33+31.5</f>
        <v>64.5</v>
      </c>
      <c r="C219" s="61"/>
      <c r="D219" s="61"/>
      <c r="E219" s="54"/>
      <c r="F219" s="54"/>
      <c r="G219" s="54"/>
      <c r="H219" s="91"/>
      <c r="I219" s="56">
        <f t="shared" ref="I219:I237" si="8">IF(A219&lt;&gt;0,(B219-(B218-D218))/(A219-A218),"")</f>
        <v>10.68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20</v>
      </c>
      <c r="B220" s="61">
        <f>66.8+31.5+35</f>
        <v>133.30000000000001</v>
      </c>
      <c r="C220" s="61">
        <v>1</v>
      </c>
      <c r="D220" s="61">
        <f>31.5+35</f>
        <v>66.5</v>
      </c>
      <c r="E220" s="91"/>
      <c r="F220" s="91"/>
      <c r="G220" s="91"/>
      <c r="H220" s="91">
        <v>1</v>
      </c>
      <c r="I220" s="56">
        <f t="shared" si="8"/>
        <v>13.760000000000002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25</v>
      </c>
      <c r="B221" s="61">
        <f>105.5+35</f>
        <v>140.5</v>
      </c>
      <c r="C221" s="61"/>
      <c r="D221" s="61"/>
      <c r="E221" s="91"/>
      <c r="F221" s="91"/>
      <c r="G221" s="91"/>
      <c r="H221" s="91"/>
      <c r="I221" s="56">
        <f t="shared" si="8"/>
        <v>14.739999999999998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30</v>
      </c>
      <c r="B222" s="61">
        <f>141.8+35+35</f>
        <v>211.8</v>
      </c>
      <c r="C222" s="61">
        <v>2</v>
      </c>
      <c r="D222" s="61">
        <f>35+35</f>
        <v>70</v>
      </c>
      <c r="E222" s="91"/>
      <c r="F222" s="91"/>
      <c r="G222" s="91"/>
      <c r="H222" s="91">
        <v>1</v>
      </c>
      <c r="I222" s="56">
        <f t="shared" si="8"/>
        <v>14.260000000000002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35</v>
      </c>
      <c r="B223" s="61">
        <f>171.4+35</f>
        <v>206.4</v>
      </c>
      <c r="C223" s="61"/>
      <c r="D223" s="61"/>
      <c r="E223" s="91"/>
      <c r="F223" s="91"/>
      <c r="G223" s="91"/>
      <c r="H223" s="91"/>
      <c r="I223" s="56">
        <f t="shared" si="8"/>
        <v>12.919999999999998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>
        <v>40</v>
      </c>
      <c r="B224" s="61">
        <f>193.1+35+35</f>
        <v>263.10000000000002</v>
      </c>
      <c r="C224" s="61">
        <v>3</v>
      </c>
      <c r="D224" s="61">
        <f>35+35</f>
        <v>70</v>
      </c>
      <c r="E224" s="91"/>
      <c r="F224" s="91"/>
      <c r="G224" s="91"/>
      <c r="H224" s="91"/>
      <c r="I224" s="56">
        <f t="shared" si="8"/>
        <v>11.340000000000003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61">
        <v>45</v>
      </c>
      <c r="B225" s="61">
        <f>218+24.2</f>
        <v>242.2</v>
      </c>
      <c r="C225" s="61"/>
      <c r="D225" s="61"/>
      <c r="E225" s="91"/>
      <c r="F225" s="91"/>
      <c r="G225" s="91"/>
      <c r="H225" s="91"/>
      <c r="I225" s="56">
        <f t="shared" si="8"/>
        <v>9.8199999999999932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61">
        <v>50</v>
      </c>
      <c r="B226" s="61">
        <f>241.8+24.2+18.9</f>
        <v>284.89999999999998</v>
      </c>
      <c r="C226" s="61">
        <v>4</v>
      </c>
      <c r="D226" s="61">
        <f>24.2+18.9</f>
        <v>43.099999999999994</v>
      </c>
      <c r="E226" s="91"/>
      <c r="F226" s="91"/>
      <c r="G226" s="91"/>
      <c r="H226" s="91"/>
      <c r="I226" s="56">
        <f t="shared" si="8"/>
        <v>8.5399999999999974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61">
        <v>55</v>
      </c>
      <c r="B227" s="61">
        <f>262.6+16</f>
        <v>278.60000000000002</v>
      </c>
      <c r="C227" s="61"/>
      <c r="D227" s="61"/>
      <c r="E227" s="91"/>
      <c r="F227" s="91"/>
      <c r="G227" s="91"/>
      <c r="H227" s="91"/>
      <c r="I227" s="56">
        <f t="shared" si="8"/>
        <v>7.3600000000000083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61">
        <v>60</v>
      </c>
      <c r="B228" s="61">
        <f>279.8+16+14.2</f>
        <v>310</v>
      </c>
      <c r="C228" s="61">
        <v>5</v>
      </c>
      <c r="D228" s="61">
        <f>16+14.2</f>
        <v>30.2</v>
      </c>
      <c r="E228" s="91"/>
      <c r="F228" s="91"/>
      <c r="G228" s="91"/>
      <c r="H228" s="91"/>
      <c r="I228" s="56">
        <f t="shared" si="8"/>
        <v>6.2799999999999958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61">
        <v>65</v>
      </c>
      <c r="B229" s="61">
        <f>292.6+13.4</f>
        <v>306</v>
      </c>
      <c r="C229" s="61"/>
      <c r="D229" s="61"/>
      <c r="E229" s="91"/>
      <c r="F229" s="91"/>
      <c r="G229" s="91"/>
      <c r="H229" s="91"/>
      <c r="I229" s="56">
        <f t="shared" si="8"/>
        <v>5.2399999999999975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61">
        <v>70</v>
      </c>
      <c r="B230" s="61">
        <f>302.6+13.4+12.5</f>
        <v>328.5</v>
      </c>
      <c r="C230" s="61">
        <v>6</v>
      </c>
      <c r="D230" s="61">
        <f>13.4+12.5</f>
        <v>25.9</v>
      </c>
      <c r="E230" s="66"/>
      <c r="F230" s="66"/>
      <c r="G230" s="66"/>
      <c r="H230" s="66"/>
      <c r="I230" s="56">
        <f t="shared" si="8"/>
        <v>4.5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61">
        <v>75</v>
      </c>
      <c r="B231" s="61">
        <f>311.9+11.6</f>
        <v>323.5</v>
      </c>
      <c r="C231" s="61"/>
      <c r="D231" s="61"/>
      <c r="E231" s="66"/>
      <c r="F231" s="66"/>
      <c r="G231" s="66"/>
      <c r="H231" s="66"/>
      <c r="I231" s="56">
        <f t="shared" si="8"/>
        <v>4.1799999999999953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61">
        <v>80</v>
      </c>
      <c r="B232" s="53">
        <v>341.3</v>
      </c>
      <c r="C232" s="61">
        <v>7</v>
      </c>
      <c r="D232" s="53">
        <v>341.3</v>
      </c>
      <c r="E232" s="57"/>
      <c r="F232" s="57"/>
      <c r="G232" s="57"/>
      <c r="H232" s="57"/>
      <c r="I232" s="56">
        <f t="shared" si="8"/>
        <v>3.5600000000000023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4"/>
      <c r="F233" s="54"/>
      <c r="G233" s="54"/>
      <c r="H233" s="54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4"/>
      <c r="F234" s="54"/>
      <c r="G234" s="54"/>
      <c r="H234" s="54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281"/>
      <c r="B235" s="53"/>
      <c r="C235" s="53"/>
      <c r="D235" s="53"/>
      <c r="E235" s="54"/>
      <c r="F235" s="54"/>
      <c r="G235" s="54"/>
      <c r="H235" s="54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281"/>
      <c r="B236" s="53"/>
      <c r="C236" s="53"/>
      <c r="D236" s="53"/>
      <c r="E236" s="54"/>
      <c r="F236" s="54"/>
      <c r="G236" s="54"/>
      <c r="H236" s="54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281"/>
      <c r="B237" s="53"/>
      <c r="C237" s="53"/>
      <c r="D237" s="53"/>
      <c r="E237" s="54"/>
      <c r="F237" s="54"/>
      <c r="G237" s="54"/>
      <c r="H237" s="54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Hêtre</v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9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20</v>
      </c>
      <c r="B244" s="61">
        <v>56</v>
      </c>
      <c r="C244" s="53"/>
      <c r="D244" s="61"/>
      <c r="E244" s="54"/>
      <c r="F244" s="54"/>
      <c r="G244" s="54"/>
      <c r="H244" s="54"/>
      <c r="I244" s="56">
        <f>IFERROR(B244/A244,"")</f>
        <v>2.8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25</v>
      </c>
      <c r="B245" s="61">
        <v>111</v>
      </c>
      <c r="C245" s="53">
        <v>1</v>
      </c>
      <c r="D245" s="61">
        <v>26</v>
      </c>
      <c r="E245" s="54"/>
      <c r="F245" s="54"/>
      <c r="G245" s="54"/>
      <c r="H245" s="54">
        <v>1</v>
      </c>
      <c r="I245" s="56">
        <f>IF(A245&lt;&gt;0,(B245-(B244-D244))/(A245-A244),"")</f>
        <v>11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30</v>
      </c>
      <c r="B246" s="61">
        <v>146</v>
      </c>
      <c r="C246" s="53"/>
      <c r="D246" s="61"/>
      <c r="E246" s="54"/>
      <c r="F246" s="54"/>
      <c r="G246" s="54"/>
      <c r="H246" s="54"/>
      <c r="I246" s="56">
        <f>IF(A246&lt;&gt;0,(B246-(B245-D245))/(A246-A245),"")</f>
        <v>12.2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35</v>
      </c>
      <c r="B247" s="61">
        <f>175+35</f>
        <v>210</v>
      </c>
      <c r="C247" s="53">
        <v>2</v>
      </c>
      <c r="D247" s="61">
        <f>35+35</f>
        <v>70</v>
      </c>
      <c r="E247" s="54"/>
      <c r="F247" s="54"/>
      <c r="G247" s="54"/>
      <c r="H247" s="54"/>
      <c r="I247" s="56">
        <f t="shared" ref="I247:I263" si="9">IF(A247&lt;&gt;0,(B247-(B246-D246))/(A247-A246),"")</f>
        <v>12.8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40</v>
      </c>
      <c r="B248" s="61">
        <v>207</v>
      </c>
      <c r="C248" s="53"/>
      <c r="D248" s="61"/>
      <c r="E248" s="54"/>
      <c r="F248" s="54"/>
      <c r="G248" s="54"/>
      <c r="H248" s="54"/>
      <c r="I248" s="56">
        <f t="shared" si="9"/>
        <v>13.4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45</v>
      </c>
      <c r="B249" s="61">
        <f>241+35</f>
        <v>276</v>
      </c>
      <c r="C249" s="53">
        <v>3</v>
      </c>
      <c r="D249" s="61">
        <f>35+35</f>
        <v>70</v>
      </c>
      <c r="E249" s="54"/>
      <c r="F249" s="54"/>
      <c r="G249" s="54"/>
      <c r="H249" s="54"/>
      <c r="I249" s="56">
        <f t="shared" si="9"/>
        <v>13.8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>
        <v>50</v>
      </c>
      <c r="B250" s="61">
        <v>274</v>
      </c>
      <c r="C250" s="53"/>
      <c r="D250" s="61"/>
      <c r="E250" s="54"/>
      <c r="F250" s="54"/>
      <c r="G250" s="54"/>
      <c r="H250" s="54"/>
      <c r="I250" s="56">
        <f t="shared" si="9"/>
        <v>13.6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3">
        <v>55</v>
      </c>
      <c r="B251" s="61">
        <f>306+35</f>
        <v>341</v>
      </c>
      <c r="C251" s="53">
        <v>4</v>
      </c>
      <c r="D251" s="61">
        <f>35+35</f>
        <v>70</v>
      </c>
      <c r="E251" s="54"/>
      <c r="F251" s="54"/>
      <c r="G251" s="54"/>
      <c r="H251" s="54"/>
      <c r="I251" s="56">
        <f t="shared" si="9"/>
        <v>13.4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3">
        <v>60</v>
      </c>
      <c r="B252" s="61">
        <v>336</v>
      </c>
      <c r="C252" s="53"/>
      <c r="D252" s="61"/>
      <c r="E252" s="54"/>
      <c r="F252" s="54"/>
      <c r="G252" s="54"/>
      <c r="H252" s="54"/>
      <c r="I252" s="56">
        <f t="shared" si="9"/>
        <v>13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3">
        <v>65</v>
      </c>
      <c r="B253" s="61">
        <f>363+35</f>
        <v>398</v>
      </c>
      <c r="C253" s="53">
        <v>5</v>
      </c>
      <c r="D253" s="61">
        <f>35+35</f>
        <v>70</v>
      </c>
      <c r="E253" s="54"/>
      <c r="F253" s="54"/>
      <c r="G253" s="54"/>
      <c r="H253" s="54"/>
      <c r="I253" s="56">
        <f t="shared" si="9"/>
        <v>12.4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3">
        <v>70</v>
      </c>
      <c r="B254" s="61">
        <v>387</v>
      </c>
      <c r="C254" s="53"/>
      <c r="D254" s="61"/>
      <c r="E254" s="54"/>
      <c r="F254" s="54"/>
      <c r="G254" s="54"/>
      <c r="H254" s="54"/>
      <c r="I254" s="56">
        <f t="shared" si="9"/>
        <v>11.8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3">
        <v>75</v>
      </c>
      <c r="B255" s="61">
        <f>407+35</f>
        <v>442</v>
      </c>
      <c r="C255" s="53">
        <v>6</v>
      </c>
      <c r="D255" s="61">
        <f>35+35</f>
        <v>70</v>
      </c>
      <c r="E255" s="54"/>
      <c r="F255" s="54"/>
      <c r="G255" s="54"/>
      <c r="H255" s="54"/>
      <c r="I255" s="56">
        <f t="shared" si="9"/>
        <v>11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3">
        <v>80</v>
      </c>
      <c r="B256" s="61">
        <v>424</v>
      </c>
      <c r="C256" s="53"/>
      <c r="D256" s="61"/>
      <c r="E256" s="57"/>
      <c r="F256" s="57"/>
      <c r="G256" s="57"/>
      <c r="H256" s="57"/>
      <c r="I256" s="56">
        <f t="shared" si="9"/>
        <v>10.4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61">
        <v>85</v>
      </c>
      <c r="B257" s="61">
        <f>438+34</f>
        <v>472</v>
      </c>
      <c r="C257" s="61">
        <v>7</v>
      </c>
      <c r="D257" s="61">
        <f>34+33</f>
        <v>67</v>
      </c>
      <c r="E257" s="66"/>
      <c r="F257" s="66"/>
      <c r="G257" s="66"/>
      <c r="H257" s="66"/>
      <c r="I257" s="56">
        <f t="shared" si="9"/>
        <v>9.6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61">
        <v>95</v>
      </c>
      <c r="B258" s="53">
        <f>463+31</f>
        <v>494</v>
      </c>
      <c r="C258" s="61">
        <v>8</v>
      </c>
      <c r="D258" s="53">
        <f>31+30</f>
        <v>61</v>
      </c>
      <c r="E258" s="57"/>
      <c r="F258" s="57"/>
      <c r="G258" s="57"/>
      <c r="H258" s="57"/>
      <c r="I258" s="56">
        <f t="shared" si="9"/>
        <v>8.9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>
        <v>105</v>
      </c>
      <c r="B259" s="53">
        <f>484+29</f>
        <v>513</v>
      </c>
      <c r="C259" s="53">
        <v>9</v>
      </c>
      <c r="D259" s="53">
        <f>29+28</f>
        <v>57</v>
      </c>
      <c r="E259" s="57"/>
      <c r="F259" s="57"/>
      <c r="G259" s="57"/>
      <c r="H259" s="57"/>
      <c r="I259" s="56">
        <f t="shared" si="9"/>
        <v>8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>
        <v>115</v>
      </c>
      <c r="B260" s="53">
        <f>501+27</f>
        <v>528</v>
      </c>
      <c r="C260" s="53">
        <v>10</v>
      </c>
      <c r="D260" s="53">
        <f>27+26</f>
        <v>53</v>
      </c>
      <c r="E260" s="57"/>
      <c r="F260" s="57"/>
      <c r="G260" s="57"/>
      <c r="H260" s="57"/>
      <c r="I260" s="56">
        <f t="shared" si="9"/>
        <v>7.2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>
        <v>125</v>
      </c>
      <c r="B261" s="53">
        <f>513+26</f>
        <v>539</v>
      </c>
      <c r="C261" s="53">
        <v>11</v>
      </c>
      <c r="D261" s="53">
        <f>26+25</f>
        <v>51</v>
      </c>
      <c r="E261" s="57"/>
      <c r="F261" s="57"/>
      <c r="G261" s="57"/>
      <c r="H261" s="57"/>
      <c r="I261" s="56">
        <f t="shared" si="9"/>
        <v>6.4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>
        <v>135</v>
      </c>
      <c r="B262" s="53">
        <f>521+25</f>
        <v>546</v>
      </c>
      <c r="C262" s="53">
        <v>12</v>
      </c>
      <c r="D262" s="53">
        <f>25+24</f>
        <v>49</v>
      </c>
      <c r="E262" s="57"/>
      <c r="F262" s="57"/>
      <c r="G262" s="57"/>
      <c r="H262" s="57"/>
      <c r="I262" s="56">
        <f t="shared" si="9"/>
        <v>5.8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>
        <v>150</v>
      </c>
      <c r="B263" s="53">
        <f>524+24+23</f>
        <v>571</v>
      </c>
      <c r="C263" s="53">
        <v>13</v>
      </c>
      <c r="D263" s="53">
        <f>B263</f>
        <v>571</v>
      </c>
      <c r="E263" s="57"/>
      <c r="F263" s="57"/>
      <c r="G263" s="57"/>
      <c r="H263" s="57"/>
      <c r="I263" s="56">
        <f t="shared" si="9"/>
        <v>4.9333333333333336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>Bouleau verruqueux</v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9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>
        <v>10</v>
      </c>
      <c r="B270" s="61">
        <v>9</v>
      </c>
      <c r="C270" s="61"/>
      <c r="D270" s="61"/>
      <c r="E270" s="54"/>
      <c r="F270" s="54"/>
      <c r="G270" s="54"/>
      <c r="H270" s="54"/>
      <c r="I270" s="56">
        <f>IFERROR(B270/A270,"")</f>
        <v>0.9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>
        <v>15</v>
      </c>
      <c r="B271" s="61">
        <v>49</v>
      </c>
      <c r="C271" s="61"/>
      <c r="D271" s="61"/>
      <c r="E271" s="54"/>
      <c r="F271" s="54"/>
      <c r="G271" s="54"/>
      <c r="H271" s="54"/>
      <c r="I271" s="56">
        <f>IF(A271&lt;&gt;0,(B271-(B270-D270))/(A271-A270),"")</f>
        <v>8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>
        <v>20</v>
      </c>
      <c r="B272" s="61">
        <v>99</v>
      </c>
      <c r="C272" s="61">
        <v>1</v>
      </c>
      <c r="D272" s="61">
        <v>40</v>
      </c>
      <c r="E272" s="54"/>
      <c r="F272" s="54"/>
      <c r="G272" s="54"/>
      <c r="H272" s="54">
        <v>1</v>
      </c>
      <c r="I272" s="56">
        <f t="shared" ref="I272:I289" si="10">IF(A272&lt;&gt;0,(B272-(B271-D271))/(A272-A271),"")</f>
        <v>10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>
        <v>25</v>
      </c>
      <c r="B273" s="61">
        <v>102</v>
      </c>
      <c r="C273" s="61"/>
      <c r="D273" s="61"/>
      <c r="E273" s="54"/>
      <c r="F273" s="54"/>
      <c r="G273" s="54"/>
      <c r="H273" s="54"/>
      <c r="I273" s="56">
        <f t="shared" si="10"/>
        <v>8.6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>
        <v>30</v>
      </c>
      <c r="B274" s="61">
        <v>146</v>
      </c>
      <c r="C274" s="61"/>
      <c r="D274" s="61"/>
      <c r="E274" s="54"/>
      <c r="F274" s="54"/>
      <c r="G274" s="54"/>
      <c r="H274" s="54"/>
      <c r="I274" s="56">
        <f t="shared" si="10"/>
        <v>8.8000000000000007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>
        <v>35</v>
      </c>
      <c r="B275" s="61">
        <v>190</v>
      </c>
      <c r="C275" s="61">
        <v>2</v>
      </c>
      <c r="D275" s="61">
        <v>76</v>
      </c>
      <c r="E275" s="54"/>
      <c r="F275" s="54"/>
      <c r="G275" s="54"/>
      <c r="H275" s="54"/>
      <c r="I275" s="56">
        <f t="shared" si="10"/>
        <v>8.8000000000000007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>
        <v>40</v>
      </c>
      <c r="B276" s="61">
        <v>152</v>
      </c>
      <c r="C276" s="61"/>
      <c r="D276" s="61"/>
      <c r="E276" s="54"/>
      <c r="F276" s="54"/>
      <c r="G276" s="54"/>
      <c r="H276" s="54"/>
      <c r="I276" s="56">
        <f t="shared" si="10"/>
        <v>7.6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281">
        <v>45</v>
      </c>
      <c r="B277" s="61">
        <v>190</v>
      </c>
      <c r="C277" s="61"/>
      <c r="D277" s="61"/>
      <c r="E277" s="54"/>
      <c r="F277" s="54"/>
      <c r="G277" s="54"/>
      <c r="H277" s="54"/>
      <c r="I277" s="56">
        <f t="shared" si="10"/>
        <v>7.6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281">
        <v>50</v>
      </c>
      <c r="B278" s="61">
        <v>228</v>
      </c>
      <c r="C278" s="61"/>
      <c r="D278" s="61"/>
      <c r="E278" s="54"/>
      <c r="F278" s="54"/>
      <c r="G278" s="54"/>
      <c r="H278" s="54"/>
      <c r="I278" s="56">
        <f t="shared" si="10"/>
        <v>7.6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281">
        <v>55</v>
      </c>
      <c r="B279" s="61">
        <v>266</v>
      </c>
      <c r="C279" s="61"/>
      <c r="D279" s="61"/>
      <c r="E279" s="54"/>
      <c r="F279" s="54"/>
      <c r="G279" s="54"/>
      <c r="H279" s="54"/>
      <c r="I279" s="56">
        <f t="shared" si="10"/>
        <v>7.6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281">
        <v>60</v>
      </c>
      <c r="B280" s="61">
        <v>303</v>
      </c>
      <c r="C280" s="61">
        <v>3</v>
      </c>
      <c r="D280" s="61">
        <f>B280</f>
        <v>303</v>
      </c>
      <c r="E280" s="54"/>
      <c r="F280" s="54"/>
      <c r="G280" s="54"/>
      <c r="H280" s="54"/>
      <c r="I280" s="56">
        <f t="shared" si="10"/>
        <v>7.4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281"/>
      <c r="B281" s="61"/>
      <c r="C281" s="61"/>
      <c r="D281" s="61"/>
      <c r="E281" s="54"/>
      <c r="F281" s="54"/>
      <c r="G281" s="54"/>
      <c r="H281" s="5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281"/>
      <c r="B282" s="61"/>
      <c r="C282" s="61"/>
      <c r="D282" s="61"/>
      <c r="E282" s="54"/>
      <c r="F282" s="54"/>
      <c r="G282" s="54"/>
      <c r="H282" s="54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281"/>
      <c r="B283" s="61"/>
      <c r="C283" s="61"/>
      <c r="D283" s="61"/>
      <c r="E283" s="54"/>
      <c r="F283" s="54"/>
      <c r="G283" s="54"/>
      <c r="H283" s="54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281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281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281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281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281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281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1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9" bestFit="1" customWidth="1"/>
    <col min="2" max="4" width="11.42578125" style="69"/>
    <col min="5" max="5" width="9.5703125" style="69" customWidth="1"/>
    <col min="6" max="7" width="11.42578125" style="69"/>
    <col min="8" max="8" width="10.7109375" style="69" customWidth="1"/>
    <col min="9" max="9" width="9.42578125" style="69" customWidth="1"/>
    <col min="10" max="11" width="10.5703125" style="69" bestFit="1" customWidth="1"/>
    <col min="12" max="12" width="14" style="69" bestFit="1" customWidth="1"/>
    <col min="13" max="13" width="14" style="69" customWidth="1"/>
    <col min="14" max="23" width="11.42578125" style="69"/>
    <col min="24" max="24" width="11.7109375" style="69" bestFit="1" customWidth="1"/>
    <col min="25" max="25" width="14.5703125" style="69" bestFit="1" customWidth="1"/>
    <col min="26" max="26" width="12.42578125" style="69" bestFit="1" customWidth="1"/>
    <col min="27" max="27" width="9.7109375" style="69" bestFit="1" customWidth="1"/>
    <col min="28" max="28" width="11" style="69" bestFit="1" customWidth="1"/>
    <col min="29" max="29" width="9.42578125" style="69" bestFit="1" customWidth="1"/>
    <col min="30" max="31" width="9.42578125" style="69" customWidth="1"/>
    <col min="32" max="32" width="11.42578125" style="69"/>
    <col min="33" max="34" width="14" style="69" bestFit="1" customWidth="1"/>
    <col min="35" max="35" width="10.5703125" style="69" bestFit="1" customWidth="1"/>
    <col min="36" max="36" width="9.42578125" style="69" bestFit="1" customWidth="1"/>
    <col min="37" max="38" width="10.5703125" style="69" bestFit="1" customWidth="1"/>
    <col min="39" max="41" width="10.5703125" style="69" customWidth="1"/>
    <col min="42" max="42" width="9" style="69" bestFit="1" customWidth="1"/>
    <col min="43" max="43" width="10.5703125" style="69" bestFit="1" customWidth="1"/>
    <col min="44" max="44" width="9.28515625" style="69" bestFit="1" customWidth="1"/>
    <col min="45" max="45" width="11.7109375" style="69" bestFit="1" customWidth="1"/>
    <col min="46" max="46" width="8.42578125" style="69" bestFit="1" customWidth="1"/>
    <col min="47" max="47" width="9.42578125" style="69" bestFit="1" customWidth="1"/>
    <col min="48" max="48" width="9.7109375" style="69" bestFit="1" customWidth="1"/>
    <col min="49" max="49" width="11" style="69" bestFit="1" customWidth="1"/>
    <col min="50" max="50" width="9.42578125" style="69" bestFit="1" customWidth="1"/>
    <col min="51" max="52" width="9.42578125" style="69" customWidth="1"/>
    <col min="53" max="53" width="10.5703125" style="69" bestFit="1" customWidth="1"/>
    <col min="54" max="54" width="14.28515625" style="69" customWidth="1"/>
    <col min="55" max="55" width="14" style="69" customWidth="1"/>
    <col min="56" max="56" width="10.5703125" style="69" bestFit="1" customWidth="1"/>
    <col min="57" max="57" width="9.42578125" style="69" bestFit="1" customWidth="1"/>
    <col min="58" max="59" width="10.5703125" style="69" bestFit="1" customWidth="1"/>
    <col min="60" max="62" width="10.5703125" style="69" customWidth="1"/>
    <col min="63" max="63" width="9" style="69" bestFit="1" customWidth="1"/>
    <col min="64" max="64" width="10.5703125" style="69" bestFit="1" customWidth="1"/>
    <col min="65" max="65" width="9.28515625" style="69" bestFit="1" customWidth="1"/>
    <col min="66" max="66" width="11.7109375" style="69" bestFit="1" customWidth="1"/>
    <col min="67" max="67" width="8.42578125" style="69" bestFit="1" customWidth="1"/>
    <col min="68" max="68" width="9.42578125" style="69" bestFit="1" customWidth="1"/>
    <col min="69" max="69" width="9.7109375" style="69" bestFit="1" customWidth="1"/>
    <col min="70" max="70" width="11" style="69" bestFit="1" customWidth="1"/>
    <col min="71" max="71" width="9.42578125" style="69" bestFit="1" customWidth="1"/>
    <col min="72" max="73" width="9.42578125" style="69" customWidth="1"/>
    <col min="74" max="74" width="10.5703125" style="69" bestFit="1" customWidth="1"/>
    <col min="75" max="75" width="14" style="69" bestFit="1" customWidth="1"/>
    <col min="76" max="76" width="13.85546875" style="69" customWidth="1"/>
    <col min="77" max="77" width="10.5703125" style="69" bestFit="1" customWidth="1"/>
    <col min="78" max="78" width="9.42578125" style="69" bestFit="1" customWidth="1"/>
    <col min="79" max="80" width="10.5703125" style="69" bestFit="1" customWidth="1"/>
    <col min="81" max="83" width="10.5703125" style="69" customWidth="1"/>
    <col min="84" max="84" width="11.42578125" style="69"/>
    <col min="85" max="85" width="10.5703125" style="69" bestFit="1" customWidth="1"/>
    <col min="86" max="86" width="9.28515625" style="69" bestFit="1" customWidth="1"/>
    <col min="87" max="87" width="11.7109375" style="69" bestFit="1" customWidth="1"/>
    <col min="88" max="88" width="8.42578125" style="69" bestFit="1" customWidth="1"/>
    <col min="89" max="89" width="9.42578125" style="69" bestFit="1" customWidth="1"/>
    <col min="90" max="90" width="9.7109375" style="69" bestFit="1" customWidth="1"/>
    <col min="91" max="91" width="11" style="69" bestFit="1" customWidth="1"/>
    <col min="92" max="92" width="9.42578125" style="69" bestFit="1" customWidth="1"/>
    <col min="93" max="94" width="9.42578125" style="69" customWidth="1"/>
    <col min="95" max="95" width="11.42578125" style="69"/>
    <col min="96" max="97" width="14" style="69" customWidth="1"/>
    <col min="98" max="98" width="10.5703125" style="69" bestFit="1" customWidth="1"/>
    <col min="99" max="99" width="9.42578125" style="69" bestFit="1" customWidth="1"/>
    <col min="100" max="101" width="10.5703125" style="69" bestFit="1" customWidth="1"/>
    <col min="102" max="104" width="10.5703125" style="69" customWidth="1"/>
    <col min="105" max="105" width="9" style="69" bestFit="1" customWidth="1"/>
    <col min="106" max="106" width="10.5703125" style="69" bestFit="1" customWidth="1"/>
    <col min="107" max="107" width="9.28515625" style="69" bestFit="1" customWidth="1"/>
    <col min="108" max="108" width="11.7109375" style="69" bestFit="1" customWidth="1"/>
    <col min="109" max="109" width="8.42578125" style="69" bestFit="1" customWidth="1"/>
    <col min="110" max="110" width="9.42578125" style="69" bestFit="1" customWidth="1"/>
    <col min="111" max="111" width="9.7109375" style="69" bestFit="1" customWidth="1"/>
    <col min="112" max="112" width="11" style="69" bestFit="1" customWidth="1"/>
    <col min="113" max="113" width="9.42578125" style="69" bestFit="1" customWidth="1"/>
    <col min="114" max="115" width="9.42578125" style="69" customWidth="1"/>
    <col min="116" max="116" width="10.5703125" style="69" bestFit="1" customWidth="1"/>
    <col min="117" max="117" width="14.28515625" style="69" customWidth="1"/>
    <col min="118" max="118" width="14" style="69" bestFit="1" customWidth="1"/>
    <col min="119" max="119" width="10.5703125" style="69" bestFit="1" customWidth="1"/>
    <col min="120" max="120" width="9.42578125" style="69" bestFit="1" customWidth="1"/>
    <col min="121" max="122" width="10.5703125" style="69" bestFit="1" customWidth="1"/>
    <col min="123" max="125" width="10.5703125" style="69" customWidth="1"/>
    <col min="126" max="126" width="9" style="69" bestFit="1" customWidth="1"/>
    <col min="127" max="127" width="10.5703125" style="69" bestFit="1" customWidth="1"/>
    <col min="128" max="128" width="9.28515625" style="69" bestFit="1" customWidth="1"/>
    <col min="129" max="129" width="11.7109375" style="69" bestFit="1" customWidth="1"/>
    <col min="130" max="130" width="8.42578125" style="69" bestFit="1" customWidth="1"/>
    <col min="131" max="131" width="9.42578125" style="69" bestFit="1" customWidth="1"/>
    <col min="132" max="132" width="9.7109375" style="69" bestFit="1" customWidth="1"/>
    <col min="133" max="133" width="11" style="69" bestFit="1" customWidth="1"/>
    <col min="134" max="134" width="9.42578125" style="69" bestFit="1" customWidth="1"/>
    <col min="135" max="136" width="9.42578125" style="69" customWidth="1"/>
    <col min="137" max="137" width="10.5703125" style="69" bestFit="1" customWidth="1"/>
    <col min="138" max="139" width="14" style="69" customWidth="1"/>
    <col min="140" max="140" width="10.5703125" style="69" bestFit="1" customWidth="1"/>
    <col min="141" max="141" width="9.42578125" style="69" bestFit="1" customWidth="1"/>
    <col min="142" max="143" width="10.5703125" style="69" bestFit="1" customWidth="1"/>
    <col min="144" max="146" width="10.5703125" style="69" customWidth="1"/>
    <col min="147" max="147" width="9" style="69" bestFit="1" customWidth="1"/>
    <col min="148" max="148" width="10.5703125" style="69" bestFit="1" customWidth="1"/>
    <col min="149" max="149" width="9.28515625" style="69" bestFit="1" customWidth="1"/>
    <col min="150" max="150" width="11.7109375" style="69" bestFit="1" customWidth="1"/>
    <col min="151" max="151" width="8.42578125" style="69" bestFit="1" customWidth="1"/>
    <col min="152" max="152" width="9.42578125" style="69" bestFit="1" customWidth="1"/>
    <col min="153" max="153" width="9.7109375" style="69" bestFit="1" customWidth="1"/>
    <col min="154" max="154" width="11" style="69" bestFit="1" customWidth="1"/>
    <col min="155" max="155" width="9.42578125" style="69" bestFit="1" customWidth="1"/>
    <col min="156" max="157" width="9.42578125" style="69" customWidth="1"/>
    <col min="158" max="158" width="11.42578125" style="69"/>
    <col min="159" max="160" width="14" style="69" bestFit="1" customWidth="1"/>
    <col min="161" max="161" width="10.5703125" style="69" bestFit="1" customWidth="1"/>
    <col min="162" max="162" width="9.42578125" style="69" bestFit="1" customWidth="1"/>
    <col min="163" max="164" width="10.5703125" style="69" bestFit="1" customWidth="1"/>
    <col min="165" max="167" width="10.5703125" style="69" customWidth="1"/>
    <col min="168" max="168" width="9" style="69" bestFit="1" customWidth="1"/>
    <col min="169" max="169" width="10.5703125" style="69" bestFit="1" customWidth="1"/>
    <col min="170" max="170" width="9.28515625" style="69" bestFit="1" customWidth="1"/>
    <col min="171" max="171" width="11.7109375" style="69" bestFit="1" customWidth="1"/>
    <col min="172" max="172" width="8.140625" style="69" bestFit="1" customWidth="1"/>
    <col min="173" max="173" width="9.42578125" style="69" bestFit="1" customWidth="1"/>
    <col min="174" max="174" width="9.7109375" style="69" bestFit="1" customWidth="1"/>
    <col min="175" max="175" width="11" style="69" bestFit="1" customWidth="1"/>
    <col min="176" max="176" width="9.42578125" style="69" bestFit="1" customWidth="1"/>
    <col min="177" max="178" width="9.42578125" style="69" customWidth="1"/>
    <col min="179" max="179" width="10.5703125" style="69" bestFit="1" customWidth="1"/>
    <col min="180" max="181" width="14" style="69" bestFit="1" customWidth="1"/>
    <col min="182" max="182" width="10.5703125" style="69" bestFit="1" customWidth="1"/>
    <col min="183" max="183" width="9.42578125" style="69" bestFit="1" customWidth="1"/>
    <col min="184" max="185" width="10.5703125" style="69" bestFit="1" customWidth="1"/>
    <col min="186" max="188" width="10.5703125" style="69" customWidth="1"/>
    <col min="189" max="189" width="9" style="69" bestFit="1" customWidth="1"/>
    <col min="190" max="190" width="10.5703125" style="69" bestFit="1" customWidth="1"/>
    <col min="191" max="191" width="9.28515625" style="69" bestFit="1" customWidth="1"/>
    <col min="192" max="192" width="11.42578125" style="69"/>
    <col min="193" max="193" width="8.42578125" style="69" bestFit="1" customWidth="1"/>
    <col min="194" max="194" width="9.42578125" style="69" bestFit="1" customWidth="1"/>
    <col min="195" max="195" width="9.7109375" style="69" bestFit="1" customWidth="1"/>
    <col min="196" max="196" width="11" style="69" bestFit="1" customWidth="1"/>
    <col min="197" max="197" width="9.42578125" style="69" bestFit="1" customWidth="1"/>
    <col min="198" max="199" width="9.42578125" style="69" customWidth="1"/>
    <col min="200" max="200" width="10.5703125" style="69" bestFit="1" customWidth="1"/>
    <col min="201" max="201" width="14" style="69" customWidth="1"/>
    <col min="202" max="202" width="14.28515625" style="69" customWidth="1"/>
    <col min="203" max="203" width="10.5703125" style="69" bestFit="1" customWidth="1"/>
    <col min="204" max="204" width="9.42578125" style="69" bestFit="1" customWidth="1"/>
    <col min="205" max="206" width="10.5703125" style="69" bestFit="1" customWidth="1"/>
    <col min="207" max="209" width="10.5703125" style="69" customWidth="1"/>
    <col min="210" max="210" width="9" style="69" bestFit="1" customWidth="1"/>
    <col min="211" max="211" width="10.5703125" style="69" bestFit="1" customWidth="1"/>
    <col min="212" max="212" width="9.28515625" style="69" bestFit="1" customWidth="1"/>
    <col min="213" max="213" width="11.7109375" style="69" bestFit="1" customWidth="1"/>
    <col min="214" max="214" width="8.42578125" style="69" bestFit="1" customWidth="1"/>
    <col min="215" max="215" width="9.42578125" style="69" bestFit="1" customWidth="1"/>
    <col min="216" max="216" width="9.7109375" style="69" bestFit="1" customWidth="1"/>
    <col min="217" max="217" width="11" style="69" bestFit="1" customWidth="1"/>
    <col min="218" max="218" width="9.42578125" style="69" bestFit="1" customWidth="1"/>
    <col min="219" max="16384" width="11.42578125" style="69"/>
  </cols>
  <sheetData>
    <row r="1" spans="1:218" s="5" customFormat="1" ht="27" thickBot="1" x14ac:dyDescent="0.45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Chêne sessile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Erable sycomore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Charme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Merisier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Alisier torminal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Cormier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>Tilleul</v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>Châtaignier</v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>Hêtre</v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>Bouleau verruqueux</v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75.75" thickBot="1" x14ac:dyDescent="0.3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5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8">
        <f>(B3+E3+F3)*44/12+(C3+D3)*0.475*44/12</f>
        <v>183.33333333333334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165</v>
      </c>
      <c r="S3" s="60">
        <f ca="1">AVERAGE(OFFSET($R$3,0,0,'Données projet'!$E$9+1,1))-AVERAGE(OFFSET($H$3,0,0,'Données projet'!$E$9+1,1))</f>
        <v>570.08763950759544</v>
      </c>
      <c r="T3" s="60">
        <f>IF('Données projet'!E9&gt;30,$R$33-$H$33,LOOKUP('Données projet'!$E$9,$A$3:$A$203,R3:R203)-LOOKUP('Données projet'!$E$9,$A$3:$A$203,$H$3:$H$203))</f>
        <v>297.32483725004136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165</v>
      </c>
      <c r="AN3" s="60">
        <f ca="1">AVERAGE(OFFSET($AM$3,0,0,'Données projet'!$E$10+1,1))-AVERAGE(OFFSET($H$3,0,0,'Données projet'!$E$10+1,1))</f>
        <v>394.49874384716014</v>
      </c>
      <c r="AO3" s="60">
        <f>IF('Données projet'!E10&gt;30,$AM$33-$H$33,LOOKUP('Données projet'!$E$10,$A$3:$A$203,AM3:AM203)-LOOKUP('Données projet'!$E$10,$A$3:$A$203,$H$3:$H$203))</f>
        <v>423.72519584013378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165</v>
      </c>
      <c r="BI3" s="60">
        <f ca="1">AVERAGE(OFFSET($BH$3,0,0,'Données projet'!$E$11+1,1))-AVERAGE(OFFSET($H$3,0,0,'Données projet'!$E$11+1,1))</f>
        <v>441.15969139782891</v>
      </c>
      <c r="BJ3" s="60">
        <f>IF('Données projet'!E11&gt;30,$BH$33-$H$33,LOOKUP('Données projet'!$E$11,$A$3:$A$203,BH3:BH203)-LOOKUP('Données projet'!$E$11,$A$3:$A$203,$H$3:$H$203))</f>
        <v>315.06466790224783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165</v>
      </c>
      <c r="CD3" s="60">
        <f ca="1">AVERAGE(OFFSET($CC$3,0,0,'Données projet'!$E$12+1,1))-AVERAGE(OFFSET($H$3,0,0,'Données projet'!$E$12+1,1))</f>
        <v>312.59632808777332</v>
      </c>
      <c r="CE3" s="60">
        <f>IF('Données projet'!E12&gt;30,$CC$33-$H$33,LOOKUP('Données projet'!$E$12,$A$3:$A$203,CC3:CC203)-LOOKUP('Données projet'!$E$12,$A$3:$A$203,$H$3:$H$203))</f>
        <v>302.59481222418219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165</v>
      </c>
      <c r="CY3" s="60">
        <f ca="1">AVERAGE(OFFSET($CX$3,0,0,'Données projet'!$E$13+1,1))-AVERAGE(OFFSET($H$3,0,0,'Données projet'!$E$13+1,1))</f>
        <v>603.52431522262032</v>
      </c>
      <c r="CZ3" s="60">
        <f>IF('Données projet'!E13&gt;30,$CX$33-$H$33,LOOKUP('Données projet'!$E$13,$A$3:$A$203,CX3:CX203)-LOOKUP('Données projet'!$E$13,$A$3:$A$203,$H$3:$H$203))</f>
        <v>313.56299786481338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165</v>
      </c>
      <c r="DT3" s="60">
        <f ca="1">AVERAGE(OFFSET($DS$3,0,0,'Données projet'!$E$14+1,1))-AVERAGE(OFFSET($H$3,0,0,'Données projet'!$E$14+1,1))</f>
        <v>661.93515988633499</v>
      </c>
      <c r="DU3" s="60">
        <f>IF('Données projet'!E14&gt;30,$DS$33-$H$33,LOOKUP('Données projet'!$E$14,$A$3:$A$203,DS3:DS203)-LOOKUP('Données projet'!$E$14,$A$3:$A$203,$H$3:$H$203))</f>
        <v>341.9250949809848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165</v>
      </c>
      <c r="EO3" s="60">
        <f ca="1">AVERAGE(OFFSET($EN$3,0,0,'Données projet'!$E$15+1,1))-AVERAGE(OFFSET($H$3,0,0,'Données projet'!$E$15+1,1))</f>
        <v>396.0878652679051</v>
      </c>
      <c r="EP3" s="60">
        <f>IF('Données projet'!E15&gt;30,$EN$33-$H$33,LOOKUP('Données projet'!$E$15,$A$3:$A$203,EN3:EN203)-LOOKUP('Données projet'!$E$15,$A$3:$A$203,$H$3:$H$203))</f>
        <v>327.26339199235406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165</v>
      </c>
      <c r="FJ3" s="60">
        <f ca="1">AVERAGE(OFFSET($FI$3,0,0,'Données projet'!$E$16+1,1))-AVERAGE(OFFSET($H$3,0,0,'Données projet'!$E$16+1,1))</f>
        <v>368.35775920359396</v>
      </c>
      <c r="FK3" s="60">
        <f>IF('Données projet'!E16&gt;30,$FI$33-$H$33,LOOKUP('Données projet'!$E$16,$A$3:$A$203,FI3:FI203)-LOOKUP('Données projet'!$E$16,$A$3:$A$203,$H$3:$H$203))</f>
        <v>395.5218438652638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0">
        <f>GC3+(FU3+FV3)*44/12</f>
        <v>165</v>
      </c>
      <c r="GE3" s="60">
        <f ca="1">AVERAGE(OFFSET($GD$3,0,0,'Données projet'!$E$17+1,1))-AVERAGE(OFFSET($H$3,0,0,'Données projet'!$E$17+1,1))</f>
        <v>701.44583662096022</v>
      </c>
      <c r="GF3" s="60">
        <f>IF('Données projet'!E17&gt;30,$GD$33-$H$33,LOOKUP('Données projet'!$E$17,$A$3:$A$203,GD3:GD203)-LOOKUP('Données projet'!$E$17,$A$3:$A$203,$H$3:$H$203))</f>
        <v>331.25104323342907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0">
        <f>GX3+(GP3+GQ3)*44/12</f>
        <v>165</v>
      </c>
      <c r="GZ3" s="60">
        <f ca="1">AVERAGE(OFFSET($GY$3,0,0,'Données projet'!$E$18+1,1))-AVERAGE(OFFSET($H$3,0,0,'Données projet'!$E$18+1,1))</f>
        <v>272.69564942740931</v>
      </c>
      <c r="HA3" s="60">
        <f>IF('Données projet'!E18&gt;30,$GY$33-$H$33,LOOKUP('Données projet'!$E$18,$A$3:$A$203,GY3:GY203)-LOOKUP('Données projet'!$E$18,$A$3:$A$203,$H$3:$H$203))</f>
        <v>316.57989180609252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5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8">
        <f t="shared" ref="H4:H67" si="1">(B4+E4+F4)*44/12+(C4+D4)*0.475*44/12</f>
        <v>183.33333333333334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0">
        <f t="shared" si="0"/>
        <v>170.65342372509684</v>
      </c>
      <c r="S4" s="60">
        <f ca="1">AVERAGE(OFFSET($R$3,0,0,'Données projet'!$E$9+1,1))-AVERAGE(OFFSET($H$3,0,0,'Données projet'!$E$9+1,1))</f>
        <v>570.08763950759544</v>
      </c>
      <c r="T4" s="60">
        <f>$T$3</f>
        <v>297.32483725004136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1.1099999999999999</v>
      </c>
      <c r="AI4" s="14">
        <f>IF('Données projet'!$A$62&gt;35,AI3+AH4-AQ3,IF(A4&lt;'Données projet'!$A$62,$AF$205^A4,IF(A4='Données projet'!$A$62,'Données projet'!$B$62,AI3+AH4-AQ3)))</f>
        <v>1.2721323532877689</v>
      </c>
      <c r="AJ4" s="14">
        <f>AI4*VLOOKUP('Données projet'!$B$10,Paramètres!$A$1:$I$89,3,0)*VLOOKUP('Données projet'!$B$10,Paramètres!$A$1:$I$89,5,0)</f>
        <v>1.0121085002757488</v>
      </c>
      <c r="AK4" s="14">
        <f>EXP(-1.0587+0.8836*LN(AJ4)+0.284)</f>
        <v>0.46576913511432322</v>
      </c>
      <c r="AL4" s="22">
        <f t="shared" ref="AL4:AL67" si="4">(AJ4+AK4)*0.475*44/12</f>
        <v>2.5739702149710419</v>
      </c>
      <c r="AM4" s="60">
        <f t="shared" ref="AM4:AM67" si="5">AL4+(AD4+AE4)*44/12</f>
        <v>170.38640416789488</v>
      </c>
      <c r="AN4" s="60">
        <f ca="1">AVERAGE(OFFSET($AM$3,0,0,'Données projet'!$E$10+1,1))-AVERAGE(OFFSET($H$3,0,0,'Données projet'!$E$10+1,1))</f>
        <v>394.49874384716014</v>
      </c>
      <c r="AO4" s="60">
        <f>$AO$3</f>
        <v>423.72519584013378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3.1623931623931623</v>
      </c>
      <c r="BD4" s="13">
        <f>IF('Données projet'!$A$88&gt;35,BD3+BC4-BL3,IF(A4&lt;'Données projet'!$A$88,$BA$205^A4,IF(A4='Données projet'!$A$88,'Données projet'!$B$88,BD3+BC4-BL3)))</f>
        <v>1.2934226882877784</v>
      </c>
      <c r="BE4" s="14">
        <f>BD4*VLOOKUP('Données projet'!$B$11,Paramètres!$A$1:$I$89,3,0)*VLOOKUP('Données projet'!$B$11,Paramètres!$A$1:$I$89,5,0)</f>
        <v>1.2308210301746498</v>
      </c>
      <c r="BF4" s="14">
        <f>EXP(-1.0587+0.8836*LN(BE4)+0.284)</f>
        <v>0.55366654932289705</v>
      </c>
      <c r="BG4" s="22">
        <f t="shared" ref="BG4:BG67" si="7">(BE4+BF4)*0.475*44/12</f>
        <v>3.1079825342915606</v>
      </c>
      <c r="BH4" s="60">
        <f t="shared" ref="BH4:BH67" si="8">BG4+(AY4+AZ4)*44/12</f>
        <v>170.92041648721539</v>
      </c>
      <c r="BI4" s="60">
        <f ca="1">AVERAGE(OFFSET($BH$3,0,0,'Données projet'!$E$11+1,1))-AVERAGE(OFFSET($H$3,0,0,'Données projet'!$E$11+1,1))</f>
        <v>441.15969139782891</v>
      </c>
      <c r="BJ4" s="60">
        <f>$BJ$3</f>
        <v>315.06466790224783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2.6666666666666665</v>
      </c>
      <c r="BY4" s="13">
        <f>IF('Données projet'!$A$114&gt;35,BY3+BX4-CG3,IF(A4&lt;'Données projet'!$A$114,$BV$205^A4,IF(A4='Données projet'!$A$114,'Données projet'!$B$114,BY3+BX4-CG3)))</f>
        <v>1.2788040393997409</v>
      </c>
      <c r="BZ4" s="14">
        <f>BY4*VLOOKUP('Données projet'!$B$12,Paramètres!$A$1:$I$89,3,0)*VLOOKUP('Données projet'!$B$12,Paramètres!$A$1:$I$89,5,0)</f>
        <v>0.99746715073179792</v>
      </c>
      <c r="CA4" s="14">
        <f>EXP(-1.0587+0.8836*LN(BZ4)+0.284)</f>
        <v>0.45981048445793882</v>
      </c>
      <c r="CB4" s="22">
        <f t="shared" ref="CB4:CB67" si="10">(BZ4+CA4)*0.475*44/12</f>
        <v>2.5380918812887914</v>
      </c>
      <c r="CC4" s="60">
        <f t="shared" ref="CC4:CC67" si="11">CB4+(BT4+BU4)*44/12</f>
        <v>170.35052583421262</v>
      </c>
      <c r="CD4" s="60">
        <f ca="1">AVERAGE(OFFSET($CC$3,0,0,'Données projet'!$E$12+1,1))-AVERAGE(OFFSET($H$3,0,0,'Données projet'!$E$12+1,1))</f>
        <v>312.59632808777332</v>
      </c>
      <c r="CE4" s="60">
        <f>$CE$3</f>
        <v>302.59481222418219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3.65</v>
      </c>
      <c r="CT4" s="13">
        <f>IF('Données projet'!$A$140&gt;35,CT3+CS4-DB3,IF(A4&lt;'Données projet'!$A$140,$CQ$205^A4,IF(A4='Données projet'!$A$140,'Données projet'!$B$140,CT3+CS4-DB3)))</f>
        <v>1.2392705892426346</v>
      </c>
      <c r="CU4" s="18">
        <f>CT4*VLOOKUP('Données projet'!$B$13,Paramètres!$A$1:$I$89,3,0)*VLOOKUP('Données projet'!$B$13,Paramètres!$A$1:$I$89,5,0)</f>
        <v>1.1986225139154763</v>
      </c>
      <c r="CV4" s="14">
        <f>EXP(-1.0587+0.8836*LN(CU4)+0.284)</f>
        <v>0.54084878793982472</v>
      </c>
      <c r="CW4" s="22">
        <f t="shared" ref="CW4:CW67" si="13">(CU4+CV4)*0.475*44/12</f>
        <v>3.0295791840646493</v>
      </c>
      <c r="CX4" s="60">
        <f t="shared" ref="CX4:CX67" si="14">CW4+(CO4+CP4)*44/12</f>
        <v>170.8420131369885</v>
      </c>
      <c r="CY4" s="60">
        <f ca="1">AVERAGE(OFFSET($CX$3,0,0,'Données projet'!$E$13+1,1))-AVERAGE(OFFSET($H$3,0,0,'Données projet'!$E$13+1,1))</f>
        <v>603.52431522262032</v>
      </c>
      <c r="CZ4" s="60">
        <f>$CZ$3</f>
        <v>313.56299786481338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3.65</v>
      </c>
      <c r="DO4" s="13">
        <f>IF('Données projet'!$A$166&gt;35,DO3+DN4-DW3,IF(A4&lt;'Données projet'!$A$166,$DL$205^A4,IF(A4='Données projet'!$A$166,'Données projet'!$B$166,DO3+DN4-DW3)))</f>
        <v>1.2392705892426346</v>
      </c>
      <c r="DP4" s="18">
        <f>DO4*VLOOKUP('Données projet'!$B$14,Paramètres!$A$1:$I$89,3,0)*VLOOKUP('Données projet'!$B$14,Paramètres!$A$1:$I$89,5,0)</f>
        <v>1.3339508622607719</v>
      </c>
      <c r="DQ4" s="14">
        <f>EXP(-1.0587+0.8836*LN(DP4)+0.284)</f>
        <v>0.59446408362489378</v>
      </c>
      <c r="DR4" s="22">
        <f t="shared" ref="DR4:DR67" si="16">(DP4+DQ4)*0.475*44/12</f>
        <v>3.3586560307508679</v>
      </c>
      <c r="DS4" s="60">
        <f t="shared" ref="DS4:DS67" si="17">DR4+(DJ4+DK4)*44/12</f>
        <v>171.1710899836747</v>
      </c>
      <c r="DT4" s="60">
        <f ca="1">AVERAGE(OFFSET($DS$3,0,0,'Données projet'!$E$14+1,1))-AVERAGE(OFFSET($H$3,0,0,'Données projet'!$E$14+1,1))</f>
        <v>661.93515988633499</v>
      </c>
      <c r="DU4" s="60">
        <f>$DU$3</f>
        <v>341.9250949809848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3.2692307692307692</v>
      </c>
      <c r="EJ4" s="13">
        <f>IF('Données projet'!$A$192&gt;35,EJ3+EI4-ER3,IF(A4&lt;'Données projet'!$A$192,$EG$205^A4,IF(A4='Données projet'!$A$192,'Données projet'!$B$192,EJ3+EI4-ER3)))</f>
        <v>1.4172437739267318</v>
      </c>
      <c r="EK4" s="18">
        <f>EJ4*VLOOKUP('Données projet'!$B$15,Paramètres!$A$1:$I$89,3,0)*VLOOKUP('Données projet'!$B$15,Paramètres!$A$1:$I$89,5,0)</f>
        <v>0.95068712355005169</v>
      </c>
      <c r="EL4" s="14">
        <f>EXP(-1.0587+0.8836*LN(EK4)+0.284)</f>
        <v>0.44070309303270105</v>
      </c>
      <c r="EM4" s="22">
        <f t="shared" ref="EM4:EM67" si="19">(EK4+EL4)*0.475*44/12</f>
        <v>2.4233379605482943</v>
      </c>
      <c r="EN4" s="60">
        <f t="shared" ref="EN4:EN67" si="20">EM4+(EE4+EF4)*44/12</f>
        <v>170.23577191347212</v>
      </c>
      <c r="EO4" s="60">
        <f ca="1">AVERAGE(OFFSET($EN$3,0,0,'Données projet'!$E$15+1,1))-AVERAGE(OFFSET($H$3,0,0,'Données projet'!$E$15+1,1))</f>
        <v>396.0878652679051</v>
      </c>
      <c r="EP4" s="60">
        <f>$EP$3</f>
        <v>327.26339199235406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1.1099999999999999</v>
      </c>
      <c r="FE4" s="13">
        <f>IF('Données projet'!$A$218&gt;35,FE3+FD4-FM3,IF(A4&lt;'Données projet'!$A$218,$FB$205^A4,IF(A4='Données projet'!$A$218,'Données projet'!$B$218,FE3+FD4-FM3)))</f>
        <v>1.2721323532877689</v>
      </c>
      <c r="FF4" s="18">
        <f>FE4*VLOOKUP('Données projet'!$B$16,Paramètres!$A$1:$I$89,3,0)*VLOOKUP('Données projet'!$B$16,Paramètres!$A$1:$I$89,5,0)</f>
        <v>0.93272744143059216</v>
      </c>
      <c r="FG4" s="14">
        <f>EXP(-1.0587+0.8836*LN(FF4)+0.284)</f>
        <v>0.43333858977228618</v>
      </c>
      <c r="FH4" s="22">
        <f t="shared" ref="FH4:FH67" si="22">(FF4+FG4)*0.475*44/12</f>
        <v>2.3792316710116794</v>
      </c>
      <c r="FI4" s="60">
        <f t="shared" ref="FI4:FI67" si="23">FH4+(EZ4+FA4)*44/12</f>
        <v>170.19166562393551</v>
      </c>
      <c r="FJ4" s="60">
        <f ca="1">AVERAGE(OFFSET($FI$3,0,0,'Données projet'!$E$16+1,1))-AVERAGE(OFFSET($H$3,0,0,'Données projet'!$E$16+1,1))</f>
        <v>368.35775920359396</v>
      </c>
      <c r="FK4" s="60">
        <f>$FK$3</f>
        <v>395.5218438652638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2.8</v>
      </c>
      <c r="FZ4" s="13">
        <f>IF('Données projet'!$A$244&gt;35,FZ3+FY4-GH3,IF(A4&lt;'Données projet'!$A$244,$FW$205^A4,IF(A4='Données projet'!$A$244,'Données projet'!$B$244,FZ3+FY4-GH3)))</f>
        <v>1.2229519710813024</v>
      </c>
      <c r="GA4" s="18">
        <f>FZ4*VLOOKUP('Données projet'!$B$17,Paramètres!$A$1:$I$89,3,0)*VLOOKUP('Données projet'!$B$17,Paramètres!$A$1:$I$89,5,0)</f>
        <v>1.0492927911877574</v>
      </c>
      <c r="GB4" s="14">
        <f>EXP(-1.0587+0.8836*LN(GA4)+0.284)</f>
        <v>0.48085748368030745</v>
      </c>
      <c r="GC4" s="22">
        <f t="shared" ref="GC4:GC67" si="25">(GA4+GB4)*0.475*44/12</f>
        <v>2.6650117287285462</v>
      </c>
      <c r="GD4" s="60">
        <f t="shared" ref="GD4:GD67" si="26">GC4+(FU4+FV4)*44/12</f>
        <v>170.4774456816524</v>
      </c>
      <c r="GE4" s="60">
        <f ca="1">AVERAGE(OFFSET($GD$3,0,0,'Données projet'!$E$17+1,1))-AVERAGE(OFFSET($H$3,0,0,'Données projet'!$E$17+1,1))</f>
        <v>701.44583662096022</v>
      </c>
      <c r="GF4" s="60">
        <f>$GF$3</f>
        <v>331.25104323342907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0.9</v>
      </c>
      <c r="GU4" s="13">
        <f>IF('Données projet'!$A$270&gt;35,GU3+GT4-HC3,IF(A4&lt;'Données projet'!$A$270,$GR$205^A4,IF(A4='Données projet'!$A$270,'Données projet'!$B$270,GU3+GT4-HC3)))</f>
        <v>1.2457309396155174</v>
      </c>
      <c r="GV4" s="18">
        <f>GU4*VLOOKUP('Données projet'!$B$18,Paramètres!$A$1:$I$89,3,0)*VLOOKUP('Données projet'!$B$18,Paramètres!$A$1:$I$89,5,0)</f>
        <v>1.0105369382161078</v>
      </c>
      <c r="GW4" s="14">
        <f>EXP(-1.0587+0.8836*LN(GV4)+0.284)</f>
        <v>0.46513003316107315</v>
      </c>
      <c r="GX4" s="22">
        <f t="shared" ref="GX4:GX67" si="28">(GV4+GW4)*0.475*44/12</f>
        <v>2.5701199751485899</v>
      </c>
      <c r="GY4" s="60">
        <f t="shared" ref="GY4:GY67" si="29">GX4+(GP4+GQ4)*44/12</f>
        <v>170.38255392807244</v>
      </c>
      <c r="GZ4" s="60">
        <f ca="1">AVERAGE(OFFSET($GY$3,0,0,'Données projet'!$E$18+1,1))-AVERAGE(OFFSET($H$3,0,0,'Données projet'!$E$18+1,1))</f>
        <v>272.69564942740931</v>
      </c>
      <c r="HA4" s="60">
        <f>$HA$3</f>
        <v>316.57989180609252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25">
      <c r="A5" s="11">
        <f t="shared" ref="A5:A68" si="31">A4+1</f>
        <v>2</v>
      </c>
      <c r="B5" s="75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8">
        <f t="shared" si="1"/>
        <v>183.33333333333334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0">
        <f t="shared" si="0"/>
        <v>174.0908950642665</v>
      </c>
      <c r="S5" s="60">
        <f ca="1">AVERAGE(OFFSET($R$3,0,0,'Données projet'!$E$9+1,1))-AVERAGE(OFFSET($H$3,0,0,'Données projet'!$E$9+1,1))</f>
        <v>570.08763950759544</v>
      </c>
      <c r="T5" s="60">
        <f t="shared" ref="T5:T68" si="34">$T$3</f>
        <v>297.32483725004136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1.1099999999999999</v>
      </c>
      <c r="AI5" s="14">
        <f>IF('Données projet'!$A$62&gt;35,AI4+AH5-AQ4,IF(A5&lt;'Données projet'!$A$62,$AF$205^A5,IF(A5='Données projet'!$A$62,'Données projet'!$B$62,AI4+AH5-AQ4)))</f>
        <v>1.6183207242814768</v>
      </c>
      <c r="AJ5" s="14">
        <f>AI5*VLOOKUP('Données projet'!$B$10,Paramètres!$A$1:$I$89,3,0)*VLOOKUP('Données projet'!$B$10,Paramètres!$A$1:$I$89,5,0)</f>
        <v>1.2875359682383429</v>
      </c>
      <c r="AK5" s="14">
        <f t="shared" ref="AK5:AK68" si="35">EXP(-1.0587+0.8836*LN(AJ5)+0.284)</f>
        <v>0.57614983837086087</v>
      </c>
      <c r="AL5" s="22">
        <f t="shared" si="4"/>
        <v>3.2459194465110297</v>
      </c>
      <c r="AM5" s="60">
        <f t="shared" si="5"/>
        <v>173.84320073401187</v>
      </c>
      <c r="AN5" s="60">
        <f ca="1">AVERAGE(OFFSET($AM$3,0,0,'Données projet'!$E$10+1,1))-AVERAGE(OFFSET($H$3,0,0,'Données projet'!$E$10+1,1))</f>
        <v>394.49874384716014</v>
      </c>
      <c r="AO5" s="60">
        <f t="shared" ref="AO5:AO68" si="36">$AO$3</f>
        <v>423.72519584013378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3.1623931623931623</v>
      </c>
      <c r="BD5" s="13">
        <f>IF('Données projet'!$A$88&gt;35,BD4+BC5-BL4,IF(A5&lt;'Données projet'!$A$88,$BA$205^A5,IF(A5='Données projet'!$A$88,'Données projet'!$B$88,BD4+BC5-BL4)))</f>
        <v>1.6729422505775835</v>
      </c>
      <c r="BE5" s="14">
        <f>BD5*VLOOKUP('Données projet'!$B$11,Paramètres!$A$1:$I$89,3,0)*VLOOKUP('Données projet'!$B$11,Paramètres!$A$1:$I$89,5,0)</f>
        <v>1.5919718456496286</v>
      </c>
      <c r="BF5" s="14">
        <f t="shared" ref="BF5:BF68" si="37">EXP(-1.0587+0.8836*LN(BE5)+0.284)</f>
        <v>0.69499578258152339</v>
      </c>
      <c r="BG5" s="22">
        <f t="shared" si="7"/>
        <v>3.9831352858359232</v>
      </c>
      <c r="BH5" s="60">
        <f t="shared" si="8"/>
        <v>174.58041657333675</v>
      </c>
      <c r="BI5" s="60">
        <f ca="1">AVERAGE(OFFSET($BH$3,0,0,'Données projet'!$E$11+1,1))-AVERAGE(OFFSET($H$3,0,0,'Données projet'!$E$11+1,1))</f>
        <v>441.15969139782891</v>
      </c>
      <c r="BJ5" s="60">
        <f t="shared" ref="BJ5:BJ68" si="38">$BJ$3</f>
        <v>315.06466790224783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2.6666666666666665</v>
      </c>
      <c r="BY5" s="13">
        <f>IF('Données projet'!$A$114&gt;35,BY4+BX5-CG4,IF(A5&lt;'Données projet'!$A$114,$BV$205^A5,IF(A5='Données projet'!$A$114,'Données projet'!$B$114,BY4+BX5-CG4)))</f>
        <v>1.6353397711850939</v>
      </c>
      <c r="BZ5" s="14">
        <f>BY5*VLOOKUP('Données projet'!$B$12,Paramètres!$A$1:$I$89,3,0)*VLOOKUP('Données projet'!$B$12,Paramètres!$A$1:$I$89,5,0)</f>
        <v>1.2755650215243732</v>
      </c>
      <c r="CA5" s="14">
        <f t="shared" ref="CA5:CA68" si="39">EXP(-1.0587+0.8836*LN(BZ5)+0.284)</f>
        <v>0.57141400910743001</v>
      </c>
      <c r="CB5" s="22">
        <f t="shared" si="10"/>
        <v>3.2168218116837237</v>
      </c>
      <c r="CC5" s="60">
        <f t="shared" si="11"/>
        <v>173.81410309918456</v>
      </c>
      <c r="CD5" s="60">
        <f ca="1">AVERAGE(OFFSET($CC$3,0,0,'Données projet'!$E$12+1,1))-AVERAGE(OFFSET($H$3,0,0,'Données projet'!$E$12+1,1))</f>
        <v>312.59632808777332</v>
      </c>
      <c r="CE5" s="60">
        <f t="shared" ref="CE5:CE68" si="40">$CE$3</f>
        <v>302.59481222418219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3.65</v>
      </c>
      <c r="CT5" s="13">
        <f>IF('Données projet'!$A$140&gt;35,CT4+CS5-DB4,IF(A5&lt;'Données projet'!$A$140,$CQ$205^A5,IF(A5='Données projet'!$A$140,'Données projet'!$B$140,CT4+CS5-DB4)))</f>
        <v>1.5357915933617867</v>
      </c>
      <c r="CU5" s="18">
        <f>CT5*VLOOKUP('Données projet'!$B$13,Paramètres!$A$1:$I$89,3,0)*VLOOKUP('Données projet'!$B$13,Paramètres!$A$1:$I$89,5,0)</f>
        <v>1.4854176290995202</v>
      </c>
      <c r="CV5" s="14">
        <f t="shared" ref="CV5:CV68" si="41">EXP(-1.0587+0.8836*LN(CU5)+0.284)</f>
        <v>0.65372856897250708</v>
      </c>
      <c r="CW5" s="22">
        <f t="shared" si="13"/>
        <v>3.725679628308781</v>
      </c>
      <c r="CX5" s="60">
        <f t="shared" si="14"/>
        <v>174.3229609158096</v>
      </c>
      <c r="CY5" s="60">
        <f ca="1">AVERAGE(OFFSET($CX$3,0,0,'Données projet'!$E$13+1,1))-AVERAGE(OFFSET($H$3,0,0,'Données projet'!$E$13+1,1))</f>
        <v>603.52431522262032</v>
      </c>
      <c r="CZ5" s="60">
        <f t="shared" ref="CZ5:CZ68" si="42">$CZ$3</f>
        <v>313.56299786481338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3.65</v>
      </c>
      <c r="DO5" s="13">
        <f>IF('Données projet'!$A$166&gt;35,DO4+DN5-DW4,IF(A5&lt;'Données projet'!$A$166,$DL$205^A5,IF(A5='Données projet'!$A$166,'Données projet'!$B$166,DO4+DN5-DW4)))</f>
        <v>1.5357915933617867</v>
      </c>
      <c r="DP5" s="18">
        <f>DO5*VLOOKUP('Données projet'!$B$14,Paramètres!$A$1:$I$89,3,0)*VLOOKUP('Données projet'!$B$14,Paramètres!$A$1:$I$89,5,0)</f>
        <v>1.6531260710946272</v>
      </c>
      <c r="DQ5" s="14">
        <f t="shared" ref="DQ5:DQ68" si="43">EXP(-1.0587+0.8836*LN(DP5)+0.284)</f>
        <v>0.7185338367382873</v>
      </c>
      <c r="DR5" s="22">
        <f t="shared" si="16"/>
        <v>4.1306410061423255</v>
      </c>
      <c r="DS5" s="60">
        <f t="shared" si="17"/>
        <v>174.72792229364316</v>
      </c>
      <c r="DT5" s="60">
        <f ca="1">AVERAGE(OFFSET($DS$3,0,0,'Données projet'!$E$14+1,1))-AVERAGE(OFFSET($H$3,0,0,'Données projet'!$E$14+1,1))</f>
        <v>661.93515988633499</v>
      </c>
      <c r="DU5" s="60">
        <f t="shared" ref="DU5:DU68" si="44">$DU$3</f>
        <v>341.9250949809848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3.2692307692307692</v>
      </c>
      <c r="EJ5" s="13">
        <f>IF('Données projet'!$A$192&gt;35,EJ4+EI5-ER4,IF(A5&lt;'Données projet'!$A$192,$EG$205^A5,IF(A5='Données projet'!$A$192,'Données projet'!$B$192,EJ4+EI5-ER4)))</f>
        <v>2.0085799147340855</v>
      </c>
      <c r="EK5" s="18">
        <f>EJ5*VLOOKUP('Données projet'!$B$15,Paramètres!$A$1:$I$89,3,0)*VLOOKUP('Données projet'!$B$15,Paramètres!$A$1:$I$89,5,0)</f>
        <v>1.3473554068036244</v>
      </c>
      <c r="EL5" s="14">
        <f t="shared" ref="EL5:EL68" si="45">EXP(-1.0587+0.8836*LN(EK5)+0.284)</f>
        <v>0.5997393019338928</v>
      </c>
      <c r="EM5" s="22">
        <f t="shared" si="19"/>
        <v>3.3911899510511758</v>
      </c>
      <c r="EN5" s="60">
        <f t="shared" si="20"/>
        <v>173.98847123855202</v>
      </c>
      <c r="EO5" s="60">
        <f ca="1">AVERAGE(OFFSET($EN$3,0,0,'Données projet'!$E$15+1,1))-AVERAGE(OFFSET($H$3,0,0,'Données projet'!$E$15+1,1))</f>
        <v>396.0878652679051</v>
      </c>
      <c r="EP5" s="60">
        <f t="shared" ref="EP5:EP68" si="46">$EP$3</f>
        <v>327.26339199235406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1.1099999999999999</v>
      </c>
      <c r="FE5" s="13">
        <f>IF('Données projet'!$A$218&gt;35,FE4+FD5-FM4,IF(A5&lt;'Données projet'!$A$218,$FB$205^A5,IF(A5='Données projet'!$A$218,'Données projet'!$B$218,FE4+FD5-FM4)))</f>
        <v>1.6183207242814768</v>
      </c>
      <c r="FF5" s="18">
        <f>FE5*VLOOKUP('Données projet'!$B$16,Paramètres!$A$1:$I$89,3,0)*VLOOKUP('Données projet'!$B$16,Paramètres!$A$1:$I$89,5,0)</f>
        <v>1.1865527550431787</v>
      </c>
      <c r="FG5" s="14">
        <f t="shared" ref="FG5:FG68" si="47">EXP(-1.0587+0.8836*LN(FF5)+0.284)</f>
        <v>0.53603371205753736</v>
      </c>
      <c r="FH5" s="22">
        <f t="shared" si="22"/>
        <v>3.0001714302004134</v>
      </c>
      <c r="FI5" s="60">
        <f t="shared" si="23"/>
        <v>173.59745271770126</v>
      </c>
      <c r="FJ5" s="60">
        <f ca="1">AVERAGE(OFFSET($FI$3,0,0,'Données projet'!$E$16+1,1))-AVERAGE(OFFSET($H$3,0,0,'Données projet'!$E$16+1,1))</f>
        <v>368.35775920359396</v>
      </c>
      <c r="FK5" s="60">
        <f t="shared" ref="FK5:FK68" si="48">$FK$3</f>
        <v>395.5218438652638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2.8</v>
      </c>
      <c r="FZ5" s="13">
        <f>IF('Données projet'!$A$244&gt;35,FZ4+FY5-GH4,IF(A5&lt;'Données projet'!$A$244,$FW$205^A5,IF(A5='Données projet'!$A$244,'Données projet'!$B$244,FZ4+FY5-GH4)))</f>
        <v>1.4956115235716427</v>
      </c>
      <c r="GA5" s="18">
        <f>FZ5*VLOOKUP('Données projet'!$B$17,Paramètres!$A$1:$I$89,3,0)*VLOOKUP('Données projet'!$B$17,Paramètres!$A$1:$I$89,5,0)</f>
        <v>1.2832346872244698</v>
      </c>
      <c r="GB5" s="14">
        <f t="shared" ref="GB5:GB68" si="49">EXP(-1.0587+0.8836*LN(GA5)+0.284)</f>
        <v>0.57444879990343678</v>
      </c>
      <c r="GC5" s="22">
        <f t="shared" si="25"/>
        <v>3.2354654067477706</v>
      </c>
      <c r="GD5" s="60">
        <f t="shared" si="26"/>
        <v>173.83274669424861</v>
      </c>
      <c r="GE5" s="60">
        <f ca="1">AVERAGE(OFFSET($GD$3,0,0,'Données projet'!$E$17+1,1))-AVERAGE(OFFSET($H$3,0,0,'Données projet'!$E$17+1,1))</f>
        <v>701.44583662096022</v>
      </c>
      <c r="GF5" s="60">
        <f t="shared" ref="GF5:GF68" si="50">$GF$3</f>
        <v>331.25104323342907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0.9</v>
      </c>
      <c r="GU5" s="13">
        <f>IF('Données projet'!$A$270&gt;35,GU4+GT5-HC4,IF(A5&lt;'Données projet'!$A$270,$GR$205^A5,IF(A5='Données projet'!$A$270,'Données projet'!$B$270,GU4+GT5-HC4)))</f>
        <v>1.5518455739153598</v>
      </c>
      <c r="GV5" s="18">
        <f>GU5*VLOOKUP('Données projet'!$B$18,Paramètres!$A$1:$I$89,3,0)*VLOOKUP('Données projet'!$B$18,Paramètres!$A$1:$I$89,5,0)</f>
        <v>1.2588571295601401</v>
      </c>
      <c r="GW5" s="14">
        <f t="shared" ref="GW5:GW68" si="51">EXP(-1.0587+0.8836*LN(GV5)+0.284)</f>
        <v>0.56479552972512193</v>
      </c>
      <c r="GX5" s="22">
        <f t="shared" si="28"/>
        <v>3.1761950482551646</v>
      </c>
      <c r="GY5" s="60">
        <f t="shared" si="29"/>
        <v>173.77347633575599</v>
      </c>
      <c r="GZ5" s="60">
        <f ca="1">AVERAGE(OFFSET($GY$3,0,0,'Données projet'!$E$18+1,1))-AVERAGE(OFFSET($H$3,0,0,'Données projet'!$E$18+1,1))</f>
        <v>272.69564942740931</v>
      </c>
      <c r="HA5" s="60">
        <f t="shared" ref="HA5:HA68" si="52">$HA$3</f>
        <v>316.57989180609252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25">
      <c r="A6" s="11">
        <f t="shared" si="31"/>
        <v>3</v>
      </c>
      <c r="B6" s="75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8">
        <f t="shared" si="1"/>
        <v>183.33333333333334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0">
        <f t="shared" si="0"/>
        <v>177.65174746089073</v>
      </c>
      <c r="S6" s="60">
        <f ca="1">AVERAGE(OFFSET($R$3,0,0,'Données projet'!$E$9+1,1))-AVERAGE(OFFSET($H$3,0,0,'Données projet'!$E$9+1,1))</f>
        <v>570.08763950759544</v>
      </c>
      <c r="T6" s="60">
        <f t="shared" si="34"/>
        <v>297.32483725004136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1.1099999999999999</v>
      </c>
      <c r="AI6" s="14">
        <f>IF('Données projet'!$A$62&gt;35,AI5+AH6-AQ5,IF(A6&lt;'Données projet'!$A$62,$AF$205^A6,IF(A6='Données projet'!$A$62,'Données projet'!$B$62,AI5+AH6-AQ5)))</f>
        <v>2.0587181513545616</v>
      </c>
      <c r="AJ6" s="14">
        <f>AI6*VLOOKUP('Données projet'!$B$10,Paramètres!$A$1:$I$89,3,0)*VLOOKUP('Données projet'!$B$10,Paramètres!$A$1:$I$89,5,0)</f>
        <v>1.6379161612176893</v>
      </c>
      <c r="AK6" s="14">
        <f t="shared" si="35"/>
        <v>0.71268920851376738</v>
      </c>
      <c r="AL6" s="22">
        <f t="shared" si="4"/>
        <v>4.0939710189489533</v>
      </c>
      <c r="AM6" s="60">
        <f t="shared" si="5"/>
        <v>177.44899158883385</v>
      </c>
      <c r="AN6" s="60">
        <f ca="1">AVERAGE(OFFSET($AM$3,0,0,'Données projet'!$E$10+1,1))-AVERAGE(OFFSET($H$3,0,0,'Données projet'!$E$10+1,1))</f>
        <v>394.49874384716014</v>
      </c>
      <c r="AO6" s="60">
        <f t="shared" si="36"/>
        <v>423.72519584013378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3.1623931623931623</v>
      </c>
      <c r="BD6" s="13">
        <f>IF('Données projet'!$A$88&gt;35,BD5+BC6-BL5,IF(A6&lt;'Données projet'!$A$88,$BA$205^A6,IF(A6='Données projet'!$A$88,'Données projet'!$B$88,BD5+BC6-BL5)))</f>
        <v>2.1638214630922641</v>
      </c>
      <c r="BE6" s="14">
        <f>BD6*VLOOKUP('Données projet'!$B$11,Paramètres!$A$1:$I$89,3,0)*VLOOKUP('Données projet'!$B$11,Paramètres!$A$1:$I$89,5,0)</f>
        <v>2.0590925042785986</v>
      </c>
      <c r="BF6" s="14">
        <f t="shared" si="37"/>
        <v>0.87240079502149648</v>
      </c>
      <c r="BG6" s="22">
        <f t="shared" si="7"/>
        <v>5.1056841629476652</v>
      </c>
      <c r="BH6" s="60">
        <f t="shared" si="8"/>
        <v>178.46070473283254</v>
      </c>
      <c r="BI6" s="60">
        <f ca="1">AVERAGE(OFFSET($BH$3,0,0,'Données projet'!$E$11+1,1))-AVERAGE(OFFSET($H$3,0,0,'Données projet'!$E$11+1,1))</f>
        <v>441.15969139782891</v>
      </c>
      <c r="BJ6" s="60">
        <f t="shared" si="38"/>
        <v>315.06466790224783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2.6666666666666665</v>
      </c>
      <c r="BY6" s="13">
        <f>IF('Données projet'!$A$114&gt;35,BY5+BX6-CG5,IF(A6&lt;'Données projet'!$A$114,$BV$205^A6,IF(A6='Données projet'!$A$114,'Données projet'!$B$114,BY5+BX6-CG5)))</f>
        <v>2.0912791051825459</v>
      </c>
      <c r="BZ6" s="14">
        <f>BY6*VLOOKUP('Données projet'!$B$12,Paramètres!$A$1:$I$89,3,0)*VLOOKUP('Données projet'!$B$12,Paramètres!$A$1:$I$89,5,0)</f>
        <v>1.6311977020423858</v>
      </c>
      <c r="CA6" s="14">
        <f t="shared" si="39"/>
        <v>0.71010553443370616</v>
      </c>
      <c r="CB6" s="22">
        <f t="shared" si="10"/>
        <v>4.0777698035291934</v>
      </c>
      <c r="CC6" s="60">
        <f t="shared" si="11"/>
        <v>177.43279037341409</v>
      </c>
      <c r="CD6" s="60">
        <f ca="1">AVERAGE(OFFSET($CC$3,0,0,'Données projet'!$E$12+1,1))-AVERAGE(OFFSET($H$3,0,0,'Données projet'!$E$12+1,1))</f>
        <v>312.59632808777332</v>
      </c>
      <c r="CE6" s="60">
        <f t="shared" si="40"/>
        <v>302.59481222418219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3.65</v>
      </c>
      <c r="CT6" s="13">
        <f>IF('Données projet'!$A$140&gt;35,CT5+CS6-DB5,IF(A6&lt;'Données projet'!$A$140,$CQ$205^A6,IF(A6='Données projet'!$A$140,'Données projet'!$B$140,CT5+CS6-DB5)))</f>
        <v>1.9032613528593461</v>
      </c>
      <c r="CU6" s="18">
        <f>CT6*VLOOKUP('Données projet'!$B$13,Paramètres!$A$1:$I$89,3,0)*VLOOKUP('Données projet'!$B$13,Paramètres!$A$1:$I$89,5,0)</f>
        <v>1.8408343804855598</v>
      </c>
      <c r="CV6" s="14">
        <f t="shared" si="41"/>
        <v>0.79016732850363813</v>
      </c>
      <c r="CW6" s="22">
        <f t="shared" si="13"/>
        <v>4.5823279764895188</v>
      </c>
      <c r="CX6" s="60">
        <f t="shared" si="14"/>
        <v>177.93734854637441</v>
      </c>
      <c r="CY6" s="60">
        <f ca="1">AVERAGE(OFFSET($CX$3,0,0,'Données projet'!$E$13+1,1))-AVERAGE(OFFSET($H$3,0,0,'Données projet'!$E$13+1,1))</f>
        <v>603.52431522262032</v>
      </c>
      <c r="CZ6" s="60">
        <f t="shared" si="42"/>
        <v>313.56299786481338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3.65</v>
      </c>
      <c r="DO6" s="13">
        <f>IF('Données projet'!$A$166&gt;35,DO5+DN6-DW5,IF(A6&lt;'Données projet'!$A$166,$DL$205^A6,IF(A6='Données projet'!$A$166,'Données projet'!$B$166,DO5+DN6-DW5)))</f>
        <v>1.9032613528593461</v>
      </c>
      <c r="DP6" s="18">
        <f>DO6*VLOOKUP('Données projet'!$B$14,Paramètres!$A$1:$I$89,3,0)*VLOOKUP('Données projet'!$B$14,Paramètres!$A$1:$I$89,5,0)</f>
        <v>2.0486705202177999</v>
      </c>
      <c r="DQ6" s="14">
        <f t="shared" si="43"/>
        <v>0.86849801150244532</v>
      </c>
      <c r="DR6" s="22">
        <f t="shared" si="16"/>
        <v>5.0807351927460944</v>
      </c>
      <c r="DS6" s="60">
        <f t="shared" si="17"/>
        <v>178.43575576263098</v>
      </c>
      <c r="DT6" s="60">
        <f ca="1">AVERAGE(OFFSET($DS$3,0,0,'Données projet'!$E$14+1,1))-AVERAGE(OFFSET($H$3,0,0,'Données projet'!$E$14+1,1))</f>
        <v>661.93515988633499</v>
      </c>
      <c r="DU6" s="60">
        <f t="shared" si="44"/>
        <v>341.9250949809848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3.2692307692307692</v>
      </c>
      <c r="EJ6" s="13">
        <f>IF('Données projet'!$A$192&gt;35,EJ5+EI6-ER5,IF(A6&lt;'Données projet'!$A$192,$EG$205^A6,IF(A6='Données projet'!$A$192,'Données projet'!$B$192,EJ5+EI6-ER5)))</f>
        <v>2.8466473785911686</v>
      </c>
      <c r="EK6" s="18">
        <f>EJ6*VLOOKUP('Données projet'!$B$15,Paramètres!$A$1:$I$89,3,0)*VLOOKUP('Données projet'!$B$15,Paramètres!$A$1:$I$89,5,0)</f>
        <v>1.909531061558956</v>
      </c>
      <c r="EL6" s="14">
        <f t="shared" si="45"/>
        <v>0.81616679340497278</v>
      </c>
      <c r="EM6" s="22">
        <f t="shared" si="19"/>
        <v>4.7472570973955088</v>
      </c>
      <c r="EN6" s="60">
        <f t="shared" si="20"/>
        <v>178.10227766728039</v>
      </c>
      <c r="EO6" s="60">
        <f ca="1">AVERAGE(OFFSET($EN$3,0,0,'Données projet'!$E$15+1,1))-AVERAGE(OFFSET($H$3,0,0,'Données projet'!$E$15+1,1))</f>
        <v>396.0878652679051</v>
      </c>
      <c r="EP6" s="60">
        <f t="shared" si="46"/>
        <v>327.26339199235406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1.1099999999999999</v>
      </c>
      <c r="FE6" s="13">
        <f>IF('Données projet'!$A$218&gt;35,FE5+FD6-FM5,IF(A6&lt;'Données projet'!$A$218,$FB$205^A6,IF(A6='Données projet'!$A$218,'Données projet'!$B$218,FE5+FD6-FM5)))</f>
        <v>2.0587181513545616</v>
      </c>
      <c r="FF6" s="18">
        <f>FE6*VLOOKUP('Données projet'!$B$16,Paramètres!$A$1:$I$89,3,0)*VLOOKUP('Données projet'!$B$16,Paramètres!$A$1:$I$89,5,0)</f>
        <v>1.5094521485731647</v>
      </c>
      <c r="FG6" s="14">
        <f t="shared" si="47"/>
        <v>0.66306612714360913</v>
      </c>
      <c r="FH6" s="22">
        <f t="shared" si="22"/>
        <v>3.7838026635400475</v>
      </c>
      <c r="FI6" s="60">
        <f t="shared" si="23"/>
        <v>177.13882323342494</v>
      </c>
      <c r="FJ6" s="60">
        <f ca="1">AVERAGE(OFFSET($FI$3,0,0,'Données projet'!$E$16+1,1))-AVERAGE(OFFSET($H$3,0,0,'Données projet'!$E$16+1,1))</f>
        <v>368.35775920359396</v>
      </c>
      <c r="FK6" s="60">
        <f t="shared" si="48"/>
        <v>395.5218438652638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2.8</v>
      </c>
      <c r="FZ6" s="13">
        <f>IF('Données projet'!$A$244&gt;35,FZ5+FY6-GH5,IF(A6&lt;'Données projet'!$A$244,$FW$205^A6,IF(A6='Données projet'!$A$244,'Données projet'!$B$244,FZ5+FY6-GH5)))</f>
        <v>1.8290610607238502</v>
      </c>
      <c r="GA6" s="18">
        <f>FZ6*VLOOKUP('Données projet'!$B$17,Paramètres!$A$1:$I$89,3,0)*VLOOKUP('Données projet'!$B$17,Paramètres!$A$1:$I$89,5,0)</f>
        <v>1.5693343901010637</v>
      </c>
      <c r="GB6" s="14">
        <f t="shared" si="49"/>
        <v>0.68625618797666377</v>
      </c>
      <c r="GC6" s="22">
        <f t="shared" si="25"/>
        <v>3.9284869234853752</v>
      </c>
      <c r="GD6" s="60">
        <f t="shared" si="26"/>
        <v>177.28350749337025</v>
      </c>
      <c r="GE6" s="60">
        <f ca="1">AVERAGE(OFFSET($GD$3,0,0,'Données projet'!$E$17+1,1))-AVERAGE(OFFSET($H$3,0,0,'Données projet'!$E$17+1,1))</f>
        <v>701.44583662096022</v>
      </c>
      <c r="GF6" s="60">
        <f t="shared" si="50"/>
        <v>331.25104323342907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0.9</v>
      </c>
      <c r="GU6" s="13">
        <f>IF('Données projet'!$A$270&gt;35,GU5+GT6-HC5,IF(A6&lt;'Données projet'!$A$270,$GR$205^A6,IF(A6='Données projet'!$A$270,'Données projet'!$B$270,GU5+GT6-HC5)))</f>
        <v>1.9331820449317632</v>
      </c>
      <c r="GV6" s="18">
        <f>GU6*VLOOKUP('Données projet'!$B$18,Paramètres!$A$1:$I$89,3,0)*VLOOKUP('Données projet'!$B$18,Paramètres!$A$1:$I$89,5,0)</f>
        <v>1.5681972748486466</v>
      </c>
      <c r="GW6" s="14">
        <f t="shared" si="51"/>
        <v>0.68581679886281277</v>
      </c>
      <c r="GX6" s="22">
        <f t="shared" si="28"/>
        <v>3.9257411783807914</v>
      </c>
      <c r="GY6" s="60">
        <f t="shared" si="29"/>
        <v>177.28076174826569</v>
      </c>
      <c r="GZ6" s="60">
        <f ca="1">AVERAGE(OFFSET($GY$3,0,0,'Données projet'!$E$18+1,1))-AVERAGE(OFFSET($H$3,0,0,'Données projet'!$E$18+1,1))</f>
        <v>272.69564942740931</v>
      </c>
      <c r="HA6" s="60">
        <f t="shared" si="52"/>
        <v>316.57989180609252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25">
      <c r="A7" s="11">
        <f t="shared" si="31"/>
        <v>4</v>
      </c>
      <c r="B7" s="75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8">
        <f t="shared" si="1"/>
        <v>183.33333333333334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0">
        <f t="shared" si="0"/>
        <v>181.37127654212841</v>
      </c>
      <c r="S7" s="60">
        <f ca="1">AVERAGE(OFFSET($R$3,0,0,'Données projet'!$E$9+1,1))-AVERAGE(OFFSET($H$3,0,0,'Données projet'!$E$9+1,1))</f>
        <v>570.08763950759544</v>
      </c>
      <c r="T7" s="60">
        <f t="shared" si="34"/>
        <v>297.32483725004136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1.1099999999999999</v>
      </c>
      <c r="AI7" s="14">
        <f>IF('Données projet'!$A$62&gt;35,AI6+AH7-AQ6,IF(A7&lt;'Données projet'!$A$62,$AF$205^A7,IF(A7='Données projet'!$A$62,'Données projet'!$B$62,AI6+AH7-AQ6)))</f>
        <v>2.6189619666389237</v>
      </c>
      <c r="AJ7" s="14">
        <f>AI7*VLOOKUP('Données projet'!$B$10,Paramètres!$A$1:$I$89,3,0)*VLOOKUP('Données projet'!$B$10,Paramètres!$A$1:$I$89,5,0)</f>
        <v>2.0836461406579279</v>
      </c>
      <c r="AK7" s="14">
        <f t="shared" si="35"/>
        <v>0.88158647994800687</v>
      </c>
      <c r="AL7" s="22">
        <f t="shared" si="4"/>
        <v>5.1644468142220035</v>
      </c>
      <c r="AM7" s="60">
        <f t="shared" si="5"/>
        <v>181.25056887839895</v>
      </c>
      <c r="AN7" s="60">
        <f ca="1">AVERAGE(OFFSET($AM$3,0,0,'Données projet'!$E$10+1,1))-AVERAGE(OFFSET($H$3,0,0,'Données projet'!$E$10+1,1))</f>
        <v>394.49874384716014</v>
      </c>
      <c r="AO7" s="60">
        <f t="shared" si="36"/>
        <v>423.72519584013378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3.1623931623931623</v>
      </c>
      <c r="BD7" s="13">
        <f>IF('Données projet'!$A$88&gt;35,BD6+BC7-BL6,IF(A7&lt;'Données projet'!$A$88,$BA$205^A7,IF(A7='Données projet'!$A$88,'Données projet'!$B$88,BD6+BC7-BL6)))</f>
        <v>2.7987357737675902</v>
      </c>
      <c r="BE7" s="14">
        <f>BD7*VLOOKUP('Données projet'!$B$11,Paramètres!$A$1:$I$89,3,0)*VLOOKUP('Données projet'!$B$11,Paramètres!$A$1:$I$89,5,0)</f>
        <v>2.6632769623172385</v>
      </c>
      <c r="BF7" s="14">
        <f t="shared" si="37"/>
        <v>1.0950903102276937</v>
      </c>
      <c r="BG7" s="22">
        <f t="shared" si="7"/>
        <v>6.5458229996824224</v>
      </c>
      <c r="BH7" s="60">
        <f t="shared" si="8"/>
        <v>182.63194506385938</v>
      </c>
      <c r="BI7" s="60">
        <f ca="1">AVERAGE(OFFSET($BH$3,0,0,'Données projet'!$E$11+1,1))-AVERAGE(OFFSET($H$3,0,0,'Données projet'!$E$11+1,1))</f>
        <v>441.15969139782891</v>
      </c>
      <c r="BJ7" s="60">
        <f t="shared" si="38"/>
        <v>315.06466790224783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2.6666666666666665</v>
      </c>
      <c r="BY7" s="13">
        <f>IF('Données projet'!$A$114&gt;35,BY6+BX7-CG6,IF(A7&lt;'Données projet'!$A$114,$BV$205^A7,IF(A7='Données projet'!$A$114,'Données projet'!$B$114,BY6+BX7-CG6)))</f>
        <v>2.6743361672197152</v>
      </c>
      <c r="BZ7" s="14">
        <f>BY7*VLOOKUP('Données projet'!$B$12,Paramètres!$A$1:$I$89,3,0)*VLOOKUP('Données projet'!$B$12,Paramètres!$A$1:$I$89,5,0)</f>
        <v>2.0859822104313781</v>
      </c>
      <c r="CA7" s="14">
        <f t="shared" si="39"/>
        <v>0.88245976121767966</v>
      </c>
      <c r="CB7" s="22">
        <f t="shared" si="10"/>
        <v>5.1700364339554419</v>
      </c>
      <c r="CC7" s="60">
        <f t="shared" si="11"/>
        <v>181.25615849813238</v>
      </c>
      <c r="CD7" s="60">
        <f ca="1">AVERAGE(OFFSET($CC$3,0,0,'Données projet'!$E$12+1,1))-AVERAGE(OFFSET($H$3,0,0,'Données projet'!$E$12+1,1))</f>
        <v>312.59632808777332</v>
      </c>
      <c r="CE7" s="60">
        <f t="shared" si="40"/>
        <v>302.59481222418219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3.65</v>
      </c>
      <c r="CT7" s="13">
        <f>IF('Données projet'!$A$140&gt;35,CT6+CS7-DB6,IF(A7&lt;'Données projet'!$A$140,$CQ$205^A7,IF(A7='Données projet'!$A$140,'Données projet'!$B$140,CT6+CS7-DB6)))</f>
        <v>2.3586558182407358</v>
      </c>
      <c r="CU7" s="18">
        <f>CT7*VLOOKUP('Données projet'!$B$13,Paramètres!$A$1:$I$89,3,0)*VLOOKUP('Données projet'!$B$13,Paramètres!$A$1:$I$89,5,0)</f>
        <v>2.2812919074024398</v>
      </c>
      <c r="CV7" s="14">
        <f t="shared" si="41"/>
        <v>0.95508202741684722</v>
      </c>
      <c r="CW7" s="22">
        <f t="shared" si="13"/>
        <v>5.6366846031435918</v>
      </c>
      <c r="CX7" s="60">
        <f t="shared" si="14"/>
        <v>181.72280666732053</v>
      </c>
      <c r="CY7" s="60">
        <f ca="1">AVERAGE(OFFSET($CX$3,0,0,'Données projet'!$E$13+1,1))-AVERAGE(OFFSET($H$3,0,0,'Données projet'!$E$13+1,1))</f>
        <v>603.52431522262032</v>
      </c>
      <c r="CZ7" s="60">
        <f t="shared" si="42"/>
        <v>313.56299786481338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3.65</v>
      </c>
      <c r="DO7" s="13">
        <f>IF('Données projet'!$A$166&gt;35,DO6+DN7-DW6,IF(A7&lt;'Données projet'!$A$166,$DL$205^A7,IF(A7='Données projet'!$A$166,'Données projet'!$B$166,DO6+DN7-DW6)))</f>
        <v>2.3586558182407358</v>
      </c>
      <c r="DP7" s="18">
        <f>DO7*VLOOKUP('Données projet'!$B$14,Paramètres!$A$1:$I$89,3,0)*VLOOKUP('Données projet'!$B$14,Paramètres!$A$1:$I$89,5,0)</f>
        <v>2.5388571227543277</v>
      </c>
      <c r="DQ7" s="14">
        <f t="shared" si="43"/>
        <v>1.0497609958185417</v>
      </c>
      <c r="DR7" s="22">
        <f t="shared" si="16"/>
        <v>6.2501765565144138</v>
      </c>
      <c r="DS7" s="60">
        <f t="shared" si="17"/>
        <v>182.33629862069137</v>
      </c>
      <c r="DT7" s="60">
        <f ca="1">AVERAGE(OFFSET($DS$3,0,0,'Données projet'!$E$14+1,1))-AVERAGE(OFFSET($H$3,0,0,'Données projet'!$E$14+1,1))</f>
        <v>661.93515988633499</v>
      </c>
      <c r="DU7" s="60">
        <f t="shared" si="44"/>
        <v>341.9250949809848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3.2692307692307692</v>
      </c>
      <c r="EJ7" s="13">
        <f>IF('Données projet'!$A$192&gt;35,EJ6+EI7-ER6,IF(A7&lt;'Données projet'!$A$192,$EG$205^A7,IF(A7='Données projet'!$A$192,'Données projet'!$B$192,EJ6+EI7-ER6)))</f>
        <v>4.034393273873186</v>
      </c>
      <c r="EK7" s="18">
        <f>EJ7*VLOOKUP('Données projet'!$B$15,Paramètres!$A$1:$I$89,3,0)*VLOOKUP('Données projet'!$B$15,Paramètres!$A$1:$I$89,5,0)</f>
        <v>2.7062710081141335</v>
      </c>
      <c r="EL7" s="14">
        <f t="shared" si="45"/>
        <v>1.1106963183986573</v>
      </c>
      <c r="EM7" s="22">
        <f t="shared" si="19"/>
        <v>6.6478847603431106</v>
      </c>
      <c r="EN7" s="60">
        <f t="shared" si="20"/>
        <v>182.73400682452007</v>
      </c>
      <c r="EO7" s="60">
        <f ca="1">AVERAGE(OFFSET($EN$3,0,0,'Données projet'!$E$15+1,1))-AVERAGE(OFFSET($H$3,0,0,'Données projet'!$E$15+1,1))</f>
        <v>396.0878652679051</v>
      </c>
      <c r="EP7" s="60">
        <f t="shared" si="46"/>
        <v>327.26339199235406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1.1099999999999999</v>
      </c>
      <c r="FE7" s="13">
        <f>IF('Données projet'!$A$218&gt;35,FE6+FD7-FM6,IF(A7&lt;'Données projet'!$A$218,$FB$205^A7,IF(A7='Données projet'!$A$218,'Données projet'!$B$218,FE6+FD7-FM6)))</f>
        <v>2.6189619666389237</v>
      </c>
      <c r="FF7" s="18">
        <f>FE7*VLOOKUP('Données projet'!$B$16,Paramètres!$A$1:$I$89,3,0)*VLOOKUP('Données projet'!$B$16,Paramètres!$A$1:$I$89,5,0)</f>
        <v>1.9202229139396587</v>
      </c>
      <c r="FG7" s="14">
        <f t="shared" si="47"/>
        <v>0.82020342951495628</v>
      </c>
      <c r="FH7" s="22">
        <f t="shared" si="22"/>
        <v>4.7729092148501211</v>
      </c>
      <c r="FI7" s="60">
        <f t="shared" si="23"/>
        <v>180.85903127902708</v>
      </c>
      <c r="FJ7" s="60">
        <f ca="1">AVERAGE(OFFSET($FI$3,0,0,'Données projet'!$E$16+1,1))-AVERAGE(OFFSET($H$3,0,0,'Données projet'!$E$16+1,1))</f>
        <v>368.35775920359396</v>
      </c>
      <c r="FK7" s="60">
        <f t="shared" si="48"/>
        <v>395.5218438652638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2.8</v>
      </c>
      <c r="FZ7" s="13">
        <f>IF('Données projet'!$A$244&gt;35,FZ6+FY7-GH6,IF(A7&lt;'Données projet'!$A$244,$FW$205^A7,IF(A7='Données projet'!$A$244,'Données projet'!$B$244,FZ6+FY7-GH6)))</f>
        <v>2.2368538294402907</v>
      </c>
      <c r="GA7" s="18">
        <f>FZ7*VLOOKUP('Données projet'!$B$17,Paramètres!$A$1:$I$89,3,0)*VLOOKUP('Données projet'!$B$17,Paramètres!$A$1:$I$89,5,0)</f>
        <v>1.9192205856597695</v>
      </c>
      <c r="GB7" s="14">
        <f t="shared" si="49"/>
        <v>0.8198251186449117</v>
      </c>
      <c r="GC7" s="22">
        <f t="shared" si="25"/>
        <v>4.770504601663986</v>
      </c>
      <c r="GD7" s="60">
        <f t="shared" si="26"/>
        <v>180.85662666584093</v>
      </c>
      <c r="GE7" s="60">
        <f ca="1">AVERAGE(OFFSET($GD$3,0,0,'Données projet'!$E$17+1,1))-AVERAGE(OFFSET($H$3,0,0,'Données projet'!$E$17+1,1))</f>
        <v>701.44583662096022</v>
      </c>
      <c r="GF7" s="60">
        <f t="shared" si="50"/>
        <v>331.25104323342907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0.9</v>
      </c>
      <c r="GU7" s="13">
        <f>IF('Données projet'!$A$270&gt;35,GU6+GT7-HC6,IF(A7&lt;'Données projet'!$A$270,$GR$205^A7,IF(A7='Données projet'!$A$270,'Données projet'!$B$270,GU6+GT7-HC6)))</f>
        <v>2.4082246852806923</v>
      </c>
      <c r="GV7" s="18">
        <f>GU7*VLOOKUP('Données projet'!$B$18,Paramètres!$A$1:$I$89,3,0)*VLOOKUP('Données projet'!$B$18,Paramètres!$A$1:$I$89,5,0)</f>
        <v>1.9535518646996977</v>
      </c>
      <c r="GW7" s="14">
        <f t="shared" si="51"/>
        <v>0.83276983766381052</v>
      </c>
      <c r="GX7" s="22">
        <f t="shared" si="28"/>
        <v>4.8528436316164436</v>
      </c>
      <c r="GY7" s="60">
        <f t="shared" si="29"/>
        <v>180.9389656957934</v>
      </c>
      <c r="GZ7" s="60">
        <f ca="1">AVERAGE(OFFSET($GY$3,0,0,'Données projet'!$E$18+1,1))-AVERAGE(OFFSET($H$3,0,0,'Données projet'!$E$18+1,1))</f>
        <v>272.69564942740931</v>
      </c>
      <c r="HA7" s="60">
        <f t="shared" si="52"/>
        <v>316.57989180609252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25">
      <c r="A8" s="11">
        <f t="shared" si="31"/>
        <v>5</v>
      </c>
      <c r="B8" s="75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8">
        <f t="shared" si="1"/>
        <v>183.33333333333334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0">
        <f t="shared" si="0"/>
        <v>185.29285571551281</v>
      </c>
      <c r="S8" s="60">
        <f ca="1">AVERAGE(OFFSET($R$3,0,0,'Données projet'!$E$9+1,1))-AVERAGE(OFFSET($H$3,0,0,'Données projet'!$E$9+1,1))</f>
        <v>570.08763950759544</v>
      </c>
      <c r="T8" s="60">
        <f t="shared" si="34"/>
        <v>297.32483725004136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1.1099999999999999</v>
      </c>
      <c r="AI8" s="14">
        <f>IF('Données projet'!$A$62&gt;35,AI7+AH8-AQ7,IF(A8&lt;'Données projet'!$A$62,$AF$205^A8,IF(A8='Données projet'!$A$62,'Données projet'!$B$62,AI7+AH8-AQ7)))</f>
        <v>3.331666249791537</v>
      </c>
      <c r="AJ8" s="14">
        <f>AI8*VLOOKUP('Données projet'!$B$10,Paramètres!$A$1:$I$89,3,0)*VLOOKUP('Données projet'!$B$10,Paramètres!$A$1:$I$89,5,0)</f>
        <v>2.650673668334147</v>
      </c>
      <c r="AK8" s="14">
        <f t="shared" si="35"/>
        <v>1.0905100180313785</v>
      </c>
      <c r="AL8" s="22">
        <f t="shared" si="4"/>
        <v>6.5158949204199574</v>
      </c>
      <c r="AM8" s="60">
        <f t="shared" si="5"/>
        <v>185.3069427968673</v>
      </c>
      <c r="AN8" s="60">
        <f ca="1">AVERAGE(OFFSET($AM$3,0,0,'Données projet'!$E$10+1,1))-AVERAGE(OFFSET($H$3,0,0,'Données projet'!$E$10+1,1))</f>
        <v>394.49874384716014</v>
      </c>
      <c r="AO8" s="60">
        <f t="shared" si="36"/>
        <v>423.72519584013378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3.1623931623931623</v>
      </c>
      <c r="BD8" s="13">
        <f>IF('Données projet'!$A$88&gt;35,BD7+BC8-BL7,IF(A8&lt;'Données projet'!$A$88,$BA$205^A8,IF(A8='Données projet'!$A$88,'Données projet'!$B$88,BD7+BC8-BL7)))</f>
        <v>3.6199483483136521</v>
      </c>
      <c r="BE8" s="14">
        <f>BD8*VLOOKUP('Données projet'!$B$11,Paramètres!$A$1:$I$89,3,0)*VLOOKUP('Données projet'!$B$11,Paramètres!$A$1:$I$89,5,0)</f>
        <v>3.4447428482552716</v>
      </c>
      <c r="BF8" s="14">
        <f t="shared" si="37"/>
        <v>1.3746236757212458</v>
      </c>
      <c r="BG8" s="22">
        <f t="shared" si="7"/>
        <v>8.3937300292591015</v>
      </c>
      <c r="BH8" s="60">
        <f t="shared" si="8"/>
        <v>187.18477790570645</v>
      </c>
      <c r="BI8" s="60">
        <f ca="1">AVERAGE(OFFSET($BH$3,0,0,'Données projet'!$E$11+1,1))-AVERAGE(OFFSET($H$3,0,0,'Données projet'!$E$11+1,1))</f>
        <v>441.15969139782891</v>
      </c>
      <c r="BJ8" s="60">
        <f t="shared" si="38"/>
        <v>315.06466790224783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2.6666666666666665</v>
      </c>
      <c r="BY8" s="13">
        <f>IF('Données projet'!$A$114&gt;35,BY7+BX8-CG7,IF(A8&lt;'Données projet'!$A$114,$BV$205^A8,IF(A8='Données projet'!$A$114,'Données projet'!$B$114,BY7+BX8-CG7)))</f>
        <v>3.4199518933533928</v>
      </c>
      <c r="BZ8" s="14">
        <f>BY8*VLOOKUP('Données projet'!$B$12,Paramètres!$A$1:$I$89,3,0)*VLOOKUP('Données projet'!$B$12,Paramètres!$A$1:$I$89,5,0)</f>
        <v>2.6675624768156463</v>
      </c>
      <c r="CA8" s="14">
        <f t="shared" si="39"/>
        <v>1.0966471776471767</v>
      </c>
      <c r="CB8" s="22">
        <f t="shared" si="10"/>
        <v>6.5559984815227494</v>
      </c>
      <c r="CC8" s="60">
        <f t="shared" si="11"/>
        <v>185.3470463579701</v>
      </c>
      <c r="CD8" s="60">
        <f ca="1">AVERAGE(OFFSET($CC$3,0,0,'Données projet'!$E$12+1,1))-AVERAGE(OFFSET($H$3,0,0,'Données projet'!$E$12+1,1))</f>
        <v>312.59632808777332</v>
      </c>
      <c r="CE8" s="60">
        <f t="shared" si="40"/>
        <v>302.59481222418219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3.65</v>
      </c>
      <c r="CT8" s="13">
        <f>IF('Données projet'!$A$140&gt;35,CT7+CS8-DB7,IF(A8&lt;'Données projet'!$A$140,$CQ$205^A8,IF(A8='Données projet'!$A$140,'Données projet'!$B$140,CT7+CS8-DB7)))</f>
        <v>2.9230127856917649</v>
      </c>
      <c r="CU8" s="18">
        <f>CT8*VLOOKUP('Données projet'!$B$13,Paramètres!$A$1:$I$89,3,0)*VLOOKUP('Données projet'!$B$13,Paramètres!$A$1:$I$89,5,0)</f>
        <v>2.8271379663210752</v>
      </c>
      <c r="CV8" s="14">
        <f t="shared" si="41"/>
        <v>1.1544158385061292</v>
      </c>
      <c r="CW8" s="22">
        <f t="shared" si="13"/>
        <v>6.9345395434073795</v>
      </c>
      <c r="CX8" s="60">
        <f t="shared" si="14"/>
        <v>185.72558741985472</v>
      </c>
      <c r="CY8" s="60">
        <f ca="1">AVERAGE(OFFSET($CX$3,0,0,'Données projet'!$E$13+1,1))-AVERAGE(OFFSET($H$3,0,0,'Données projet'!$E$13+1,1))</f>
        <v>603.52431522262032</v>
      </c>
      <c r="CZ8" s="60">
        <f t="shared" si="42"/>
        <v>313.56299786481338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3.65</v>
      </c>
      <c r="DO8" s="13">
        <f>IF('Données projet'!$A$166&gt;35,DO7+DN8-DW7,IF(A8&lt;'Données projet'!$A$166,$DL$205^A8,IF(A8='Données projet'!$A$166,'Données projet'!$B$166,DO7+DN8-DW7)))</f>
        <v>2.9230127856917649</v>
      </c>
      <c r="DP8" s="18">
        <f>DO8*VLOOKUP('Données projet'!$B$14,Paramètres!$A$1:$I$89,3,0)*VLOOKUP('Données projet'!$B$14,Paramètres!$A$1:$I$89,5,0)</f>
        <v>3.1463309625186153</v>
      </c>
      <c r="DQ8" s="14">
        <f t="shared" si="43"/>
        <v>1.2688551196974542</v>
      </c>
      <c r="DR8" s="22">
        <f t="shared" si="16"/>
        <v>7.6897824265263219</v>
      </c>
      <c r="DS8" s="60">
        <f t="shared" si="17"/>
        <v>186.48083030297369</v>
      </c>
      <c r="DT8" s="60">
        <f ca="1">AVERAGE(OFFSET($DS$3,0,0,'Données projet'!$E$14+1,1))-AVERAGE(OFFSET($H$3,0,0,'Données projet'!$E$14+1,1))</f>
        <v>661.93515988633499</v>
      </c>
      <c r="DU8" s="60">
        <f t="shared" si="44"/>
        <v>341.9250949809848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3.2692307692307692</v>
      </c>
      <c r="EJ8" s="13">
        <f>IF('Données projet'!$A$192&gt;35,EJ7+EI8-ER7,IF(A8&lt;'Données projet'!$A$192,$EG$205^A8,IF(A8='Données projet'!$A$192,'Données projet'!$B$192,EJ7+EI8-ER7)))</f>
        <v>5.7177187489686574</v>
      </c>
      <c r="EK8" s="18">
        <f>EJ8*VLOOKUP('Données projet'!$B$15,Paramètres!$A$1:$I$89,3,0)*VLOOKUP('Données projet'!$B$15,Paramètres!$A$1:$I$89,5,0)</f>
        <v>3.8354457368081754</v>
      </c>
      <c r="EL8" s="14">
        <f t="shared" si="45"/>
        <v>1.5115125017003845</v>
      </c>
      <c r="EM8" s="22">
        <f t="shared" si="19"/>
        <v>9.3126189320690731</v>
      </c>
      <c r="EN8" s="60">
        <f t="shared" si="20"/>
        <v>188.10366680851644</v>
      </c>
      <c r="EO8" s="60">
        <f ca="1">AVERAGE(OFFSET($EN$3,0,0,'Données projet'!$E$15+1,1))-AVERAGE(OFFSET($H$3,0,0,'Données projet'!$E$15+1,1))</f>
        <v>396.0878652679051</v>
      </c>
      <c r="EP8" s="60">
        <f t="shared" si="46"/>
        <v>327.26339199235406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1.1099999999999999</v>
      </c>
      <c r="FE8" s="13">
        <f>IF('Données projet'!$A$218&gt;35,FE7+FD8-FM7,IF(A8&lt;'Données projet'!$A$218,$FB$205^A8,IF(A8='Données projet'!$A$218,'Données projet'!$B$218,FE7+FD8-FM7)))</f>
        <v>3.331666249791537</v>
      </c>
      <c r="FF8" s="18">
        <f>FE8*VLOOKUP('Données projet'!$B$16,Paramètres!$A$1:$I$89,3,0)*VLOOKUP('Données projet'!$B$16,Paramètres!$A$1:$I$89,5,0)</f>
        <v>2.4427776943471549</v>
      </c>
      <c r="FG8" s="14">
        <f t="shared" si="47"/>
        <v>1.0145800520471964</v>
      </c>
      <c r="FH8" s="22">
        <f t="shared" si="22"/>
        <v>6.0215647416368272</v>
      </c>
      <c r="FI8" s="60">
        <f t="shared" si="23"/>
        <v>184.81261261808419</v>
      </c>
      <c r="FJ8" s="60">
        <f ca="1">AVERAGE(OFFSET($FI$3,0,0,'Données projet'!$E$16+1,1))-AVERAGE(OFFSET($H$3,0,0,'Données projet'!$E$16+1,1))</f>
        <v>368.35775920359396</v>
      </c>
      <c r="FK8" s="60">
        <f t="shared" si="48"/>
        <v>395.5218438652638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2.8</v>
      </c>
      <c r="FZ8" s="13">
        <f>IF('Données projet'!$A$244&gt;35,FZ7+FY8-GH7,IF(A8&lt;'Données projet'!$A$244,$FW$205^A8,IF(A8='Données projet'!$A$244,'Données projet'!$B$244,FZ7+FY8-GH7)))</f>
        <v>2.735564799734763</v>
      </c>
      <c r="GA8" s="18">
        <f>FZ8*VLOOKUP('Données projet'!$B$17,Paramètres!$A$1:$I$89,3,0)*VLOOKUP('Données projet'!$B$17,Paramètres!$A$1:$I$89,5,0)</f>
        <v>2.3471145981724271</v>
      </c>
      <c r="GB8" s="14">
        <f t="shared" si="49"/>
        <v>0.97939113254888255</v>
      </c>
      <c r="GC8" s="22">
        <f t="shared" si="25"/>
        <v>5.7936641476729482</v>
      </c>
      <c r="GD8" s="60">
        <f t="shared" si="26"/>
        <v>184.58471202412031</v>
      </c>
      <c r="GE8" s="60">
        <f ca="1">AVERAGE(OFFSET($GD$3,0,0,'Données projet'!$E$17+1,1))-AVERAGE(OFFSET($H$3,0,0,'Données projet'!$E$17+1,1))</f>
        <v>701.44583662096022</v>
      </c>
      <c r="GF8" s="60">
        <f t="shared" si="50"/>
        <v>331.25104323342907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0.9</v>
      </c>
      <c r="GU8" s="13">
        <f>IF('Données projet'!$A$270&gt;35,GU7+GT8-HC7,IF(A8&lt;'Données projet'!$A$270,$GR$205^A8,IF(A8='Données projet'!$A$270,'Données projet'!$B$270,GU7+GT8-HC7)))</f>
        <v>3.0000000000000004</v>
      </c>
      <c r="GV8" s="18">
        <f>GU8*VLOOKUP('Données projet'!$B$18,Paramètres!$A$1:$I$89,3,0)*VLOOKUP('Données projet'!$B$18,Paramètres!$A$1:$I$89,5,0)</f>
        <v>2.4336000000000007</v>
      </c>
      <c r="GW8" s="14">
        <f t="shared" si="51"/>
        <v>1.0112111626203177</v>
      </c>
      <c r="GX8" s="22">
        <f t="shared" si="28"/>
        <v>5.9997127748970547</v>
      </c>
      <c r="GY8" s="60">
        <f t="shared" si="29"/>
        <v>184.79076065134441</v>
      </c>
      <c r="GZ8" s="60">
        <f ca="1">AVERAGE(OFFSET($GY$3,0,0,'Données projet'!$E$18+1,1))-AVERAGE(OFFSET($H$3,0,0,'Données projet'!$E$18+1,1))</f>
        <v>272.69564942740931</v>
      </c>
      <c r="HA8" s="60">
        <f t="shared" si="52"/>
        <v>316.57989180609252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25">
      <c r="A9" s="11">
        <f t="shared" si="31"/>
        <v>6</v>
      </c>
      <c r="B9" s="75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8">
        <f t="shared" si="1"/>
        <v>183.33333333333334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0">
        <f t="shared" si="0"/>
        <v>189.46981953956174</v>
      </c>
      <c r="S9" s="60">
        <f ca="1">AVERAGE(OFFSET($R$3,0,0,'Données projet'!$E$9+1,1))-AVERAGE(OFFSET($H$3,0,0,'Données projet'!$E$9+1,1))</f>
        <v>570.08763950759544</v>
      </c>
      <c r="T9" s="60">
        <f t="shared" si="34"/>
        <v>297.32483725004136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1.1099999999999999</v>
      </c>
      <c r="AI9" s="14">
        <f>IF('Données projet'!$A$62&gt;35,AI8+AH9-AQ8,IF(A9&lt;'Données projet'!$A$62,$AF$205^A9,IF(A9='Données projet'!$A$62,'Données projet'!$B$62,AI8+AH9-AQ8)))</f>
        <v>4.2383204267167436</v>
      </c>
      <c r="AJ9" s="14">
        <f>AI9*VLOOKUP('Données projet'!$B$10,Paramètres!$A$1:$I$89,3,0)*VLOOKUP('Données projet'!$B$10,Paramètres!$A$1:$I$89,5,0)</f>
        <v>3.3720077314958417</v>
      </c>
      <c r="AK9" s="14">
        <f t="shared" si="35"/>
        <v>1.3489454823501079</v>
      </c>
      <c r="AL9" s="22">
        <f t="shared" si="4"/>
        <v>8.2223268474483628</v>
      </c>
      <c r="AM9" s="60">
        <f t="shared" si="5"/>
        <v>189.69257894370733</v>
      </c>
      <c r="AN9" s="60">
        <f ca="1">AVERAGE(OFFSET($AM$3,0,0,'Données projet'!$E$10+1,1))-AVERAGE(OFFSET($H$3,0,0,'Données projet'!$E$10+1,1))</f>
        <v>394.49874384716014</v>
      </c>
      <c r="AO9" s="60">
        <f t="shared" si="36"/>
        <v>423.72519584013378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3.1623931623931623</v>
      </c>
      <c r="BD9" s="13">
        <f>IF('Données projet'!$A$88&gt;35,BD8+BC9-BL8,IF(A9&lt;'Données projet'!$A$88,$BA$205^A9,IF(A9='Données projet'!$A$88,'Données projet'!$B$88,BD8+BC9-BL8)))</f>
        <v>4.6821233241387468</v>
      </c>
      <c r="BE9" s="14">
        <f>BD9*VLOOKUP('Données projet'!$B$11,Paramètres!$A$1:$I$89,3,0)*VLOOKUP('Données projet'!$B$11,Paramètres!$A$1:$I$89,5,0)</f>
        <v>4.4555085552504314</v>
      </c>
      <c r="BF9" s="14">
        <f t="shared" si="37"/>
        <v>1.7255108845411122</v>
      </c>
      <c r="BG9" s="22">
        <f t="shared" si="7"/>
        <v>10.765275524303604</v>
      </c>
      <c r="BH9" s="60">
        <f t="shared" si="8"/>
        <v>192.23552762056258</v>
      </c>
      <c r="BI9" s="60">
        <f ca="1">AVERAGE(OFFSET($BH$3,0,0,'Données projet'!$E$11+1,1))-AVERAGE(OFFSET($H$3,0,0,'Données projet'!$E$11+1,1))</f>
        <v>441.15969139782891</v>
      </c>
      <c r="BJ9" s="60">
        <f t="shared" si="38"/>
        <v>315.06466790224783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2.6666666666666665</v>
      </c>
      <c r="BY9" s="13">
        <f>IF('Données projet'!$A$114&gt;35,BY8+BX9-CG8,IF(A9&lt;'Données projet'!$A$114,$BV$205^A9,IF(A9='Données projet'!$A$114,'Données projet'!$B$114,BY8+BX9-CG8)))</f>
        <v>4.3734482957731098</v>
      </c>
      <c r="BZ9" s="14">
        <f>BY9*VLOOKUP('Données projet'!$B$12,Paramètres!$A$1:$I$89,3,0)*VLOOKUP('Données projet'!$B$12,Paramètres!$A$1:$I$89,5,0)</f>
        <v>3.4112896707030256</v>
      </c>
      <c r="CA9" s="14">
        <f t="shared" si="39"/>
        <v>1.3628213830192535</v>
      </c>
      <c r="CB9" s="22">
        <f t="shared" si="10"/>
        <v>8.3149100852329703</v>
      </c>
      <c r="CC9" s="60">
        <f t="shared" si="11"/>
        <v>189.78516218149196</v>
      </c>
      <c r="CD9" s="60">
        <f ca="1">AVERAGE(OFFSET($CC$3,0,0,'Données projet'!$E$12+1,1))-AVERAGE(OFFSET($H$3,0,0,'Données projet'!$E$12+1,1))</f>
        <v>312.59632808777332</v>
      </c>
      <c r="CE9" s="60">
        <f t="shared" si="40"/>
        <v>302.59481222418219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3.65</v>
      </c>
      <c r="CT9" s="13">
        <f>IF('Données projet'!$A$140&gt;35,CT8+CS9-DB8,IF(A9&lt;'Données projet'!$A$140,$CQ$205^A9,IF(A9='Données projet'!$A$140,'Données projet'!$B$140,CT8+CS9-DB8)))</f>
        <v>3.6224037772879885</v>
      </c>
      <c r="CU9" s="18">
        <f>CT9*VLOOKUP('Données projet'!$B$13,Paramètres!$A$1:$I$89,3,0)*VLOOKUP('Données projet'!$B$13,Paramètres!$A$1:$I$89,5,0)</f>
        <v>3.5035889333929422</v>
      </c>
      <c r="CV9" s="14">
        <f t="shared" si="41"/>
        <v>1.3953523257036018</v>
      </c>
      <c r="CW9" s="22">
        <f t="shared" si="13"/>
        <v>8.5323226929264795</v>
      </c>
      <c r="CX9" s="60">
        <f t="shared" si="14"/>
        <v>190.00257478918545</v>
      </c>
      <c r="CY9" s="60">
        <f ca="1">AVERAGE(OFFSET($CX$3,0,0,'Données projet'!$E$13+1,1))-AVERAGE(OFFSET($H$3,0,0,'Données projet'!$E$13+1,1))</f>
        <v>603.52431522262032</v>
      </c>
      <c r="CZ9" s="60">
        <f t="shared" si="42"/>
        <v>313.56299786481338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3.65</v>
      </c>
      <c r="DO9" s="13">
        <f>IF('Données projet'!$A$166&gt;35,DO8+DN9-DW8,IF(A9&lt;'Données projet'!$A$166,$DL$205^A9,IF(A9='Données projet'!$A$166,'Données projet'!$B$166,DO8+DN9-DW8)))</f>
        <v>3.6224037772879885</v>
      </c>
      <c r="DP9" s="18">
        <f>DO9*VLOOKUP('Données projet'!$B$14,Paramètres!$A$1:$I$89,3,0)*VLOOKUP('Données projet'!$B$14,Paramètres!$A$1:$I$89,5,0)</f>
        <v>3.8991554258727907</v>
      </c>
      <c r="DQ9" s="14">
        <f t="shared" si="43"/>
        <v>1.5336760664526912</v>
      </c>
      <c r="DR9" s="22">
        <f t="shared" si="16"/>
        <v>9.4621815158002143</v>
      </c>
      <c r="DS9" s="60">
        <f t="shared" si="17"/>
        <v>190.93243361205919</v>
      </c>
      <c r="DT9" s="60">
        <f ca="1">AVERAGE(OFFSET($DS$3,0,0,'Données projet'!$E$14+1,1))-AVERAGE(OFFSET($H$3,0,0,'Données projet'!$E$14+1,1))</f>
        <v>661.93515988633499</v>
      </c>
      <c r="DU9" s="60">
        <f t="shared" si="44"/>
        <v>341.9250949809848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3.2692307692307692</v>
      </c>
      <c r="EJ9" s="13">
        <f>IF('Données projet'!$A$192&gt;35,EJ8+EI9-ER8,IF(A9&lt;'Données projet'!$A$192,$EG$205^A9,IF(A9='Données projet'!$A$192,'Données projet'!$B$192,EJ8+EI9-ER8)))</f>
        <v>8.1034012980399712</v>
      </c>
      <c r="EK9" s="18">
        <f>EJ9*VLOOKUP('Données projet'!$B$15,Paramètres!$A$1:$I$89,3,0)*VLOOKUP('Données projet'!$B$15,Paramètres!$A$1:$I$89,5,0)</f>
        <v>5.435761590725213</v>
      </c>
      <c r="EL9" s="14">
        <f t="shared" si="45"/>
        <v>2.0569709334145188</v>
      </c>
      <c r="EM9" s="22">
        <f t="shared" si="19"/>
        <v>13.049842479543365</v>
      </c>
      <c r="EN9" s="60">
        <f t="shared" si="20"/>
        <v>194.52009457580235</v>
      </c>
      <c r="EO9" s="60">
        <f ca="1">AVERAGE(OFFSET($EN$3,0,0,'Données projet'!$E$15+1,1))-AVERAGE(OFFSET($H$3,0,0,'Données projet'!$E$15+1,1))</f>
        <v>396.0878652679051</v>
      </c>
      <c r="EP9" s="60">
        <f t="shared" si="46"/>
        <v>327.26339199235406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1.1099999999999999</v>
      </c>
      <c r="FE9" s="13">
        <f>IF('Données projet'!$A$218&gt;35,FE8+FD9-FM8,IF(A9&lt;'Données projet'!$A$218,$FB$205^A9,IF(A9='Données projet'!$A$218,'Données projet'!$B$218,FE8+FD9-FM8)))</f>
        <v>4.2383204267167436</v>
      </c>
      <c r="FF9" s="18">
        <f>FE9*VLOOKUP('Données projet'!$B$16,Paramètres!$A$1:$I$89,3,0)*VLOOKUP('Données projet'!$B$16,Paramètres!$A$1:$I$89,5,0)</f>
        <v>3.1075365368687162</v>
      </c>
      <c r="FG9" s="14">
        <f t="shared" si="47"/>
        <v>1.2550211873910744</v>
      </c>
      <c r="FH9" s="22">
        <f t="shared" si="22"/>
        <v>7.5981213697524668</v>
      </c>
      <c r="FI9" s="60">
        <f t="shared" si="23"/>
        <v>189.06837346601145</v>
      </c>
      <c r="FJ9" s="60">
        <f ca="1">AVERAGE(OFFSET($FI$3,0,0,'Données projet'!$E$16+1,1))-AVERAGE(OFFSET($H$3,0,0,'Données projet'!$E$16+1,1))</f>
        <v>368.35775920359396</v>
      </c>
      <c r="FK9" s="60">
        <f t="shared" si="48"/>
        <v>395.5218438652638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2.8</v>
      </c>
      <c r="FZ9" s="13">
        <f>IF('Données projet'!$A$244&gt;35,FZ8+FY9-GH8,IF(A9&lt;'Données projet'!$A$244,$FW$205^A9,IF(A9='Données projet'!$A$244,'Données projet'!$B$244,FZ8+FY9-GH8)))</f>
        <v>3.3454643638562565</v>
      </c>
      <c r="GA9" s="18">
        <f>FZ9*VLOOKUP('Données projet'!$B$17,Paramètres!$A$1:$I$89,3,0)*VLOOKUP('Données projet'!$B$17,Paramètres!$A$1:$I$89,5,0)</f>
        <v>2.8704084241886685</v>
      </c>
      <c r="GB9" s="14">
        <f t="shared" si="49"/>
        <v>1.170014151433729</v>
      </c>
      <c r="GC9" s="22">
        <f t="shared" si="25"/>
        <v>7.0370693192090075</v>
      </c>
      <c r="GD9" s="60">
        <f t="shared" si="26"/>
        <v>188.50732141546797</v>
      </c>
      <c r="GE9" s="60">
        <f ca="1">AVERAGE(OFFSET($GD$3,0,0,'Données projet'!$E$17+1,1))-AVERAGE(OFFSET($H$3,0,0,'Données projet'!$E$17+1,1))</f>
        <v>701.44583662096022</v>
      </c>
      <c r="GF9" s="60">
        <f t="shared" si="50"/>
        <v>331.25104323342907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0.9</v>
      </c>
      <c r="GU9" s="13">
        <f>IF('Données projet'!$A$270&gt;35,GU8+GT9-HC8,IF(A9&lt;'Données projet'!$A$270,$GR$205^A9,IF(A9='Données projet'!$A$270,'Données projet'!$B$270,GU8+GT9-HC8)))</f>
        <v>3.7371928188465526</v>
      </c>
      <c r="GV9" s="18">
        <f>GU9*VLOOKUP('Données projet'!$B$18,Paramètres!$A$1:$I$89,3,0)*VLOOKUP('Données projet'!$B$18,Paramètres!$A$1:$I$89,5,0)</f>
        <v>3.0316108146483236</v>
      </c>
      <c r="GW9" s="14">
        <f t="shared" si="51"/>
        <v>1.2278879099133964</v>
      </c>
      <c r="GX9" s="22">
        <f t="shared" si="28"/>
        <v>7.4186269452783291</v>
      </c>
      <c r="GY9" s="60">
        <f t="shared" si="29"/>
        <v>188.88887904153731</v>
      </c>
      <c r="GZ9" s="60">
        <f ca="1">AVERAGE(OFFSET($GY$3,0,0,'Données projet'!$E$18+1,1))-AVERAGE(OFFSET($H$3,0,0,'Données projet'!$E$18+1,1))</f>
        <v>272.69564942740931</v>
      </c>
      <c r="HA9" s="60">
        <f t="shared" si="52"/>
        <v>316.57989180609252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25">
      <c r="A10" s="11">
        <f t="shared" si="31"/>
        <v>7</v>
      </c>
      <c r="B10" s="75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8">
        <f t="shared" si="1"/>
        <v>183.33333333333334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0">
        <f t="shared" si="0"/>
        <v>193.96778694515905</v>
      </c>
      <c r="S10" s="60">
        <f ca="1">AVERAGE(OFFSET($R$3,0,0,'Données projet'!$E$9+1,1))-AVERAGE(OFFSET($H$3,0,0,'Données projet'!$E$9+1,1))</f>
        <v>570.08763950759544</v>
      </c>
      <c r="T10" s="60">
        <f t="shared" si="34"/>
        <v>297.32483725004136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1.1099999999999999</v>
      </c>
      <c r="AI10" s="14">
        <f>IF('Données projet'!$A$62&gt;35,AI9+AH10-AQ9,IF(A10&lt;'Données projet'!$A$62,$AF$205^A10,IF(A10='Données projet'!$A$62,'Données projet'!$B$62,AI9+AH10-AQ9)))</f>
        <v>5.3917045384267919</v>
      </c>
      <c r="AJ10" s="14">
        <f>AI10*VLOOKUP('Données projet'!$B$10,Paramètres!$A$1:$I$89,3,0)*VLOOKUP('Données projet'!$B$10,Paramètres!$A$1:$I$89,5,0)</f>
        <v>4.289640130772356</v>
      </c>
      <c r="AK10" s="14">
        <f t="shared" si="35"/>
        <v>1.6686264997708673</v>
      </c>
      <c r="AL10" s="22">
        <f t="shared" si="4"/>
        <v>10.377314381529446</v>
      </c>
      <c r="AM10" s="60">
        <f t="shared" si="5"/>
        <v>194.50149531726569</v>
      </c>
      <c r="AN10" s="60">
        <f ca="1">AVERAGE(OFFSET($AM$3,0,0,'Données projet'!$E$10+1,1))-AVERAGE(OFFSET($H$3,0,0,'Données projet'!$E$10+1,1))</f>
        <v>394.49874384716014</v>
      </c>
      <c r="AO10" s="60">
        <f t="shared" si="36"/>
        <v>423.72519584013378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3.1623931623931623</v>
      </c>
      <c r="BD10" s="13">
        <f>IF('Données projet'!$A$88&gt;35,BD9+BC10-BL9,IF(A10&lt;'Données projet'!$A$88,$BA$205^A10,IF(A10='Données projet'!$A$88,'Données projet'!$B$88,BD9+BC10-BL9)))</f>
        <v>6.0559645368024464</v>
      </c>
      <c r="BE10" s="14">
        <f>BD10*VLOOKUP('Données projet'!$B$11,Paramètres!$A$1:$I$89,3,0)*VLOOKUP('Données projet'!$B$11,Paramètres!$A$1:$I$89,5,0)</f>
        <v>5.7628558532212084</v>
      </c>
      <c r="BF10" s="14">
        <f t="shared" si="37"/>
        <v>2.1659657586703922</v>
      </c>
      <c r="BG10" s="22">
        <f t="shared" si="7"/>
        <v>13.809364307377871</v>
      </c>
      <c r="BH10" s="60">
        <f t="shared" si="8"/>
        <v>197.93354524311411</v>
      </c>
      <c r="BI10" s="60">
        <f ca="1">AVERAGE(OFFSET($BH$3,0,0,'Données projet'!$E$11+1,1))-AVERAGE(OFFSET($H$3,0,0,'Données projet'!$E$11+1,1))</f>
        <v>441.15969139782891</v>
      </c>
      <c r="BJ10" s="60">
        <f t="shared" si="38"/>
        <v>315.06466790224783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2.6666666666666665</v>
      </c>
      <c r="BY10" s="13">
        <f>IF('Données projet'!$A$114&gt;35,BY9+BX10-CG9,IF(A10&lt;'Données projet'!$A$114,$BV$205^A10,IF(A10='Données projet'!$A$114,'Données projet'!$B$114,BY9+BX10-CG9)))</f>
        <v>5.5927833467405659</v>
      </c>
      <c r="BZ10" s="14">
        <f>BY10*VLOOKUP('Données projet'!$B$12,Paramètres!$A$1:$I$89,3,0)*VLOOKUP('Données projet'!$B$12,Paramètres!$A$1:$I$89,5,0)</f>
        <v>4.3623710104576414</v>
      </c>
      <c r="CA10" s="14">
        <f t="shared" si="39"/>
        <v>1.6936004212396314</v>
      </c>
      <c r="CB10" s="22">
        <f t="shared" si="10"/>
        <v>10.54748357687275</v>
      </c>
      <c r="CC10" s="60">
        <f t="shared" si="11"/>
        <v>194.67166451260897</v>
      </c>
      <c r="CD10" s="60">
        <f ca="1">AVERAGE(OFFSET($CC$3,0,0,'Données projet'!$E$12+1,1))-AVERAGE(OFFSET($H$3,0,0,'Données projet'!$E$12+1,1))</f>
        <v>312.59632808777332</v>
      </c>
      <c r="CE10" s="60">
        <f t="shared" si="40"/>
        <v>302.59481222418219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3.65</v>
      </c>
      <c r="CT10" s="13">
        <f>IF('Données projet'!$A$140&gt;35,CT9+CS10-DB9,IF(A10&lt;'Données projet'!$A$140,$CQ$205^A10,IF(A10='Données projet'!$A$140,'Données projet'!$B$140,CT9+CS10-DB9)))</f>
        <v>4.4891384635544309</v>
      </c>
      <c r="CU10" s="18">
        <f>CT10*VLOOKUP('Données projet'!$B$13,Paramètres!$A$1:$I$89,3,0)*VLOOKUP('Données projet'!$B$13,Paramètres!$A$1:$I$89,5,0)</f>
        <v>4.3418947219498456</v>
      </c>
      <c r="CV10" s="14">
        <f t="shared" si="41"/>
        <v>1.6865743243491664</v>
      </c>
      <c r="CW10" s="22">
        <f t="shared" si="13"/>
        <v>10.499583588970779</v>
      </c>
      <c r="CX10" s="60">
        <f t="shared" si="14"/>
        <v>194.62376452470701</v>
      </c>
      <c r="CY10" s="60">
        <f ca="1">AVERAGE(OFFSET($CX$3,0,0,'Données projet'!$E$13+1,1))-AVERAGE(OFFSET($H$3,0,0,'Données projet'!$E$13+1,1))</f>
        <v>603.52431522262032</v>
      </c>
      <c r="CZ10" s="60">
        <f t="shared" si="42"/>
        <v>313.56299786481338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3.65</v>
      </c>
      <c r="DO10" s="13">
        <f>IF('Données projet'!$A$166&gt;35,DO9+DN10-DW9,IF(A10&lt;'Données projet'!$A$166,$DL$205^A10,IF(A10='Données projet'!$A$166,'Données projet'!$B$166,DO9+DN10-DW9)))</f>
        <v>4.4891384635544309</v>
      </c>
      <c r="DP10" s="18">
        <f>DO10*VLOOKUP('Données projet'!$B$14,Paramètres!$A$1:$I$89,3,0)*VLOOKUP('Données projet'!$B$14,Paramètres!$A$1:$I$89,5,0)</f>
        <v>4.8321086421699899</v>
      </c>
      <c r="DQ10" s="14">
        <f t="shared" si="43"/>
        <v>1.8537674162284574</v>
      </c>
      <c r="DR10" s="22">
        <f t="shared" si="16"/>
        <v>11.644567468377296</v>
      </c>
      <c r="DS10" s="60">
        <f t="shared" si="17"/>
        <v>195.76874840411352</v>
      </c>
      <c r="DT10" s="60">
        <f ca="1">AVERAGE(OFFSET($DS$3,0,0,'Données projet'!$E$14+1,1))-AVERAGE(OFFSET($H$3,0,0,'Données projet'!$E$14+1,1))</f>
        <v>661.93515988633499</v>
      </c>
      <c r="DU10" s="60">
        <f t="shared" si="44"/>
        <v>341.9250949809848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3.2692307692307692</v>
      </c>
      <c r="EJ10" s="13">
        <f>IF('Données projet'!$A$192&gt;35,EJ9+EI10-ER9,IF(A10&lt;'Données projet'!$A$192,$EG$205^A10,IF(A10='Données projet'!$A$192,'Données projet'!$B$192,EJ9+EI10-ER9)))</f>
        <v>11.484495037276947</v>
      </c>
      <c r="EK10" s="18">
        <f>EJ10*VLOOKUP('Données projet'!$B$15,Paramètres!$A$1:$I$89,3,0)*VLOOKUP('Données projet'!$B$15,Paramètres!$A$1:$I$89,5,0)</f>
        <v>7.7037992710053755</v>
      </c>
      <c r="EL10" s="14">
        <f t="shared" si="45"/>
        <v>2.7992685579195422</v>
      </c>
      <c r="EM10" s="22">
        <f t="shared" si="19"/>
        <v>18.292843135377566</v>
      </c>
      <c r="EN10" s="60">
        <f t="shared" si="20"/>
        <v>202.41702407111381</v>
      </c>
      <c r="EO10" s="60">
        <f ca="1">AVERAGE(OFFSET($EN$3,0,0,'Données projet'!$E$15+1,1))-AVERAGE(OFFSET($H$3,0,0,'Données projet'!$E$15+1,1))</f>
        <v>396.0878652679051</v>
      </c>
      <c r="EP10" s="60">
        <f t="shared" si="46"/>
        <v>327.26339199235406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1.1099999999999999</v>
      </c>
      <c r="FE10" s="13">
        <f>IF('Données projet'!$A$218&gt;35,FE9+FD10-FM9,IF(A10&lt;'Données projet'!$A$218,$FB$205^A10,IF(A10='Données projet'!$A$218,'Données projet'!$B$218,FE9+FD10-FM9)))</f>
        <v>5.3917045384267919</v>
      </c>
      <c r="FF10" s="18">
        <f>FE10*VLOOKUP('Données projet'!$B$16,Paramètres!$A$1:$I$89,3,0)*VLOOKUP('Données projet'!$B$16,Paramètres!$A$1:$I$89,5,0)</f>
        <v>3.9531977675745238</v>
      </c>
      <c r="FG10" s="14">
        <f t="shared" si="47"/>
        <v>1.5524434741471074</v>
      </c>
      <c r="FH10" s="22">
        <f t="shared" si="22"/>
        <v>9.5889918293318406</v>
      </c>
      <c r="FI10" s="60">
        <f t="shared" si="23"/>
        <v>193.71317276506807</v>
      </c>
      <c r="FJ10" s="60">
        <f ca="1">AVERAGE(OFFSET($FI$3,0,0,'Données projet'!$E$16+1,1))-AVERAGE(OFFSET($H$3,0,0,'Données projet'!$E$16+1,1))</f>
        <v>368.35775920359396</v>
      </c>
      <c r="FK10" s="60">
        <f t="shared" si="48"/>
        <v>395.5218438652638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2.8</v>
      </c>
      <c r="FZ10" s="13">
        <f>IF('Données projet'!$A$244&gt;35,FZ9+FY10-GH9,IF(A10&lt;'Données projet'!$A$244,$FW$205^A10,IF(A10='Données projet'!$A$244,'Données projet'!$B$244,FZ9+FY10-GH9)))</f>
        <v>4.091342237960264</v>
      </c>
      <c r="GA10" s="18">
        <f>FZ10*VLOOKUP('Données projet'!$B$17,Paramètres!$A$1:$I$89,3,0)*VLOOKUP('Données projet'!$B$17,Paramètres!$A$1:$I$89,5,0)</f>
        <v>3.510371640169907</v>
      </c>
      <c r="GB10" s="14">
        <f t="shared" si="49"/>
        <v>1.3977389309136552</v>
      </c>
      <c r="GC10" s="22">
        <f t="shared" si="25"/>
        <v>8.5482925779705372</v>
      </c>
      <c r="GD10" s="60">
        <f t="shared" si="26"/>
        <v>192.67247351370676</v>
      </c>
      <c r="GE10" s="60">
        <f ca="1">AVERAGE(OFFSET($GD$3,0,0,'Données projet'!$E$17+1,1))-AVERAGE(OFFSET($H$3,0,0,'Données projet'!$E$17+1,1))</f>
        <v>701.44583662096022</v>
      </c>
      <c r="GF10" s="60">
        <f t="shared" si="50"/>
        <v>331.25104323342907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0.9</v>
      </c>
      <c r="GU10" s="13">
        <f>IF('Données projet'!$A$270&gt;35,GU9+GT10-HC9,IF(A10&lt;'Données projet'!$A$270,$GR$205^A10,IF(A10='Données projet'!$A$270,'Données projet'!$B$270,GU9+GT10-HC9)))</f>
        <v>4.6555367217460804</v>
      </c>
      <c r="GV10" s="18">
        <f>GU10*VLOOKUP('Données projet'!$B$18,Paramètres!$A$1:$I$89,3,0)*VLOOKUP('Données projet'!$B$18,Paramètres!$A$1:$I$89,5,0)</f>
        <v>3.7765713886804204</v>
      </c>
      <c r="GW10" s="14">
        <f t="shared" si="51"/>
        <v>1.490992954829151</v>
      </c>
      <c r="GX10" s="22">
        <f t="shared" si="28"/>
        <v>9.1743412316125035</v>
      </c>
      <c r="GY10" s="60">
        <f t="shared" si="29"/>
        <v>193.29852216734875</v>
      </c>
      <c r="GZ10" s="60">
        <f ca="1">AVERAGE(OFFSET($GY$3,0,0,'Données projet'!$E$18+1,1))-AVERAGE(OFFSET($H$3,0,0,'Données projet'!$E$18+1,1))</f>
        <v>272.69564942740931</v>
      </c>
      <c r="HA10" s="60">
        <f t="shared" si="52"/>
        <v>316.57989180609252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25">
      <c r="A11" s="11">
        <f t="shared" si="31"/>
        <v>8</v>
      </c>
      <c r="B11" s="75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8">
        <f t="shared" si="1"/>
        <v>183.33333333333334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0">
        <f t="shared" si="0"/>
        <v>198.86752730846644</v>
      </c>
      <c r="S11" s="60">
        <f ca="1">AVERAGE(OFFSET($R$3,0,0,'Données projet'!$E$9+1,1))-AVERAGE(OFFSET($H$3,0,0,'Données projet'!$E$9+1,1))</f>
        <v>570.08763950759544</v>
      </c>
      <c r="T11" s="60">
        <f t="shared" si="34"/>
        <v>297.32483725004136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1.1099999999999999</v>
      </c>
      <c r="AI11" s="14">
        <f>IF('Données projet'!$A$62&gt;35,AI10+AH11-AQ10,IF(A11&lt;'Données projet'!$A$62,$AF$205^A11,IF(A11='Données projet'!$A$62,'Données projet'!$B$62,AI10+AH11-AQ10)))</f>
        <v>6.8589617827012184</v>
      </c>
      <c r="AJ11" s="14">
        <f>AI11*VLOOKUP('Données projet'!$B$10,Paramètres!$A$1:$I$89,3,0)*VLOOKUP('Données projet'!$B$10,Paramètres!$A$1:$I$89,5,0)</f>
        <v>5.4569899943170901</v>
      </c>
      <c r="AK11" s="14">
        <f t="shared" si="35"/>
        <v>2.0640674009203073</v>
      </c>
      <c r="AL11" s="22">
        <f t="shared" si="4"/>
        <v>13.0991749633718</v>
      </c>
      <c r="AM11" s="60">
        <f t="shared" si="5"/>
        <v>199.85244782959236</v>
      </c>
      <c r="AN11" s="60">
        <f ca="1">AVERAGE(OFFSET($AM$3,0,0,'Données projet'!$E$10+1,1))-AVERAGE(OFFSET($H$3,0,0,'Données projet'!$E$10+1,1))</f>
        <v>394.49874384716014</v>
      </c>
      <c r="AO11" s="60">
        <f t="shared" si="36"/>
        <v>423.72519584013378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3.1623931623931623</v>
      </c>
      <c r="BD11" s="13">
        <f>IF('Données projet'!$A$88&gt;35,BD10+BC11-BL10,IF(A11&lt;'Données projet'!$A$88,$BA$205^A11,IF(A11='Données projet'!$A$88,'Données projet'!$B$88,BD10+BC11-BL10)))</f>
        <v>7.8329219313664717</v>
      </c>
      <c r="BE11" s="14">
        <f>BD11*VLOOKUP('Données projet'!$B$11,Paramètres!$A$1:$I$89,3,0)*VLOOKUP('Données projet'!$B$11,Paramètres!$A$1:$I$89,5,0)</f>
        <v>7.4538085098883347</v>
      </c>
      <c r="BF11" s="14">
        <f t="shared" si="37"/>
        <v>2.7188513904855807</v>
      </c>
      <c r="BG11" s="22">
        <f t="shared" si="7"/>
        <v>17.717382659817904</v>
      </c>
      <c r="BH11" s="60">
        <f t="shared" si="8"/>
        <v>204.47065552603846</v>
      </c>
      <c r="BI11" s="60">
        <f ca="1">AVERAGE(OFFSET($BH$3,0,0,'Données projet'!$E$11+1,1))-AVERAGE(OFFSET($H$3,0,0,'Données projet'!$E$11+1,1))</f>
        <v>441.15969139782891</v>
      </c>
      <c r="BJ11" s="60">
        <f t="shared" si="38"/>
        <v>315.06466790224783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2.6666666666666665</v>
      </c>
      <c r="BY11" s="13">
        <f>IF('Données projet'!$A$114&gt;35,BY10+BX11-CG10,IF(A11&lt;'Données projet'!$A$114,$BV$205^A11,IF(A11='Données projet'!$A$114,'Données projet'!$B$114,BY10+BX11-CG10)))</f>
        <v>7.1520739352994367</v>
      </c>
      <c r="BZ11" s="14">
        <f>BY11*VLOOKUP('Données projet'!$B$12,Paramètres!$A$1:$I$89,3,0)*VLOOKUP('Données projet'!$B$12,Paramètres!$A$1:$I$89,5,0)</f>
        <v>5.5786176695335605</v>
      </c>
      <c r="CA11" s="14">
        <f t="shared" si="39"/>
        <v>2.1046649418345189</v>
      </c>
      <c r="CB11" s="22">
        <f t="shared" si="10"/>
        <v>13.381717214799407</v>
      </c>
      <c r="CC11" s="60">
        <f t="shared" si="11"/>
        <v>200.13499008101996</v>
      </c>
      <c r="CD11" s="60">
        <f ca="1">AVERAGE(OFFSET($CC$3,0,0,'Données projet'!$E$12+1,1))-AVERAGE(OFFSET($H$3,0,0,'Données projet'!$E$12+1,1))</f>
        <v>312.59632808777332</v>
      </c>
      <c r="CE11" s="60">
        <f t="shared" si="40"/>
        <v>302.59481222418219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3.65</v>
      </c>
      <c r="CT11" s="13">
        <f>IF('Données projet'!$A$140&gt;35,CT10+CS11-DB10,IF(A11&lt;'Données projet'!$A$140,$CQ$205^A11,IF(A11='Données projet'!$A$140,'Données projet'!$B$140,CT10+CS11-DB10)))</f>
        <v>5.563257268920875</v>
      </c>
      <c r="CU11" s="18">
        <f>CT11*VLOOKUP('Données projet'!$B$13,Paramètres!$A$1:$I$89,3,0)*VLOOKUP('Données projet'!$B$13,Paramètres!$A$1:$I$89,5,0)</f>
        <v>5.3807824305002701</v>
      </c>
      <c r="CV11" s="14">
        <f t="shared" si="41"/>
        <v>2.0385768519929188</v>
      </c>
      <c r="CW11" s="22">
        <f t="shared" si="13"/>
        <v>12.922050750342303</v>
      </c>
      <c r="CX11" s="60">
        <f t="shared" si="14"/>
        <v>199.67532361656285</v>
      </c>
      <c r="CY11" s="60">
        <f ca="1">AVERAGE(OFFSET($CX$3,0,0,'Données projet'!$E$13+1,1))-AVERAGE(OFFSET($H$3,0,0,'Données projet'!$E$13+1,1))</f>
        <v>603.52431522262032</v>
      </c>
      <c r="CZ11" s="60">
        <f t="shared" si="42"/>
        <v>313.56299786481338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3.65</v>
      </c>
      <c r="DO11" s="13">
        <f>IF('Données projet'!$A$166&gt;35,DO10+DN11-DW10,IF(A11&lt;'Données projet'!$A$166,$DL$205^A11,IF(A11='Données projet'!$A$166,'Données projet'!$B$166,DO10+DN11-DW10)))</f>
        <v>5.563257268920875</v>
      </c>
      <c r="DP11" s="18">
        <f>DO11*VLOOKUP('Données projet'!$B$14,Paramètres!$A$1:$I$89,3,0)*VLOOKUP('Données projet'!$B$14,Paramètres!$A$1:$I$89,5,0)</f>
        <v>5.9882901242664301</v>
      </c>
      <c r="DQ11" s="14">
        <f t="shared" si="43"/>
        <v>2.2406645762026263</v>
      </c>
      <c r="DR11" s="22">
        <f t="shared" si="16"/>
        <v>14.332096103316941</v>
      </c>
      <c r="DS11" s="60">
        <f t="shared" si="17"/>
        <v>201.08536896953748</v>
      </c>
      <c r="DT11" s="60">
        <f ca="1">AVERAGE(OFFSET($DS$3,0,0,'Données projet'!$E$14+1,1))-AVERAGE(OFFSET($H$3,0,0,'Données projet'!$E$14+1,1))</f>
        <v>661.93515988633499</v>
      </c>
      <c r="DU11" s="60">
        <f t="shared" si="44"/>
        <v>341.9250949809848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3.2692307692307692</v>
      </c>
      <c r="EJ11" s="13">
        <f>IF('Données projet'!$A$192&gt;35,EJ10+EI11-ER10,IF(A11&lt;'Données projet'!$A$192,$EG$205^A11,IF(A11='Données projet'!$A$192,'Données projet'!$B$192,EJ10+EI11-ER10)))</f>
        <v>16.276329088273204</v>
      </c>
      <c r="EK11" s="18">
        <f>EJ11*VLOOKUP('Données projet'!$B$15,Paramètres!$A$1:$I$89,3,0)*VLOOKUP('Données projet'!$B$15,Paramètres!$A$1:$I$89,5,0)</f>
        <v>10.918161552413665</v>
      </c>
      <c r="EL11" s="14">
        <f t="shared" si="45"/>
        <v>3.8094385934513699</v>
      </c>
      <c r="EM11" s="22">
        <f t="shared" si="19"/>
        <v>25.650570254048265</v>
      </c>
      <c r="EN11" s="60">
        <f t="shared" si="20"/>
        <v>212.40384312026882</v>
      </c>
      <c r="EO11" s="60">
        <f ca="1">AVERAGE(OFFSET($EN$3,0,0,'Données projet'!$E$15+1,1))-AVERAGE(OFFSET($H$3,0,0,'Données projet'!$E$15+1,1))</f>
        <v>396.0878652679051</v>
      </c>
      <c r="EP11" s="60">
        <f t="shared" si="46"/>
        <v>327.26339199235406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1.1099999999999999</v>
      </c>
      <c r="FE11" s="13">
        <f>IF('Données projet'!$A$218&gt;35,FE10+FD11-FM10,IF(A11&lt;'Données projet'!$A$218,$FB$205^A11,IF(A11='Données projet'!$A$218,'Données projet'!$B$218,FE10+FD11-FM10)))</f>
        <v>6.8589617827012184</v>
      </c>
      <c r="FF11" s="18">
        <f>FE11*VLOOKUP('Données projet'!$B$16,Paramètres!$A$1:$I$89,3,0)*VLOOKUP('Données projet'!$B$16,Paramètres!$A$1:$I$89,5,0)</f>
        <v>5.0289907790765334</v>
      </c>
      <c r="FG11" s="14">
        <f t="shared" si="47"/>
        <v>1.920350640001538</v>
      </c>
      <c r="FH11" s="22">
        <f t="shared" si="22"/>
        <v>12.103436304894307</v>
      </c>
      <c r="FI11" s="60">
        <f t="shared" si="23"/>
        <v>198.85670917111486</v>
      </c>
      <c r="FJ11" s="60">
        <f ca="1">AVERAGE(OFFSET($FI$3,0,0,'Données projet'!$E$16+1,1))-AVERAGE(OFFSET($H$3,0,0,'Données projet'!$E$16+1,1))</f>
        <v>368.35775920359396</v>
      </c>
      <c r="FK11" s="60">
        <f t="shared" si="48"/>
        <v>395.5218438652638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2.8</v>
      </c>
      <c r="FZ11" s="13">
        <f>IF('Données projet'!$A$244&gt;35,FZ10+FY11-GH10,IF(A11&lt;'Données projet'!$A$244,$FW$205^A11,IF(A11='Données projet'!$A$244,'Données projet'!$B$244,FZ10+FY11-GH10)))</f>
        <v>5.0035150542816931</v>
      </c>
      <c r="GA11" s="18">
        <f>FZ11*VLOOKUP('Données projet'!$B$17,Paramètres!$A$1:$I$89,3,0)*VLOOKUP('Données projet'!$B$17,Paramètres!$A$1:$I$89,5,0)</f>
        <v>4.293015916573693</v>
      </c>
      <c r="GB11" s="14">
        <f t="shared" si="49"/>
        <v>1.669786742833518</v>
      </c>
      <c r="GC11" s="22">
        <f t="shared" si="25"/>
        <v>10.385214631800892</v>
      </c>
      <c r="GD11" s="60">
        <f t="shared" si="26"/>
        <v>197.13848749802145</v>
      </c>
      <c r="GE11" s="60">
        <f ca="1">AVERAGE(OFFSET($GD$3,0,0,'Données projet'!$E$17+1,1))-AVERAGE(OFFSET($H$3,0,0,'Données projet'!$E$17+1,1))</f>
        <v>701.44583662096022</v>
      </c>
      <c r="GF11" s="60">
        <f t="shared" si="50"/>
        <v>331.25104323342907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0.9</v>
      </c>
      <c r="GU11" s="13">
        <f>IF('Données projet'!$A$270&gt;35,GU10+GT11-HC10,IF(A11&lt;'Données projet'!$A$270,$GR$205^A11,IF(A11='Données projet'!$A$270,'Données projet'!$B$270,GU10+GT11-HC10)))</f>
        <v>5.7995461347952899</v>
      </c>
      <c r="GV11" s="18">
        <f>GU11*VLOOKUP('Données projet'!$B$18,Paramètres!$A$1:$I$89,3,0)*VLOOKUP('Données projet'!$B$18,Paramètres!$A$1:$I$89,5,0)</f>
        <v>4.7045918245459397</v>
      </c>
      <c r="GW11" s="14">
        <f t="shared" si="51"/>
        <v>1.8104746967554695</v>
      </c>
      <c r="GX11" s="22">
        <f t="shared" si="28"/>
        <v>11.347074191266621</v>
      </c>
      <c r="GY11" s="60">
        <f t="shared" si="29"/>
        <v>198.10034705748717</v>
      </c>
      <c r="GZ11" s="60">
        <f ca="1">AVERAGE(OFFSET($GY$3,0,0,'Données projet'!$E$18+1,1))-AVERAGE(OFFSET($H$3,0,0,'Données projet'!$E$18+1,1))</f>
        <v>272.69564942740931</v>
      </c>
      <c r="HA11" s="60">
        <f t="shared" si="52"/>
        <v>316.57989180609252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25">
      <c r="A12" s="11">
        <f t="shared" si="31"/>
        <v>9</v>
      </c>
      <c r="B12" s="75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8">
        <f t="shared" si="1"/>
        <v>183.33333333333334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0">
        <f t="shared" si="0"/>
        <v>204.26849655299031</v>
      </c>
      <c r="S12" s="60">
        <f ca="1">AVERAGE(OFFSET($R$3,0,0,'Données projet'!$E$9+1,1))-AVERAGE(OFFSET($H$3,0,0,'Données projet'!$E$9+1,1))</f>
        <v>570.08763950759544</v>
      </c>
      <c r="T12" s="60">
        <f t="shared" si="34"/>
        <v>297.32483725004136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1.1099999999999999</v>
      </c>
      <c r="AI12" s="14">
        <f>IF('Données projet'!$A$62&gt;35,AI11+AH12-AQ11,IF(A12&lt;'Données projet'!$A$62,$AF$205^A12,IF(A12='Données projet'!$A$62,'Données projet'!$B$62,AI11+AH12-AQ11)))</f>
        <v>8.7255071937385704</v>
      </c>
      <c r="AJ12" s="14">
        <f>AI12*VLOOKUP('Données projet'!$B$10,Paramètres!$A$1:$I$89,3,0)*VLOOKUP('Données projet'!$B$10,Paramètres!$A$1:$I$89,5,0)</f>
        <v>6.9420135233384066</v>
      </c>
      <c r="AK12" s="14">
        <f t="shared" si="35"/>
        <v>2.5532222076821487</v>
      </c>
      <c r="AL12" s="22">
        <f t="shared" si="4"/>
        <v>16.5375355648608</v>
      </c>
      <c r="AM12" s="60">
        <f t="shared" si="5"/>
        <v>205.89549431741688</v>
      </c>
      <c r="AN12" s="60">
        <f ca="1">AVERAGE(OFFSET($AM$3,0,0,'Données projet'!$E$10+1,1))-AVERAGE(OFFSET($H$3,0,0,'Données projet'!$E$10+1,1))</f>
        <v>394.49874384716014</v>
      </c>
      <c r="AO12" s="60">
        <f t="shared" si="36"/>
        <v>423.72519584013378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3.1623931623931623</v>
      </c>
      <c r="BD12" s="13">
        <f>IF('Données projet'!$A$88&gt;35,BD11+BC12-BL11,IF(A12&lt;'Données projet'!$A$88,$BA$205^A12,IF(A12='Données projet'!$A$88,'Données projet'!$B$88,BD11+BC12-BL11)))</f>
        <v>10.131278941616319</v>
      </c>
      <c r="BE12" s="14">
        <f>BD12*VLOOKUP('Données projet'!$B$11,Paramètres!$A$1:$I$89,3,0)*VLOOKUP('Données projet'!$B$11,Paramètres!$A$1:$I$89,5,0)</f>
        <v>9.6409250408420899</v>
      </c>
      <c r="BF12" s="14">
        <f t="shared" si="37"/>
        <v>3.412866918119311</v>
      </c>
      <c r="BG12" s="22">
        <f t="shared" si="7"/>
        <v>22.735354328524441</v>
      </c>
      <c r="BH12" s="60">
        <f t="shared" si="8"/>
        <v>212.09331308108051</v>
      </c>
      <c r="BI12" s="60">
        <f ca="1">AVERAGE(OFFSET($BH$3,0,0,'Données projet'!$E$11+1,1))-AVERAGE(OFFSET($H$3,0,0,'Données projet'!$E$11+1,1))</f>
        <v>441.15969139782891</v>
      </c>
      <c r="BJ12" s="60">
        <f t="shared" si="38"/>
        <v>315.06466790224783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2.6666666666666665</v>
      </c>
      <c r="BY12" s="13">
        <f>IF('Données projet'!$A$114&gt;35,BY11+BX12-CG11,IF(A12&lt;'Données projet'!$A$114,$BV$205^A12,IF(A12='Données projet'!$A$114,'Données projet'!$B$114,BY11+BX12-CG11)))</f>
        <v>9.1461010385465205</v>
      </c>
      <c r="BZ12" s="14">
        <f>BY12*VLOOKUP('Données projet'!$B$12,Paramètres!$A$1:$I$89,3,0)*VLOOKUP('Données projet'!$B$12,Paramètres!$A$1:$I$89,5,0)</f>
        <v>7.1339588100662858</v>
      </c>
      <c r="CA12" s="14">
        <f t="shared" si="39"/>
        <v>2.6155015444227643</v>
      </c>
      <c r="CB12" s="22">
        <f t="shared" si="10"/>
        <v>16.980310117401761</v>
      </c>
      <c r="CC12" s="60">
        <f t="shared" si="11"/>
        <v>206.33826886995783</v>
      </c>
      <c r="CD12" s="60">
        <f ca="1">AVERAGE(OFFSET($CC$3,0,0,'Données projet'!$E$12+1,1))-AVERAGE(OFFSET($H$3,0,0,'Données projet'!$E$12+1,1))</f>
        <v>312.59632808777332</v>
      </c>
      <c r="CE12" s="60">
        <f t="shared" si="40"/>
        <v>302.59481222418219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3.65</v>
      </c>
      <c r="CT12" s="13">
        <f>IF('Données projet'!$A$140&gt;35,CT11+CS12-DB11,IF(A12&lt;'Données projet'!$A$140,$CQ$205^A12,IF(A12='Données projet'!$A$140,'Données projet'!$B$140,CT11+CS12-DB11)))</f>
        <v>6.8943811137639424</v>
      </c>
      <c r="CU12" s="18">
        <f>CT12*VLOOKUP('Données projet'!$B$13,Paramètres!$A$1:$I$89,3,0)*VLOOKUP('Données projet'!$B$13,Paramètres!$A$1:$I$89,5,0)</f>
        <v>6.6682454132324853</v>
      </c>
      <c r="CV12" s="14">
        <f t="shared" si="41"/>
        <v>2.4640453263659414</v>
      </c>
      <c r="CW12" s="22">
        <f t="shared" si="13"/>
        <v>15.905406371467258</v>
      </c>
      <c r="CX12" s="60">
        <f t="shared" si="14"/>
        <v>205.26336512402332</v>
      </c>
      <c r="CY12" s="60">
        <f ca="1">AVERAGE(OFFSET($CX$3,0,0,'Données projet'!$E$13+1,1))-AVERAGE(OFFSET($H$3,0,0,'Données projet'!$E$13+1,1))</f>
        <v>603.52431522262032</v>
      </c>
      <c r="CZ12" s="60">
        <f t="shared" si="42"/>
        <v>313.56299786481338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3.65</v>
      </c>
      <c r="DO12" s="13">
        <f>IF('Données projet'!$A$166&gt;35,DO11+DN12-DW11,IF(A12&lt;'Données projet'!$A$166,$DL$205^A12,IF(A12='Données projet'!$A$166,'Données projet'!$B$166,DO11+DN12-DW11)))</f>
        <v>6.8943811137639424</v>
      </c>
      <c r="DP12" s="18">
        <f>DO12*VLOOKUP('Données projet'!$B$14,Paramètres!$A$1:$I$89,3,0)*VLOOKUP('Données projet'!$B$14,Paramètres!$A$1:$I$89,5,0)</f>
        <v>7.4211118308555069</v>
      </c>
      <c r="DQ12" s="14">
        <f t="shared" si="43"/>
        <v>2.7083104919730441</v>
      </c>
      <c r="DR12" s="22">
        <f t="shared" si="16"/>
        <v>17.642077212259725</v>
      </c>
      <c r="DS12" s="60">
        <f t="shared" si="17"/>
        <v>207.00003596481579</v>
      </c>
      <c r="DT12" s="60">
        <f ca="1">AVERAGE(OFFSET($DS$3,0,0,'Données projet'!$E$14+1,1))-AVERAGE(OFFSET($H$3,0,0,'Données projet'!$E$14+1,1))</f>
        <v>661.93515988633499</v>
      </c>
      <c r="DU12" s="60">
        <f t="shared" si="44"/>
        <v>341.9250949809848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3.2692307692307692</v>
      </c>
      <c r="EJ12" s="13">
        <f>IF('Données projet'!$A$192&gt;35,EJ11+EI12-ER11,IF(A12&lt;'Données projet'!$A$192,$EG$205^A12,IF(A12='Données projet'!$A$192,'Données projet'!$B$192,EJ11+EI12-ER11)))</f>
        <v>23.067526062737759</v>
      </c>
      <c r="EK12" s="18">
        <f>EJ12*VLOOKUP('Données projet'!$B$15,Paramètres!$A$1:$I$89,3,0)*VLOOKUP('Données projet'!$B$15,Paramètres!$A$1:$I$89,5,0)</f>
        <v>15.473696482884488</v>
      </c>
      <c r="EL12" s="14">
        <f t="shared" si="45"/>
        <v>5.1841479647319577</v>
      </c>
      <c r="EM12" s="22">
        <f t="shared" si="19"/>
        <v>35.979079079598641</v>
      </c>
      <c r="EN12" s="60">
        <f t="shared" si="20"/>
        <v>225.33703783215472</v>
      </c>
      <c r="EO12" s="60">
        <f ca="1">AVERAGE(OFFSET($EN$3,0,0,'Données projet'!$E$15+1,1))-AVERAGE(OFFSET($H$3,0,0,'Données projet'!$E$15+1,1))</f>
        <v>396.0878652679051</v>
      </c>
      <c r="EP12" s="60">
        <f t="shared" si="46"/>
        <v>327.26339199235406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1.1099999999999999</v>
      </c>
      <c r="FE12" s="13">
        <f>IF('Données projet'!$A$218&gt;35,FE11+FD12-FM11,IF(A12&lt;'Données projet'!$A$218,$FB$205^A12,IF(A12='Données projet'!$A$218,'Données projet'!$B$218,FE11+FD12-FM11)))</f>
        <v>8.7255071937385704</v>
      </c>
      <c r="FF12" s="18">
        <f>FE12*VLOOKUP('Données projet'!$B$16,Paramètres!$A$1:$I$89,3,0)*VLOOKUP('Données projet'!$B$16,Paramètres!$A$1:$I$89,5,0)</f>
        <v>6.3975418744491197</v>
      </c>
      <c r="FG12" s="14">
        <f t="shared" si="47"/>
        <v>2.3754466052815975</v>
      </c>
      <c r="FH12" s="22">
        <f t="shared" si="22"/>
        <v>15.279621602197665</v>
      </c>
      <c r="FI12" s="60">
        <f t="shared" si="23"/>
        <v>204.63758035475374</v>
      </c>
      <c r="FJ12" s="60">
        <f ca="1">AVERAGE(OFFSET($FI$3,0,0,'Données projet'!$E$16+1,1))-AVERAGE(OFFSET($H$3,0,0,'Données projet'!$E$16+1,1))</f>
        <v>368.35775920359396</v>
      </c>
      <c r="FK12" s="60">
        <f t="shared" si="48"/>
        <v>395.5218438652638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2.8</v>
      </c>
      <c r="FZ12" s="13">
        <f>IF('Données projet'!$A$244&gt;35,FZ11+FY12-GH11,IF(A12&lt;'Données projet'!$A$244,$FW$205^A12,IF(A12='Données projet'!$A$244,'Données projet'!$B$244,FZ11+FY12-GH11)))</f>
        <v>6.1190585979687659</v>
      </c>
      <c r="GA12" s="18">
        <f>FZ12*VLOOKUP('Données projet'!$B$17,Paramètres!$A$1:$I$89,3,0)*VLOOKUP('Données projet'!$B$17,Paramètres!$A$1:$I$89,5,0)</f>
        <v>5.250152277057202</v>
      </c>
      <c r="GB12" s="14">
        <f t="shared" si="49"/>
        <v>1.9947843655753528</v>
      </c>
      <c r="GC12" s="22">
        <f t="shared" si="25"/>
        <v>12.618264652585031</v>
      </c>
      <c r="GD12" s="60">
        <f t="shared" si="26"/>
        <v>201.9762234051411</v>
      </c>
      <c r="GE12" s="60">
        <f ca="1">AVERAGE(OFFSET($GD$3,0,0,'Données projet'!$E$17+1,1))-AVERAGE(OFFSET($H$3,0,0,'Données projet'!$E$17+1,1))</f>
        <v>701.44583662096022</v>
      </c>
      <c r="GF12" s="60">
        <f t="shared" si="50"/>
        <v>331.25104323342907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0.9</v>
      </c>
      <c r="GU12" s="13">
        <f>IF('Données projet'!$A$270&gt;35,GU11+GT12-HC11,IF(A12&lt;'Données projet'!$A$270,$GR$205^A12,IF(A12='Données projet'!$A$270,'Données projet'!$B$270,GU11+GT12-HC11)))</f>
        <v>7.2246740558420788</v>
      </c>
      <c r="GV12" s="18">
        <f>GU12*VLOOKUP('Données projet'!$B$18,Paramètres!$A$1:$I$89,3,0)*VLOOKUP('Données projet'!$B$18,Paramètres!$A$1:$I$89,5,0)</f>
        <v>5.8606555940990948</v>
      </c>
      <c r="GW12" s="14">
        <f t="shared" si="51"/>
        <v>2.1984132231982314</v>
      </c>
      <c r="GX12" s="22">
        <f t="shared" si="28"/>
        <v>14.036211523459508</v>
      </c>
      <c r="GY12" s="60">
        <f t="shared" si="29"/>
        <v>203.39417027601559</v>
      </c>
      <c r="GZ12" s="60">
        <f ca="1">AVERAGE(OFFSET($GY$3,0,0,'Données projet'!$E$18+1,1))-AVERAGE(OFFSET($H$3,0,0,'Données projet'!$E$18+1,1))</f>
        <v>272.69564942740931</v>
      </c>
      <c r="HA12" s="60">
        <f t="shared" si="52"/>
        <v>316.57989180609252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25">
      <c r="A13" s="11">
        <f t="shared" si="31"/>
        <v>10</v>
      </c>
      <c r="B13" s="75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8">
        <f t="shared" si="1"/>
        <v>183.33333333333334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0">
        <f t="shared" si="0"/>
        <v>210.29320032238616</v>
      </c>
      <c r="S13" s="60">
        <f ca="1">AVERAGE(OFFSET($R$3,0,0,'Données projet'!$E$9+1,1))-AVERAGE(OFFSET($H$3,0,0,'Données projet'!$E$9+1,1))</f>
        <v>570.08763950759544</v>
      </c>
      <c r="T13" s="60">
        <f t="shared" si="34"/>
        <v>297.32483725004136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11.1</v>
      </c>
      <c r="AG13" s="13">
        <f>VLOOKUP(A13,'Données projet'!$A$61:$I$81,9,0)</f>
        <v>1.1099999999999999</v>
      </c>
      <c r="AH13" s="13">
        <f t="array" ref="AH13">INDEX(AG:AG,MIN(IF(ISNUMBER(AG13:AG209),ROW(AG13:AG209),"")))</f>
        <v>1.1099999999999999</v>
      </c>
      <c r="AI13" s="14">
        <f>IF('Données projet'!$A$62&gt;35,AI12+AH13-AQ12,IF(A13&lt;'Données projet'!$A$62,$AF$205^A13,IF(A13='Données projet'!$A$62,'Données projet'!$B$62,AI12+AH13-AQ12)))</f>
        <v>11.1</v>
      </c>
      <c r="AJ13" s="14">
        <f>AI13*VLOOKUP('Données projet'!$B$10,Paramètres!$A$1:$I$89,3,0)*VLOOKUP('Données projet'!$B$10,Paramètres!$A$1:$I$89,5,0)</f>
        <v>8.8311599999999988</v>
      </c>
      <c r="AK13" s="14">
        <f t="shared" si="35"/>
        <v>3.1582997914189717</v>
      </c>
      <c r="AL13" s="22">
        <f t="shared" si="4"/>
        <v>20.881642470054704</v>
      </c>
      <c r="AM13" s="60">
        <f t="shared" si="5"/>
        <v>212.8203044550996</v>
      </c>
      <c r="AN13" s="60">
        <f ca="1">AVERAGE(OFFSET($AM$3,0,0,'Données projet'!$E$10+1,1))-AVERAGE(OFFSET($H$3,0,0,'Données projet'!$E$10+1,1))</f>
        <v>394.49874384716014</v>
      </c>
      <c r="AO13" s="60">
        <f t="shared" si="36"/>
        <v>423.72519584013378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3.1623931623931623</v>
      </c>
      <c r="BD13" s="13">
        <f>IF('Données projet'!$A$88&gt;35,BD12+BC13-BL12,IF(A13&lt;'Données projet'!$A$88,$BA$205^A13,IF(A13='Données projet'!$A$88,'Données projet'!$B$88,BD12+BC13-BL12)))</f>
        <v>13.104026044458736</v>
      </c>
      <c r="BE13" s="14">
        <f>BD13*VLOOKUP('Données projet'!$B$11,Paramètres!$A$1:$I$89,3,0)*VLOOKUP('Données projet'!$B$11,Paramètres!$A$1:$I$89,5,0)</f>
        <v>12.469791183906933</v>
      </c>
      <c r="BF13" s="14">
        <f t="shared" si="37"/>
        <v>4.2840372377664062</v>
      </c>
      <c r="BG13" s="22">
        <f t="shared" si="7"/>
        <v>29.179584501081067</v>
      </c>
      <c r="BH13" s="60">
        <f t="shared" si="8"/>
        <v>221.11824648612594</v>
      </c>
      <c r="BI13" s="60">
        <f ca="1">AVERAGE(OFFSET($BH$3,0,0,'Données projet'!$E$11+1,1))-AVERAGE(OFFSET($H$3,0,0,'Données projet'!$E$11+1,1))</f>
        <v>441.15969139782891</v>
      </c>
      <c r="BJ13" s="60">
        <f t="shared" si="38"/>
        <v>315.06466790224783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2.6666666666666665</v>
      </c>
      <c r="BY13" s="13">
        <f>IF('Données projet'!$A$114&gt;35,BY12+BX13-CG12,IF(A13&lt;'Données projet'!$A$114,$BV$205^A13,IF(A13='Données projet'!$A$114,'Données projet'!$B$114,BY12+BX13-CG12)))</f>
        <v>11.696070952851455</v>
      </c>
      <c r="BZ13" s="14">
        <f>BY13*VLOOKUP('Données projet'!$B$12,Paramètres!$A$1:$I$89,3,0)*VLOOKUP('Données projet'!$B$12,Paramètres!$A$1:$I$89,5,0)</f>
        <v>9.1229353432241354</v>
      </c>
      <c r="CA13" s="14">
        <f t="shared" si="39"/>
        <v>3.2503265450485803</v>
      </c>
      <c r="CB13" s="22">
        <f t="shared" si="10"/>
        <v>21.550097788741649</v>
      </c>
      <c r="CC13" s="60">
        <f t="shared" si="11"/>
        <v>213.48875977378654</v>
      </c>
      <c r="CD13" s="60">
        <f ca="1">AVERAGE(OFFSET($CC$3,0,0,'Données projet'!$E$12+1,1))-AVERAGE(OFFSET($H$3,0,0,'Données projet'!$E$12+1,1))</f>
        <v>312.59632808777332</v>
      </c>
      <c r="CE13" s="60">
        <f t="shared" si="40"/>
        <v>302.59481222418219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3.65</v>
      </c>
      <c r="CT13" s="13">
        <f>IF('Données projet'!$A$140&gt;35,CT12+CS13-DB12,IF(A13&lt;'Données projet'!$A$140,$CQ$205^A13,IF(A13='Données projet'!$A$140,'Données projet'!$B$140,CT12+CS13-DB12)))</f>
        <v>8.5440037453175322</v>
      </c>
      <c r="CU13" s="18">
        <f>CT13*VLOOKUP('Données projet'!$B$13,Paramètres!$A$1:$I$89,3,0)*VLOOKUP('Données projet'!$B$13,Paramètres!$A$1:$I$89,5,0)</f>
        <v>8.2637604224711172</v>
      </c>
      <c r="CV13" s="14">
        <f t="shared" si="41"/>
        <v>2.9783127206856603</v>
      </c>
      <c r="CW13" s="22">
        <f t="shared" si="13"/>
        <v>19.579944057664719</v>
      </c>
      <c r="CX13" s="60">
        <f t="shared" si="14"/>
        <v>211.51860604270962</v>
      </c>
      <c r="CY13" s="60">
        <f ca="1">AVERAGE(OFFSET($CX$3,0,0,'Données projet'!$E$13+1,1))-AVERAGE(OFFSET($H$3,0,0,'Données projet'!$E$13+1,1))</f>
        <v>603.52431522262032</v>
      </c>
      <c r="CZ13" s="60">
        <f t="shared" si="42"/>
        <v>313.56299786481338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3.65</v>
      </c>
      <c r="DO13" s="13">
        <f>IF('Données projet'!$A$166&gt;35,DO12+DN13-DW12,IF(A13&lt;'Données projet'!$A$166,$DL$205^A13,IF(A13='Données projet'!$A$166,'Données projet'!$B$166,DO12+DN13-DW12)))</f>
        <v>8.5440037453175322</v>
      </c>
      <c r="DP13" s="18">
        <f>DO13*VLOOKUP('Données projet'!$B$14,Paramètres!$A$1:$I$89,3,0)*VLOOKUP('Données projet'!$B$14,Paramètres!$A$1:$I$89,5,0)</f>
        <v>9.1967656314597903</v>
      </c>
      <c r="DQ13" s="14">
        <f t="shared" si="43"/>
        <v>3.2735581214758165</v>
      </c>
      <c r="DR13" s="22">
        <f t="shared" si="16"/>
        <v>21.719147203029511</v>
      </c>
      <c r="DS13" s="60">
        <f t="shared" si="17"/>
        <v>213.6578091880744</v>
      </c>
      <c r="DT13" s="60">
        <f ca="1">AVERAGE(OFFSET($DS$3,0,0,'Données projet'!$E$14+1,1))-AVERAGE(OFFSET($H$3,0,0,'Données projet'!$E$14+1,1))</f>
        <v>661.93515988633499</v>
      </c>
      <c r="DU13" s="60">
        <f t="shared" si="44"/>
        <v>341.9250949809848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>
        <f>VLOOKUP(A13,'Données projet'!$A$191:$I$211,2,0)</f>
        <v>32.692307692307693</v>
      </c>
      <c r="EH13" s="13">
        <f>VLOOKUP(A13,'Données projet'!$A$191:$I$211,9,0)</f>
        <v>3.2692307692307692</v>
      </c>
      <c r="EI13" s="13">
        <f t="array" ref="EI13">INDEX(EH:EH,MIN(IF(ISNUMBER(EH13:EH209),ROW(EH13:EH209),"")))</f>
        <v>3.2692307692307692</v>
      </c>
      <c r="EJ13" s="13">
        <f>IF('Données projet'!$A$192&gt;35,EJ12+EI13-ER12,IF(A13&lt;'Données projet'!$A$192,$EG$205^A13,IF(A13='Données projet'!$A$192,'Données projet'!$B$192,EJ12+EI13-ER12)))</f>
        <v>32.692307692307693</v>
      </c>
      <c r="EK13" s="18">
        <f>EJ13*VLOOKUP('Données projet'!$B$15,Paramètres!$A$1:$I$89,3,0)*VLOOKUP('Données projet'!$B$15,Paramètres!$A$1:$I$89,5,0)</f>
        <v>21.930000000000003</v>
      </c>
      <c r="EL13" s="14">
        <f t="shared" si="45"/>
        <v>7.0549477202322466</v>
      </c>
      <c r="EM13" s="22">
        <f t="shared" si="19"/>
        <v>50.482117279404498</v>
      </c>
      <c r="EN13" s="60">
        <f t="shared" si="20"/>
        <v>242.42077926444938</v>
      </c>
      <c r="EO13" s="60">
        <f ca="1">AVERAGE(OFFSET($EN$3,0,0,'Données projet'!$E$15+1,1))-AVERAGE(OFFSET($H$3,0,0,'Données projet'!$E$15+1,1))</f>
        <v>396.0878652679051</v>
      </c>
      <c r="EP13" s="60">
        <f t="shared" si="46"/>
        <v>327.26339199235406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>
        <f>VLOOKUP(A13,'Données projet'!$A$217:$I$237,2,0)</f>
        <v>11.1</v>
      </c>
      <c r="FC13" s="13">
        <f>VLOOKUP(A13,'Données projet'!$A$217:$I$237,9,0)</f>
        <v>1.1099999999999999</v>
      </c>
      <c r="FD13" s="13">
        <f t="array" ref="FD13">INDEX(FC:FC,MIN(IF(ISNUMBER(FC13:FC209),ROW(FC13:FC209),"")))</f>
        <v>1.1099999999999999</v>
      </c>
      <c r="FE13" s="13">
        <f>IF('Données projet'!$A$218&gt;35,FE12+FD13-FM12,IF(A13&lt;'Données projet'!$A$218,$FB$205^A13,IF(A13='Données projet'!$A$218,'Données projet'!$B$218,FE12+FD13-FM12)))</f>
        <v>11.1</v>
      </c>
      <c r="FF13" s="18">
        <f>FE13*VLOOKUP('Données projet'!$B$16,Paramètres!$A$1:$I$89,3,0)*VLOOKUP('Données projet'!$B$16,Paramètres!$A$1:$I$89,5,0)</f>
        <v>8.1385199999999998</v>
      </c>
      <c r="FG13" s="14">
        <f t="shared" si="47"/>
        <v>2.9383938833896224</v>
      </c>
      <c r="FH13" s="22">
        <f t="shared" si="22"/>
        <v>19.292291680236925</v>
      </c>
      <c r="FI13" s="60">
        <f t="shared" si="23"/>
        <v>211.23095366528182</v>
      </c>
      <c r="FJ13" s="60">
        <f ca="1">AVERAGE(OFFSET($FI$3,0,0,'Données projet'!$E$16+1,1))-AVERAGE(OFFSET($H$3,0,0,'Données projet'!$E$16+1,1))</f>
        <v>368.35775920359396</v>
      </c>
      <c r="FK13" s="60">
        <f t="shared" si="48"/>
        <v>395.5218438652638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2.8</v>
      </c>
      <c r="FZ13" s="13">
        <f>IF('Données projet'!$A$244&gt;35,FZ12+FY13-GH12,IF(A13&lt;'Données projet'!$A$244,$FW$205^A13,IF(A13='Données projet'!$A$244,'Données projet'!$B$244,FZ12+FY13-GH12)))</f>
        <v>7.4833147735478933</v>
      </c>
      <c r="GA13" s="18">
        <f>FZ13*VLOOKUP('Données projet'!$B$17,Paramètres!$A$1:$I$89,3,0)*VLOOKUP('Données projet'!$B$17,Paramètres!$A$1:$I$89,5,0)</f>
        <v>6.4206840757040933</v>
      </c>
      <c r="GB13" s="14">
        <f t="shared" si="49"/>
        <v>2.3830376437122043</v>
      </c>
      <c r="GC13" s="22">
        <f t="shared" si="25"/>
        <v>15.33314866131672</v>
      </c>
      <c r="GD13" s="60">
        <f t="shared" si="26"/>
        <v>207.27181064636162</v>
      </c>
      <c r="GE13" s="60">
        <f ca="1">AVERAGE(OFFSET($GD$3,0,0,'Données projet'!$E$17+1,1))-AVERAGE(OFFSET($H$3,0,0,'Données projet'!$E$17+1,1))</f>
        <v>701.44583662096022</v>
      </c>
      <c r="GF13" s="60">
        <f t="shared" si="50"/>
        <v>331.25104323342907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>
        <f>VLOOKUP(A13,'Données projet'!$A$269:$I$289,2,0)</f>
        <v>9</v>
      </c>
      <c r="GS13" s="13">
        <f>VLOOKUP(A13,'Données projet'!$A$269:$I$289,9,0)</f>
        <v>0.9</v>
      </c>
      <c r="GT13" s="13">
        <f t="array" ref="GT13">INDEX(GS:GS,MIN(IF(ISNUMBER(GS13:GS209),ROW(GS13:GS209),"")))</f>
        <v>0.9</v>
      </c>
      <c r="GU13" s="13">
        <f>IF('Données projet'!$A$270&gt;35,GU12+GT13-HC12,IF(A13&lt;'Données projet'!$A$270,$GR$205^A13,IF(A13='Données projet'!$A$270,'Données projet'!$B$270,GU12+GT13-HC12)))</f>
        <v>9</v>
      </c>
      <c r="GV13" s="18">
        <f>GU13*VLOOKUP('Données projet'!$B$18,Paramètres!$A$1:$I$89,3,0)*VLOOKUP('Données projet'!$B$18,Paramètres!$A$1:$I$89,5,0)</f>
        <v>7.3007999999999997</v>
      </c>
      <c r="GW13" s="14">
        <f t="shared" si="51"/>
        <v>2.6694770761469542</v>
      </c>
      <c r="GX13" s="22">
        <f t="shared" si="28"/>
        <v>17.364899240955943</v>
      </c>
      <c r="GY13" s="60">
        <f t="shared" si="29"/>
        <v>209.30356122600082</v>
      </c>
      <c r="GZ13" s="60">
        <f ca="1">AVERAGE(OFFSET($GY$3,0,0,'Données projet'!$E$18+1,1))-AVERAGE(OFFSET($H$3,0,0,'Données projet'!$E$18+1,1))</f>
        <v>272.69564942740931</v>
      </c>
      <c r="HA13" s="60">
        <f t="shared" si="52"/>
        <v>316.57989180609252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25">
      <c r="A14" s="11">
        <f t="shared" si="31"/>
        <v>11</v>
      </c>
      <c r="B14" s="75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8">
        <f t="shared" si="1"/>
        <v>183.33333333333334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0">
        <f t="shared" si="0"/>
        <v>217.09257815700823</v>
      </c>
      <c r="S14" s="60">
        <f ca="1">AVERAGE(OFFSET($R$3,0,0,'Données projet'!$E$9+1,1))-AVERAGE(OFFSET($H$3,0,0,'Données projet'!$E$9+1,1))</f>
        <v>570.08763950759544</v>
      </c>
      <c r="T14" s="60">
        <f t="shared" si="34"/>
        <v>297.32483725004136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10.68</v>
      </c>
      <c r="AI14" s="14">
        <f>IF('Données projet'!$A$62&gt;35,AI13+AH14-AQ13,IF(A14&lt;'Données projet'!$A$62,$AF$205^A14,IF(A14='Données projet'!$A$62,'Données projet'!$B$62,AI13+AH14-AQ13)))</f>
        <v>21.78</v>
      </c>
      <c r="AJ14" s="14">
        <f>AI14*VLOOKUP('Données projet'!$B$10,Paramètres!$A$1:$I$89,3,0)*VLOOKUP('Données projet'!$B$10,Paramètres!$A$1:$I$89,5,0)</f>
        <v>17.328168000000002</v>
      </c>
      <c r="AK14" s="14">
        <f t="shared" si="35"/>
        <v>5.7294628302508057</v>
      </c>
      <c r="AL14" s="22">
        <f t="shared" si="4"/>
        <v>40.158707029353486</v>
      </c>
      <c r="AM14" s="60">
        <f t="shared" si="5"/>
        <v>234.65450563846761</v>
      </c>
      <c r="AN14" s="60">
        <f ca="1">AVERAGE(OFFSET($AM$3,0,0,'Données projet'!$E$10+1,1))-AVERAGE(OFFSET($H$3,0,0,'Données projet'!$E$10+1,1))</f>
        <v>394.49874384716014</v>
      </c>
      <c r="AO14" s="60">
        <f t="shared" si="36"/>
        <v>423.72519584013378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3.1623931623931623</v>
      </c>
      <c r="BD14" s="13">
        <f>IF('Données projet'!$A$88&gt;35,BD13+BC14-BL13,IF(A14&lt;'Données projet'!$A$88,$BA$205^A14,IF(A14='Données projet'!$A$88,'Données projet'!$B$88,BD13+BC14-BL13)))</f>
        <v>16.949044593816883</v>
      </c>
      <c r="BE14" s="14">
        <f>BD14*VLOOKUP('Données projet'!$B$11,Paramètres!$A$1:$I$89,3,0)*VLOOKUP('Données projet'!$B$11,Paramètres!$A$1:$I$89,5,0)</f>
        <v>16.128710835476145</v>
      </c>
      <c r="BF14" s="14">
        <f t="shared" si="37"/>
        <v>5.3775829807869533</v>
      </c>
      <c r="BG14" s="22">
        <f t="shared" si="7"/>
        <v>37.456795063324897</v>
      </c>
      <c r="BH14" s="60">
        <f t="shared" si="8"/>
        <v>231.95259367243904</v>
      </c>
      <c r="BI14" s="60">
        <f ca="1">AVERAGE(OFFSET($BH$3,0,0,'Données projet'!$E$11+1,1))-AVERAGE(OFFSET($H$3,0,0,'Données projet'!$E$11+1,1))</f>
        <v>441.15969139782891</v>
      </c>
      <c r="BJ14" s="60">
        <f t="shared" si="38"/>
        <v>315.06466790224783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2.6666666666666665</v>
      </c>
      <c r="BY14" s="13">
        <f>IF('Données projet'!$A$114&gt;35,BY13+BX14-CG13,IF(A14&lt;'Données projet'!$A$114,$BV$205^A14,IF(A14='Données projet'!$A$114,'Données projet'!$B$114,BY13+BX14-CG13)))</f>
        <v>14.956982779612416</v>
      </c>
      <c r="BZ14" s="14">
        <f>BY14*VLOOKUP('Données projet'!$B$12,Paramètres!$A$1:$I$89,3,0)*VLOOKUP('Données projet'!$B$12,Paramètres!$A$1:$I$89,5,0)</f>
        <v>11.666446568097685</v>
      </c>
      <c r="CA14" s="14">
        <f t="shared" si="39"/>
        <v>4.0392339557111736</v>
      </c>
      <c r="CB14" s="22">
        <f t="shared" si="10"/>
        <v>27.354060245633761</v>
      </c>
      <c r="CC14" s="60">
        <f t="shared" si="11"/>
        <v>221.84985885474788</v>
      </c>
      <c r="CD14" s="60">
        <f ca="1">AVERAGE(OFFSET($CC$3,0,0,'Données projet'!$E$12+1,1))-AVERAGE(OFFSET($H$3,0,0,'Données projet'!$E$12+1,1))</f>
        <v>312.59632808777332</v>
      </c>
      <c r="CE14" s="60">
        <f t="shared" si="40"/>
        <v>302.59481222418219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3.65</v>
      </c>
      <c r="CT14" s="13">
        <f>IF('Données projet'!$A$140&gt;35,CT13+CS14-DB13,IF(A14&lt;'Données projet'!$A$140,$CQ$205^A14,IF(A14='Données projet'!$A$140,'Données projet'!$B$140,CT13+CS14-DB13)))</f>
        <v>10.588332555950936</v>
      </c>
      <c r="CU14" s="18">
        <f>CT14*VLOOKUP('Données projet'!$B$13,Paramètres!$A$1:$I$89,3,0)*VLOOKUP('Données projet'!$B$13,Paramètres!$A$1:$I$89,5,0)</f>
        <v>10.241035248115747</v>
      </c>
      <c r="CV14" s="14">
        <f t="shared" si="41"/>
        <v>3.5999121311945652</v>
      </c>
      <c r="CW14" s="22">
        <f t="shared" si="13"/>
        <v>24.106316685632123</v>
      </c>
      <c r="CX14" s="60">
        <f t="shared" si="14"/>
        <v>218.60211529474626</v>
      </c>
      <c r="CY14" s="60">
        <f ca="1">AVERAGE(OFFSET($CX$3,0,0,'Données projet'!$E$13+1,1))-AVERAGE(OFFSET($H$3,0,0,'Données projet'!$E$13+1,1))</f>
        <v>603.52431522262032</v>
      </c>
      <c r="CZ14" s="60">
        <f t="shared" si="42"/>
        <v>313.56299786481338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3.65</v>
      </c>
      <c r="DO14" s="13">
        <f>IF('Données projet'!$A$166&gt;35,DO13+DN14-DW13,IF(A14&lt;'Données projet'!$A$166,$DL$205^A14,IF(A14='Données projet'!$A$166,'Données projet'!$B$166,DO13+DN14-DW13)))</f>
        <v>10.588332555950936</v>
      </c>
      <c r="DP14" s="18">
        <f>DO14*VLOOKUP('Données projet'!$B$14,Paramètres!$A$1:$I$89,3,0)*VLOOKUP('Données projet'!$B$14,Paramètres!$A$1:$I$89,5,0)</f>
        <v>11.397281163225587</v>
      </c>
      <c r="DQ14" s="14">
        <f t="shared" si="43"/>
        <v>3.9567777795201704</v>
      </c>
      <c r="DR14" s="22">
        <f t="shared" si="16"/>
        <v>26.741652658615525</v>
      </c>
      <c r="DS14" s="60">
        <f t="shared" si="17"/>
        <v>221.23745126772965</v>
      </c>
      <c r="DT14" s="60">
        <f ca="1">AVERAGE(OFFSET($DS$3,0,0,'Données projet'!$E$14+1,1))-AVERAGE(OFFSET($H$3,0,0,'Données projet'!$E$14+1,1))</f>
        <v>661.93515988633499</v>
      </c>
      <c r="DU14" s="60">
        <f t="shared" si="44"/>
        <v>341.9250949809848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9.1025641025641022</v>
      </c>
      <c r="EJ14" s="13">
        <f>IF('Données projet'!$A$192&gt;35,EJ13+EI14-ER13,IF(A14&lt;'Données projet'!$A$192,$EG$205^A14,IF(A14='Données projet'!$A$192,'Données projet'!$B$192,EJ13+EI14-ER13)))</f>
        <v>41.794871794871796</v>
      </c>
      <c r="EK14" s="18">
        <f>EJ14*VLOOKUP('Données projet'!$B$15,Paramètres!$A$1:$I$89,3,0)*VLOOKUP('Données projet'!$B$15,Paramètres!$A$1:$I$89,5,0)</f>
        <v>28.035999999999998</v>
      </c>
      <c r="EL14" s="14">
        <f t="shared" si="45"/>
        <v>8.7650413206161684</v>
      </c>
      <c r="EM14" s="22">
        <f t="shared" si="19"/>
        <v>64.095146966739819</v>
      </c>
      <c r="EN14" s="60">
        <f t="shared" si="20"/>
        <v>258.59094557585394</v>
      </c>
      <c r="EO14" s="60">
        <f ca="1">AVERAGE(OFFSET($EN$3,0,0,'Données projet'!$E$15+1,1))-AVERAGE(OFFSET($H$3,0,0,'Données projet'!$E$15+1,1))</f>
        <v>396.0878652679051</v>
      </c>
      <c r="EP14" s="60">
        <f t="shared" si="46"/>
        <v>327.26339199235406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10.68</v>
      </c>
      <c r="FE14" s="13">
        <f>IF('Données projet'!$A$218&gt;35,FE13+FD14-FM13,IF(A14&lt;'Données projet'!$A$218,$FB$205^A14,IF(A14='Données projet'!$A$218,'Données projet'!$B$218,FE13+FD14-FM13)))</f>
        <v>21.78</v>
      </c>
      <c r="FF14" s="18">
        <f>FE14*VLOOKUP('Données projet'!$B$16,Paramètres!$A$1:$I$89,3,0)*VLOOKUP('Données projet'!$B$16,Paramètres!$A$1:$I$89,5,0)</f>
        <v>15.969095999999999</v>
      </c>
      <c r="FG14" s="14">
        <f t="shared" si="47"/>
        <v>5.3305321367080518</v>
      </c>
      <c r="FH14" s="22">
        <f t="shared" si="22"/>
        <v>37.096852338099858</v>
      </c>
      <c r="FI14" s="60">
        <f t="shared" si="23"/>
        <v>231.592650947214</v>
      </c>
      <c r="FJ14" s="60">
        <f ca="1">AVERAGE(OFFSET($FI$3,0,0,'Données projet'!$E$16+1,1))-AVERAGE(OFFSET($H$3,0,0,'Données projet'!$E$16+1,1))</f>
        <v>368.35775920359396</v>
      </c>
      <c r="FK14" s="60">
        <f t="shared" si="48"/>
        <v>395.5218438652638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2.8</v>
      </c>
      <c r="FZ14" s="13">
        <f>IF('Données projet'!$A$244&gt;35,FZ13+FY14-GH13,IF(A14&lt;'Données projet'!$A$244,$FW$205^A14,IF(A14='Données projet'!$A$244,'Données projet'!$B$244,FZ13+FY14-GH13)))</f>
        <v>9.1517345525322273</v>
      </c>
      <c r="GA14" s="18">
        <f>FZ14*VLOOKUP('Données projet'!$B$17,Paramètres!$A$1:$I$89,3,0)*VLOOKUP('Données projet'!$B$17,Paramètres!$A$1:$I$89,5,0)</f>
        <v>7.8521882460726511</v>
      </c>
      <c r="GB14" s="14">
        <f t="shared" si="49"/>
        <v>2.8468582917289242</v>
      </c>
      <c r="GC14" s="22">
        <f t="shared" si="25"/>
        <v>18.634172720004408</v>
      </c>
      <c r="GD14" s="60">
        <f t="shared" si="26"/>
        <v>213.12997132911855</v>
      </c>
      <c r="GE14" s="60">
        <f ca="1">AVERAGE(OFFSET($GD$3,0,0,'Données projet'!$E$17+1,1))-AVERAGE(OFFSET($H$3,0,0,'Données projet'!$E$17+1,1))</f>
        <v>701.44583662096022</v>
      </c>
      <c r="GF14" s="60">
        <f t="shared" si="50"/>
        <v>331.25104323342907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8</v>
      </c>
      <c r="GU14" s="13">
        <f>IF('Données projet'!$A$270&gt;35,GU13+GT14-HC13,IF(A14&lt;'Données projet'!$A$270,$GR$205^A14,IF(A14='Données projet'!$A$270,'Données projet'!$B$270,GU13+GT14-HC13)))</f>
        <v>17</v>
      </c>
      <c r="GV14" s="18">
        <f>GU14*VLOOKUP('Données projet'!$B$18,Paramètres!$A$1:$I$89,3,0)*VLOOKUP('Données projet'!$B$18,Paramètres!$A$1:$I$89,5,0)</f>
        <v>13.7904</v>
      </c>
      <c r="GW14" s="14">
        <f t="shared" si="51"/>
        <v>4.6825473896592289</v>
      </c>
      <c r="GX14" s="22">
        <f t="shared" si="28"/>
        <v>32.173716703656488</v>
      </c>
      <c r="GY14" s="60">
        <f t="shared" si="29"/>
        <v>226.66951531277061</v>
      </c>
      <c r="GZ14" s="60">
        <f ca="1">AVERAGE(OFFSET($GY$3,0,0,'Données projet'!$E$18+1,1))-AVERAGE(OFFSET($H$3,0,0,'Données projet'!$E$18+1,1))</f>
        <v>272.69564942740931</v>
      </c>
      <c r="HA14" s="60">
        <f t="shared" si="52"/>
        <v>316.57989180609252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25">
      <c r="A15" s="11">
        <f t="shared" si="31"/>
        <v>12</v>
      </c>
      <c r="B15" s="75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8">
        <f t="shared" si="1"/>
        <v>183.33333333333334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0">
        <f t="shared" si="0"/>
        <v>224.85264818290764</v>
      </c>
      <c r="S15" s="60">
        <f ca="1">AVERAGE(OFFSET($R$3,0,0,'Données projet'!$E$9+1,1))-AVERAGE(OFFSET($H$3,0,0,'Données projet'!$E$9+1,1))</f>
        <v>570.08763950759544</v>
      </c>
      <c r="T15" s="60">
        <f t="shared" si="34"/>
        <v>297.32483725004136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10.68</v>
      </c>
      <c r="AI15" s="14">
        <f>IF('Données projet'!$A$62&gt;35,AI14+AH15-AQ14,IF(A15&lt;'Données projet'!$A$62,$AF$205^A15,IF(A15='Données projet'!$A$62,'Données projet'!$B$62,AI14+AH15-AQ14)))</f>
        <v>32.46</v>
      </c>
      <c r="AJ15" s="14">
        <f>AI15*VLOOKUP('Données projet'!$B$10,Paramètres!$A$1:$I$89,3,0)*VLOOKUP('Données projet'!$B$10,Paramètres!$A$1:$I$89,5,0)</f>
        <v>25.825176000000003</v>
      </c>
      <c r="AK15" s="14">
        <f t="shared" si="35"/>
        <v>8.1514246027621944</v>
      </c>
      <c r="AL15" s="22">
        <f t="shared" si="4"/>
        <v>59.175912716477491</v>
      </c>
      <c r="AM15" s="60">
        <f t="shared" si="5"/>
        <v>256.20569016921036</v>
      </c>
      <c r="AN15" s="60">
        <f ca="1">AVERAGE(OFFSET($AM$3,0,0,'Données projet'!$E$10+1,1))-AVERAGE(OFFSET($H$3,0,0,'Données projet'!$E$10+1,1))</f>
        <v>394.49874384716014</v>
      </c>
      <c r="AO15" s="60">
        <f t="shared" si="36"/>
        <v>423.72519584013378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3.1623931623931623</v>
      </c>
      <c r="BD15" s="13">
        <f>IF('Données projet'!$A$88&gt;35,BD14+BC15-BL14,IF(A15&lt;'Données projet'!$A$88,$BA$205^A15,IF(A15='Données projet'!$A$88,'Données projet'!$B$88,BD14+BC15-BL14)))</f>
        <v>21.922278822444071</v>
      </c>
      <c r="BE15" s="14">
        <f>BD15*VLOOKUP('Données projet'!$B$11,Paramètres!$A$1:$I$89,3,0)*VLOOKUP('Données projet'!$B$11,Paramètres!$A$1:$I$89,5,0)</f>
        <v>20.861240527437776</v>
      </c>
      <c r="BF15" s="14">
        <f t="shared" si="37"/>
        <v>6.750267822211284</v>
      </c>
      <c r="BG15" s="22">
        <f t="shared" si="7"/>
        <v>48.090043708972111</v>
      </c>
      <c r="BH15" s="60">
        <f t="shared" si="8"/>
        <v>245.11982116170498</v>
      </c>
      <c r="BI15" s="60">
        <f ca="1">AVERAGE(OFFSET($BH$3,0,0,'Données projet'!$E$11+1,1))-AVERAGE(OFFSET($H$3,0,0,'Données projet'!$E$11+1,1))</f>
        <v>441.15969139782891</v>
      </c>
      <c r="BJ15" s="60">
        <f t="shared" si="38"/>
        <v>315.06466790224783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2.6666666666666665</v>
      </c>
      <c r="BY15" s="13">
        <f>IF('Données projet'!$A$114&gt;35,BY14+BX15-CG14,IF(A15&lt;'Données projet'!$A$114,$BV$205^A15,IF(A15='Données projet'!$A$114,'Données projet'!$B$114,BY14+BX15-CG14)))</f>
        <v>19.127049995800721</v>
      </c>
      <c r="BZ15" s="14">
        <f>BY15*VLOOKUP('Données projet'!$B$12,Paramètres!$A$1:$I$89,3,0)*VLOOKUP('Données projet'!$B$12,Paramètres!$A$1:$I$89,5,0)</f>
        <v>14.919098996724562</v>
      </c>
      <c r="CA15" s="14">
        <f t="shared" si="39"/>
        <v>5.019622097301081</v>
      </c>
      <c r="CB15" s="22">
        <f t="shared" si="10"/>
        <v>34.726605905427995</v>
      </c>
      <c r="CC15" s="60">
        <f t="shared" si="11"/>
        <v>231.75638335816086</v>
      </c>
      <c r="CD15" s="60">
        <f ca="1">AVERAGE(OFFSET($CC$3,0,0,'Données projet'!$E$12+1,1))-AVERAGE(OFFSET($H$3,0,0,'Données projet'!$E$12+1,1))</f>
        <v>312.59632808777332</v>
      </c>
      <c r="CE15" s="60">
        <f t="shared" si="40"/>
        <v>302.59481222418219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3.65</v>
      </c>
      <c r="CT15" s="13">
        <f>IF('Données projet'!$A$140&gt;35,CT14+CS15-DB14,IF(A15&lt;'Données projet'!$A$140,$CQ$205^A15,IF(A15='Données projet'!$A$140,'Données projet'!$B$140,CT14+CS15-DB14)))</f>
        <v>13.121809125710287</v>
      </c>
      <c r="CU15" s="18">
        <f>CT15*VLOOKUP('Données projet'!$B$13,Paramètres!$A$1:$I$89,3,0)*VLOOKUP('Données projet'!$B$13,Paramètres!$A$1:$I$89,5,0)</f>
        <v>12.69141378638699</v>
      </c>
      <c r="CV15" s="14">
        <f t="shared" si="41"/>
        <v>4.3512446702837533</v>
      </c>
      <c r="CW15" s="22">
        <f t="shared" si="13"/>
        <v>29.682630145368211</v>
      </c>
      <c r="CX15" s="60">
        <f t="shared" si="14"/>
        <v>226.71240759810109</v>
      </c>
      <c r="CY15" s="60">
        <f ca="1">AVERAGE(OFFSET($CX$3,0,0,'Données projet'!$E$13+1,1))-AVERAGE(OFFSET($H$3,0,0,'Données projet'!$E$13+1,1))</f>
        <v>603.52431522262032</v>
      </c>
      <c r="CZ15" s="60">
        <f t="shared" si="42"/>
        <v>313.56299786481338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3.65</v>
      </c>
      <c r="DO15" s="13">
        <f>IF('Données projet'!$A$166&gt;35,DO14+DN15-DW14,IF(A15&lt;'Données projet'!$A$166,$DL$205^A15,IF(A15='Données projet'!$A$166,'Données projet'!$B$166,DO14+DN15-DW14)))</f>
        <v>13.121809125710287</v>
      </c>
      <c r="DP15" s="18">
        <f>DO15*VLOOKUP('Données projet'!$B$14,Paramètres!$A$1:$I$89,3,0)*VLOOKUP('Données projet'!$B$14,Paramètres!$A$1:$I$89,5,0)</f>
        <v>14.124315342914553</v>
      </c>
      <c r="DQ15" s="14">
        <f t="shared" si="43"/>
        <v>4.7825912403370845</v>
      </c>
      <c r="DR15" s="22">
        <f t="shared" si="16"/>
        <v>32.929528965829938</v>
      </c>
      <c r="DS15" s="60">
        <f t="shared" si="17"/>
        <v>229.95930641856282</v>
      </c>
      <c r="DT15" s="60">
        <f ca="1">AVERAGE(OFFSET($DS$3,0,0,'Données projet'!$E$14+1,1))-AVERAGE(OFFSET($H$3,0,0,'Données projet'!$E$14+1,1))</f>
        <v>661.93515988633499</v>
      </c>
      <c r="DU15" s="60">
        <f t="shared" si="44"/>
        <v>341.9250949809848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9.1025641025641022</v>
      </c>
      <c r="EJ15" s="13">
        <f>IF('Données projet'!$A$192&gt;35,EJ14+EI15-ER14,IF(A15&lt;'Données projet'!$A$192,$EG$205^A15,IF(A15='Données projet'!$A$192,'Données projet'!$B$192,EJ14+EI15-ER14)))</f>
        <v>50.897435897435898</v>
      </c>
      <c r="EK15" s="18">
        <f>EJ15*VLOOKUP('Données projet'!$B$15,Paramètres!$A$1:$I$89,3,0)*VLOOKUP('Données projet'!$B$15,Paramètres!$A$1:$I$89,5,0)</f>
        <v>34.142000000000003</v>
      </c>
      <c r="EL15" s="14">
        <f t="shared" si="45"/>
        <v>10.431966606093619</v>
      </c>
      <c r="EM15" s="22">
        <f t="shared" si="19"/>
        <v>77.632991838946381</v>
      </c>
      <c r="EN15" s="60">
        <f t="shared" si="20"/>
        <v>274.66276929167924</v>
      </c>
      <c r="EO15" s="60">
        <f ca="1">AVERAGE(OFFSET($EN$3,0,0,'Données projet'!$E$15+1,1))-AVERAGE(OFFSET($H$3,0,0,'Données projet'!$E$15+1,1))</f>
        <v>396.0878652679051</v>
      </c>
      <c r="EP15" s="60">
        <f t="shared" si="46"/>
        <v>327.26339199235406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10.68</v>
      </c>
      <c r="FE15" s="13">
        <f>IF('Données projet'!$A$218&gt;35,FE14+FD15-FM14,IF(A15&lt;'Données projet'!$A$218,$FB$205^A15,IF(A15='Données projet'!$A$218,'Données projet'!$B$218,FE14+FD15-FM14)))</f>
        <v>32.46</v>
      </c>
      <c r="FF15" s="18">
        <f>FE15*VLOOKUP('Données projet'!$B$16,Paramètres!$A$1:$I$89,3,0)*VLOOKUP('Données projet'!$B$16,Paramètres!$A$1:$I$89,5,0)</f>
        <v>23.799672000000001</v>
      </c>
      <c r="FG15" s="14">
        <f t="shared" si="47"/>
        <v>7.5838577005088039</v>
      </c>
      <c r="FH15" s="22">
        <f t="shared" si="22"/>
        <v>54.659647561719503</v>
      </c>
      <c r="FI15" s="60">
        <f t="shared" si="23"/>
        <v>251.68942501445238</v>
      </c>
      <c r="FJ15" s="60">
        <f ca="1">AVERAGE(OFFSET($FI$3,0,0,'Données projet'!$E$16+1,1))-AVERAGE(OFFSET($H$3,0,0,'Données projet'!$E$16+1,1))</f>
        <v>368.35775920359396</v>
      </c>
      <c r="FK15" s="60">
        <f t="shared" si="48"/>
        <v>395.5218438652638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2.8</v>
      </c>
      <c r="FZ15" s="13">
        <f>IF('Données projet'!$A$244&gt;35,FZ14+FY15-GH14,IF(A15&lt;'Données projet'!$A$244,$FW$205^A15,IF(A15='Données projet'!$A$244,'Données projet'!$B$244,FZ14+FY15-GH14)))</f>
        <v>11.19213180983215</v>
      </c>
      <c r="GA15" s="18">
        <f>FZ15*VLOOKUP('Données projet'!$B$17,Paramètres!$A$1:$I$89,3,0)*VLOOKUP('Données projet'!$B$17,Paramètres!$A$1:$I$89,5,0)</f>
        <v>9.6028490928359851</v>
      </c>
      <c r="GB15" s="14">
        <f t="shared" si="49"/>
        <v>3.4009543049268385</v>
      </c>
      <c r="GC15" s="22">
        <f t="shared" si="25"/>
        <v>22.64829091777025</v>
      </c>
      <c r="GD15" s="60">
        <f t="shared" si="26"/>
        <v>219.67806837050313</v>
      </c>
      <c r="GE15" s="60">
        <f ca="1">AVERAGE(OFFSET($GD$3,0,0,'Données projet'!$E$17+1,1))-AVERAGE(OFFSET($H$3,0,0,'Données projet'!$E$17+1,1))</f>
        <v>701.44583662096022</v>
      </c>
      <c r="GF15" s="60">
        <f t="shared" si="50"/>
        <v>331.25104323342907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8</v>
      </c>
      <c r="GU15" s="13">
        <f>IF('Données projet'!$A$270&gt;35,GU14+GT15-HC14,IF(A15&lt;'Données projet'!$A$270,$GR$205^A15,IF(A15='Données projet'!$A$270,'Données projet'!$B$270,GU14+GT15-HC14)))</f>
        <v>25</v>
      </c>
      <c r="GV15" s="18">
        <f>GU15*VLOOKUP('Données projet'!$B$18,Paramètres!$A$1:$I$89,3,0)*VLOOKUP('Données projet'!$B$18,Paramètres!$A$1:$I$89,5,0)</f>
        <v>20.28</v>
      </c>
      <c r="GW15" s="14">
        <f t="shared" si="51"/>
        <v>6.5838102554415308</v>
      </c>
      <c r="GX15" s="22">
        <f t="shared" si="28"/>
        <v>46.787802861560664</v>
      </c>
      <c r="GY15" s="60">
        <f t="shared" si="29"/>
        <v>243.81758031429354</v>
      </c>
      <c r="GZ15" s="60">
        <f ca="1">AVERAGE(OFFSET($GY$3,0,0,'Données projet'!$E$18+1,1))-AVERAGE(OFFSET($H$3,0,0,'Données projet'!$E$18+1,1))</f>
        <v>272.69564942740931</v>
      </c>
      <c r="HA15" s="60">
        <f t="shared" si="52"/>
        <v>316.57989180609252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25">
      <c r="A16" s="11">
        <f t="shared" si="31"/>
        <v>13</v>
      </c>
      <c r="B16" s="75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8">
        <f t="shared" si="1"/>
        <v>183.33333333333334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0">
        <f t="shared" si="0"/>
        <v>233.80270813005566</v>
      </c>
      <c r="S16" s="60">
        <f ca="1">AVERAGE(OFFSET($R$3,0,0,'Données projet'!$E$9+1,1))-AVERAGE(OFFSET($H$3,0,0,'Données projet'!$E$9+1,1))</f>
        <v>570.08763950759544</v>
      </c>
      <c r="T16" s="60">
        <f t="shared" si="34"/>
        <v>297.32483725004136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10.68</v>
      </c>
      <c r="AI16" s="14">
        <f>IF('Données projet'!$A$62&gt;35,AI15+AH16-AQ15,IF(A16&lt;'Données projet'!$A$62,$AF$205^A16,IF(A16='Données projet'!$A$62,'Données projet'!$B$62,AI15+AH16-AQ15)))</f>
        <v>43.14</v>
      </c>
      <c r="AJ16" s="14">
        <f>AI16*VLOOKUP('Données projet'!$B$10,Paramètres!$A$1:$I$89,3,0)*VLOOKUP('Données projet'!$B$10,Paramètres!$A$1:$I$89,5,0)</f>
        <v>34.322184</v>
      </c>
      <c r="AK16" s="14">
        <f t="shared" si="35"/>
        <v>10.480597920580347</v>
      </c>
      <c r="AL16" s="22">
        <f t="shared" si="4"/>
        <v>78.031511845010769</v>
      </c>
      <c r="AM16" s="60">
        <f t="shared" si="5"/>
        <v>277.57251209662957</v>
      </c>
      <c r="AN16" s="60">
        <f ca="1">AVERAGE(OFFSET($AM$3,0,0,'Données projet'!$E$10+1,1))-AVERAGE(OFFSET($H$3,0,0,'Données projet'!$E$10+1,1))</f>
        <v>394.49874384716014</v>
      </c>
      <c r="AO16" s="60">
        <f t="shared" si="36"/>
        <v>423.72519584013378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3.1623931623931623</v>
      </c>
      <c r="BD16" s="13">
        <f>IF('Données projet'!$A$88&gt;35,BD15+BC16-BL15,IF(A16&lt;'Données projet'!$A$88,$BA$205^A16,IF(A16='Données projet'!$A$88,'Données projet'!$B$88,BD15+BC16-BL15)))</f>
        <v>28.35477280791984</v>
      </c>
      <c r="BE16" s="14">
        <f>BD16*VLOOKUP('Données projet'!$B$11,Paramètres!$A$1:$I$89,3,0)*VLOOKUP('Données projet'!$B$11,Paramètres!$A$1:$I$89,5,0)</f>
        <v>26.982401804016519</v>
      </c>
      <c r="BF16" s="14">
        <f t="shared" si="37"/>
        <v>8.4733449645277137</v>
      </c>
      <c r="BG16" s="22">
        <f t="shared" si="7"/>
        <v>61.752092288547864</v>
      </c>
      <c r="BH16" s="60">
        <f t="shared" si="8"/>
        <v>261.2930925401667</v>
      </c>
      <c r="BI16" s="60">
        <f ca="1">AVERAGE(OFFSET($BH$3,0,0,'Données projet'!$E$11+1,1))-AVERAGE(OFFSET($H$3,0,0,'Données projet'!$E$11+1,1))</f>
        <v>441.15969139782891</v>
      </c>
      <c r="BJ16" s="60">
        <f t="shared" si="38"/>
        <v>315.06466790224783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2.6666666666666665</v>
      </c>
      <c r="BY16" s="13">
        <f>IF('Données projet'!$A$114&gt;35,BY15+BX16-CG15,IF(A16&lt;'Données projet'!$A$114,$BV$205^A16,IF(A16='Données projet'!$A$114,'Données projet'!$B$114,BY15+BX16-CG15)))</f>
        <v>24.459748796430759</v>
      </c>
      <c r="BZ16" s="14">
        <f>BY16*VLOOKUP('Données projet'!$B$12,Paramètres!$A$1:$I$89,3,0)*VLOOKUP('Données projet'!$B$12,Paramètres!$A$1:$I$89,5,0)</f>
        <v>19.078604061215994</v>
      </c>
      <c r="CA16" s="14">
        <f t="shared" si="39"/>
        <v>6.2379664748280286</v>
      </c>
      <c r="CB16" s="22">
        <f t="shared" si="10"/>
        <v>44.093027016943331</v>
      </c>
      <c r="CC16" s="60">
        <f t="shared" si="11"/>
        <v>243.63402726856214</v>
      </c>
      <c r="CD16" s="60">
        <f ca="1">AVERAGE(OFFSET($CC$3,0,0,'Données projet'!$E$12+1,1))-AVERAGE(OFFSET($H$3,0,0,'Données projet'!$E$12+1,1))</f>
        <v>312.59632808777332</v>
      </c>
      <c r="CE16" s="60">
        <f t="shared" si="40"/>
        <v>302.59481222418219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3.65</v>
      </c>
      <c r="CT16" s="13">
        <f>IF('Données projet'!$A$140&gt;35,CT15+CS16-DB15,IF(A16&lt;'Données projet'!$A$140,$CQ$205^A16,IF(A16='Données projet'!$A$140,'Données projet'!$B$140,CT15+CS16-DB15)))</f>
        <v>16.261472127148366</v>
      </c>
      <c r="CU16" s="18">
        <f>CT16*VLOOKUP('Données projet'!$B$13,Paramètres!$A$1:$I$89,3,0)*VLOOKUP('Données projet'!$B$13,Paramètres!$A$1:$I$89,5,0)</f>
        <v>15.728095841377899</v>
      </c>
      <c r="CV16" s="14">
        <f t="shared" si="41"/>
        <v>5.2593867546400634</v>
      </c>
      <c r="CW16" s="22">
        <f t="shared" si="13"/>
        <v>36.553198854731285</v>
      </c>
      <c r="CX16" s="60">
        <f t="shared" si="14"/>
        <v>236.09419910635009</v>
      </c>
      <c r="CY16" s="60">
        <f ca="1">AVERAGE(OFFSET($CX$3,0,0,'Données projet'!$E$13+1,1))-AVERAGE(OFFSET($H$3,0,0,'Données projet'!$E$13+1,1))</f>
        <v>603.52431522262032</v>
      </c>
      <c r="CZ16" s="60">
        <f t="shared" si="42"/>
        <v>313.56299786481338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3.65</v>
      </c>
      <c r="DO16" s="13">
        <f>IF('Données projet'!$A$166&gt;35,DO15+DN16-DW15,IF(A16&lt;'Données projet'!$A$166,$DL$205^A16,IF(A16='Données projet'!$A$166,'Données projet'!$B$166,DO15+DN16-DW15)))</f>
        <v>16.261472127148366</v>
      </c>
      <c r="DP16" s="18">
        <f>DO16*VLOOKUP('Données projet'!$B$14,Paramètres!$A$1:$I$89,3,0)*VLOOKUP('Données projet'!$B$14,Paramètres!$A$1:$I$89,5,0)</f>
        <v>17.5038485976625</v>
      </c>
      <c r="DQ16" s="14">
        <f t="shared" si="43"/>
        <v>5.7807590536264062</v>
      </c>
      <c r="DR16" s="22">
        <f t="shared" si="16"/>
        <v>40.55402499266151</v>
      </c>
      <c r="DS16" s="60">
        <f t="shared" si="17"/>
        <v>240.09502524428032</v>
      </c>
      <c r="DT16" s="60">
        <f ca="1">AVERAGE(OFFSET($DS$3,0,0,'Données projet'!$E$14+1,1))-AVERAGE(OFFSET($H$3,0,0,'Données projet'!$E$14+1,1))</f>
        <v>661.93515988633499</v>
      </c>
      <c r="DU16" s="60">
        <f t="shared" si="44"/>
        <v>341.9250949809848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9.1025641025641022</v>
      </c>
      <c r="EJ16" s="13">
        <f>IF('Données projet'!$A$192&gt;35,EJ15+EI16-ER15,IF(A16&lt;'Données projet'!$A$192,$EG$205^A16,IF(A16='Données projet'!$A$192,'Données projet'!$B$192,EJ15+EI16-ER15)))</f>
        <v>60</v>
      </c>
      <c r="EK16" s="18">
        <f>EJ16*VLOOKUP('Données projet'!$B$15,Paramètres!$A$1:$I$89,3,0)*VLOOKUP('Données projet'!$B$15,Paramètres!$A$1:$I$89,5,0)</f>
        <v>40.248000000000005</v>
      </c>
      <c r="EL16" s="14">
        <f t="shared" si="45"/>
        <v>12.064355669675363</v>
      </c>
      <c r="EM16" s="22">
        <f t="shared" si="19"/>
        <v>91.110686124684605</v>
      </c>
      <c r="EN16" s="60">
        <f t="shared" si="20"/>
        <v>290.65168637630342</v>
      </c>
      <c r="EO16" s="60">
        <f ca="1">AVERAGE(OFFSET($EN$3,0,0,'Données projet'!$E$15+1,1))-AVERAGE(OFFSET($H$3,0,0,'Données projet'!$E$15+1,1))</f>
        <v>396.0878652679051</v>
      </c>
      <c r="EP16" s="60">
        <f t="shared" si="46"/>
        <v>327.26339199235406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10.68</v>
      </c>
      <c r="FE16" s="13">
        <f>IF('Données projet'!$A$218&gt;35,FE15+FD16-FM15,IF(A16&lt;'Données projet'!$A$218,$FB$205^A16,IF(A16='Données projet'!$A$218,'Données projet'!$B$218,FE15+FD16-FM15)))</f>
        <v>43.14</v>
      </c>
      <c r="FF16" s="18">
        <f>FE16*VLOOKUP('Données projet'!$B$16,Paramètres!$A$1:$I$89,3,0)*VLOOKUP('Données projet'!$B$16,Paramètres!$A$1:$I$89,5,0)</f>
        <v>31.630248000000002</v>
      </c>
      <c r="FG16" s="14">
        <f t="shared" si="47"/>
        <v>9.7508554785621282</v>
      </c>
      <c r="FH16" s="22">
        <f t="shared" si="22"/>
        <v>72.072088558495707</v>
      </c>
      <c r="FI16" s="60">
        <f t="shared" si="23"/>
        <v>271.6130888101145</v>
      </c>
      <c r="FJ16" s="60">
        <f ca="1">AVERAGE(OFFSET($FI$3,0,0,'Données projet'!$E$16+1,1))-AVERAGE(OFFSET($H$3,0,0,'Données projet'!$E$16+1,1))</f>
        <v>368.35775920359396</v>
      </c>
      <c r="FK16" s="60">
        <f t="shared" si="48"/>
        <v>395.5218438652638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2.8</v>
      </c>
      <c r="FZ16" s="13">
        <f>IF('Données projet'!$A$244&gt;35,FZ15+FY16-GH15,IF(A16&lt;'Données projet'!$A$244,$FW$205^A16,IF(A16='Données projet'!$A$244,'Données projet'!$B$244,FZ15+FY16-GH15)))</f>
        <v>13.687439657435972</v>
      </c>
      <c r="GA16" s="18">
        <f>FZ16*VLOOKUP('Données projet'!$B$17,Paramètres!$A$1:$I$89,3,0)*VLOOKUP('Données projet'!$B$17,Paramètres!$A$1:$I$89,5,0)</f>
        <v>11.743823226080066</v>
      </c>
      <c r="GB16" s="14">
        <f t="shared" si="49"/>
        <v>4.0628963576462231</v>
      </c>
      <c r="GC16" s="22">
        <f t="shared" si="25"/>
        <v>27.530036608323286</v>
      </c>
      <c r="GD16" s="60">
        <f t="shared" si="26"/>
        <v>227.0710368599421</v>
      </c>
      <c r="GE16" s="60">
        <f ca="1">AVERAGE(OFFSET($GD$3,0,0,'Données projet'!$E$17+1,1))-AVERAGE(OFFSET($H$3,0,0,'Données projet'!$E$17+1,1))</f>
        <v>701.44583662096022</v>
      </c>
      <c r="GF16" s="60">
        <f t="shared" si="50"/>
        <v>331.25104323342907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8</v>
      </c>
      <c r="GU16" s="13">
        <f>IF('Données projet'!$A$270&gt;35,GU15+GT16-HC15,IF(A16&lt;'Données projet'!$A$270,$GR$205^A16,IF(A16='Données projet'!$A$270,'Données projet'!$B$270,GU15+GT16-HC15)))</f>
        <v>33</v>
      </c>
      <c r="GV16" s="18">
        <f>GU16*VLOOKUP('Données projet'!$B$18,Paramètres!$A$1:$I$89,3,0)*VLOOKUP('Données projet'!$B$18,Paramètres!$A$1:$I$89,5,0)</f>
        <v>26.769600000000001</v>
      </c>
      <c r="GW16" s="14">
        <f t="shared" si="51"/>
        <v>8.4142697673415618</v>
      </c>
      <c r="GX16" s="22">
        <f t="shared" si="28"/>
        <v>61.278573178119878</v>
      </c>
      <c r="GY16" s="60">
        <f t="shared" si="29"/>
        <v>260.81957342973868</v>
      </c>
      <c r="GZ16" s="60">
        <f ca="1">AVERAGE(OFFSET($GY$3,0,0,'Données projet'!$E$18+1,1))-AVERAGE(OFFSET($H$3,0,0,'Données projet'!$E$18+1,1))</f>
        <v>272.69564942740931</v>
      </c>
      <c r="HA16" s="60">
        <f t="shared" si="52"/>
        <v>316.57989180609252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25">
      <c r="A17" s="11">
        <f t="shared" si="31"/>
        <v>14</v>
      </c>
      <c r="B17" s="75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8">
        <f t="shared" si="1"/>
        <v>183.33333333333334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0">
        <f t="shared" si="0"/>
        <v>244.22545806894149</v>
      </c>
      <c r="S17" s="60">
        <f ca="1">AVERAGE(OFFSET($R$3,0,0,'Données projet'!$E$9+1,1))-AVERAGE(OFFSET($H$3,0,0,'Données projet'!$E$9+1,1))</f>
        <v>570.08763950759544</v>
      </c>
      <c r="T17" s="60">
        <f t="shared" si="34"/>
        <v>297.32483725004136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10.68</v>
      </c>
      <c r="AI17" s="14">
        <f>IF('Données projet'!$A$62&gt;35,AI16+AH17-AQ16,IF(A17&lt;'Données projet'!$A$62,$AF$205^A17,IF(A17='Données projet'!$A$62,'Données projet'!$B$62,AI16+AH17-AQ16)))</f>
        <v>53.82</v>
      </c>
      <c r="AJ17" s="14">
        <f>AI17*VLOOKUP('Données projet'!$B$10,Paramètres!$A$1:$I$89,3,0)*VLOOKUP('Données projet'!$B$10,Paramètres!$A$1:$I$89,5,0)</f>
        <v>42.819192000000001</v>
      </c>
      <c r="AK17" s="14">
        <f t="shared" si="35"/>
        <v>12.742886505722554</v>
      </c>
      <c r="AL17" s="22">
        <f t="shared" si="4"/>
        <v>96.770620064133439</v>
      </c>
      <c r="AM17" s="60">
        <f t="shared" si="5"/>
        <v>298.80048183640662</v>
      </c>
      <c r="AN17" s="60">
        <f ca="1">AVERAGE(OFFSET($AM$3,0,0,'Données projet'!$E$10+1,1))-AVERAGE(OFFSET($H$3,0,0,'Données projet'!$E$10+1,1))</f>
        <v>394.49874384716014</v>
      </c>
      <c r="AO17" s="60">
        <f t="shared" si="36"/>
        <v>423.72519584013378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3.1623931623931623</v>
      </c>
      <c r="BD17" s="13">
        <f>IF('Données projet'!$A$88&gt;35,BD16+BC17-BL16,IF(A17&lt;'Données projet'!$A$88,$BA$205^A17,IF(A17='Données projet'!$A$88,'Données projet'!$B$88,BD16+BC17-BL16)))</f>
        <v>36.674706471008875</v>
      </c>
      <c r="BE17" s="14">
        <f>BD17*VLOOKUP('Données projet'!$B$11,Paramètres!$A$1:$I$89,3,0)*VLOOKUP('Données projet'!$B$11,Paramètres!$A$1:$I$89,5,0)</f>
        <v>34.899650677812041</v>
      </c>
      <c r="BF17" s="14">
        <f t="shared" si="37"/>
        <v>10.636255742571029</v>
      </c>
      <c r="BG17" s="22">
        <f t="shared" si="7"/>
        <v>79.308370348833833</v>
      </c>
      <c r="BH17" s="60">
        <f t="shared" si="8"/>
        <v>281.33823212110701</v>
      </c>
      <c r="BI17" s="60">
        <f ca="1">AVERAGE(OFFSET($BH$3,0,0,'Données projet'!$E$11+1,1))-AVERAGE(OFFSET($H$3,0,0,'Données projet'!$E$11+1,1))</f>
        <v>441.15969139782891</v>
      </c>
      <c r="BJ17" s="60">
        <f t="shared" si="38"/>
        <v>315.06466790224783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2.6666666666666665</v>
      </c>
      <c r="BY17" s="13">
        <f>IF('Données projet'!$A$114&gt;35,BY16+BX17-CG16,IF(A17&lt;'Données projet'!$A$114,$BV$205^A17,IF(A17='Données projet'!$A$114,'Données projet'!$B$114,BY16+BX17-CG16)))</f>
        <v>31.279225563578599</v>
      </c>
      <c r="BZ17" s="14">
        <f>BY17*VLOOKUP('Données projet'!$B$12,Paramètres!$A$1:$I$89,3,0)*VLOOKUP('Données projet'!$B$12,Paramètres!$A$1:$I$89,5,0)</f>
        <v>24.397795939591308</v>
      </c>
      <c r="CA17" s="14">
        <f t="shared" si="39"/>
        <v>7.75202295846145</v>
      </c>
      <c r="CB17" s="22">
        <f t="shared" si="10"/>
        <v>55.994267914108548</v>
      </c>
      <c r="CC17" s="60">
        <f t="shared" si="11"/>
        <v>258.02412968638174</v>
      </c>
      <c r="CD17" s="60">
        <f ca="1">AVERAGE(OFFSET($CC$3,0,0,'Données projet'!$E$12+1,1))-AVERAGE(OFFSET($H$3,0,0,'Données projet'!$E$12+1,1))</f>
        <v>312.59632808777332</v>
      </c>
      <c r="CE17" s="60">
        <f t="shared" si="40"/>
        <v>302.59481222418219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3.65</v>
      </c>
      <c r="CT17" s="13">
        <f>IF('Données projet'!$A$140&gt;35,CT16+CS17-DB16,IF(A17&lt;'Données projet'!$A$140,$CQ$205^A17,IF(A17='Données projet'!$A$140,'Données projet'!$B$140,CT16+CS17-DB16)))</f>
        <v>20.152364144963837</v>
      </c>
      <c r="CU17" s="18">
        <f>CT17*VLOOKUP('Données projet'!$B$13,Paramètres!$A$1:$I$89,3,0)*VLOOKUP('Données projet'!$B$13,Paramètres!$A$1:$I$89,5,0)</f>
        <v>19.491366601009023</v>
      </c>
      <c r="CV17" s="14">
        <f t="shared" si="41"/>
        <v>6.3570658813537859</v>
      </c>
      <c r="CW17" s="22">
        <f t="shared" si="13"/>
        <v>45.01935324011523</v>
      </c>
      <c r="CX17" s="60">
        <f t="shared" si="14"/>
        <v>247.04921501238843</v>
      </c>
      <c r="CY17" s="60">
        <f ca="1">AVERAGE(OFFSET($CX$3,0,0,'Données projet'!$E$13+1,1))-AVERAGE(OFFSET($H$3,0,0,'Données projet'!$E$13+1,1))</f>
        <v>603.52431522262032</v>
      </c>
      <c r="CZ17" s="60">
        <f t="shared" si="42"/>
        <v>313.56299786481338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3.65</v>
      </c>
      <c r="DO17" s="13">
        <f>IF('Données projet'!$A$166&gt;35,DO16+DN17-DW16,IF(A17&lt;'Données projet'!$A$166,$DL$205^A17,IF(A17='Données projet'!$A$166,'Données projet'!$B$166,DO16+DN17-DW16)))</f>
        <v>20.152364144963837</v>
      </c>
      <c r="DP17" s="18">
        <f>DO17*VLOOKUP('Données projet'!$B$14,Paramètres!$A$1:$I$89,3,0)*VLOOKUP('Données projet'!$B$14,Paramètres!$A$1:$I$89,5,0)</f>
        <v>21.692004765639073</v>
      </c>
      <c r="DQ17" s="14">
        <f t="shared" si="43"/>
        <v>6.9872530510737043</v>
      </c>
      <c r="DR17" s="22">
        <f t="shared" si="16"/>
        <v>49.949707364108086</v>
      </c>
      <c r="DS17" s="60">
        <f t="shared" si="17"/>
        <v>251.97956913638129</v>
      </c>
      <c r="DT17" s="60">
        <f ca="1">AVERAGE(OFFSET($DS$3,0,0,'Données projet'!$E$14+1,1))-AVERAGE(OFFSET($H$3,0,0,'Données projet'!$E$14+1,1))</f>
        <v>661.93515988633499</v>
      </c>
      <c r="DU17" s="60">
        <f t="shared" si="44"/>
        <v>341.9250949809848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9.1025641025641022</v>
      </c>
      <c r="EJ17" s="13">
        <f>IF('Données projet'!$A$192&gt;35,EJ16+EI17-ER16,IF(A17&lt;'Données projet'!$A$192,$EG$205^A17,IF(A17='Données projet'!$A$192,'Données projet'!$B$192,EJ16+EI17-ER16)))</f>
        <v>69.102564102564102</v>
      </c>
      <c r="EK17" s="18">
        <f>EJ17*VLOOKUP('Données projet'!$B$15,Paramètres!$A$1:$I$89,3,0)*VLOOKUP('Données projet'!$B$15,Paramètres!$A$1:$I$89,5,0)</f>
        <v>46.353999999999999</v>
      </c>
      <c r="EL17" s="14">
        <f t="shared" si="45"/>
        <v>13.668055364575761</v>
      </c>
      <c r="EM17" s="22">
        <f t="shared" si="19"/>
        <v>104.53841309330278</v>
      </c>
      <c r="EN17" s="60">
        <f t="shared" si="20"/>
        <v>306.56827486557597</v>
      </c>
      <c r="EO17" s="60">
        <f ca="1">AVERAGE(OFFSET($EN$3,0,0,'Données projet'!$E$15+1,1))-AVERAGE(OFFSET($H$3,0,0,'Données projet'!$E$15+1,1))</f>
        <v>396.0878652679051</v>
      </c>
      <c r="EP17" s="60">
        <f t="shared" si="46"/>
        <v>327.26339199235406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10.68</v>
      </c>
      <c r="FE17" s="13">
        <f>IF('Données projet'!$A$218&gt;35,FE16+FD17-FM16,IF(A17&lt;'Données projet'!$A$218,$FB$205^A17,IF(A17='Données projet'!$A$218,'Données projet'!$B$218,FE16+FD17-FM16)))</f>
        <v>53.82</v>
      </c>
      <c r="FF17" s="18">
        <f>FE17*VLOOKUP('Données projet'!$B$16,Paramètres!$A$1:$I$89,3,0)*VLOOKUP('Données projet'!$B$16,Paramètres!$A$1:$I$89,5,0)</f>
        <v>39.460823999999995</v>
      </c>
      <c r="FG17" s="14">
        <f t="shared" si="47"/>
        <v>11.85562557008577</v>
      </c>
      <c r="FH17" s="22">
        <f t="shared" si="22"/>
        <v>89.376149667899369</v>
      </c>
      <c r="FI17" s="60">
        <f t="shared" si="23"/>
        <v>291.40601144017256</v>
      </c>
      <c r="FJ17" s="60">
        <f ca="1">AVERAGE(OFFSET($FI$3,0,0,'Données projet'!$E$16+1,1))-AVERAGE(OFFSET($H$3,0,0,'Données projet'!$E$16+1,1))</f>
        <v>368.35775920359396</v>
      </c>
      <c r="FK17" s="60">
        <f t="shared" si="48"/>
        <v>395.5218438652638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2.8</v>
      </c>
      <c r="FZ17" s="13">
        <f>IF('Données projet'!$A$244&gt;35,FZ16+FY17-GH16,IF(A17&lt;'Données projet'!$A$244,$FW$205^A17,IF(A17='Données projet'!$A$244,'Données projet'!$B$244,FZ16+FY17-GH16)))</f>
        <v>16.739081308117708</v>
      </c>
      <c r="GA17" s="18">
        <f>FZ17*VLOOKUP('Données projet'!$B$17,Paramètres!$A$1:$I$89,3,0)*VLOOKUP('Données projet'!$B$17,Paramètres!$A$1:$I$89,5,0)</f>
        <v>14.362131762364994</v>
      </c>
      <c r="GB17" s="14">
        <f t="shared" si="49"/>
        <v>4.8536749785381312</v>
      </c>
      <c r="GC17" s="22">
        <f t="shared" si="25"/>
        <v>33.46753007373961</v>
      </c>
      <c r="GD17" s="60">
        <f t="shared" si="26"/>
        <v>235.49739184601282</v>
      </c>
      <c r="GE17" s="60">
        <f ca="1">AVERAGE(OFFSET($GD$3,0,0,'Données projet'!$E$17+1,1))-AVERAGE(OFFSET($H$3,0,0,'Données projet'!$E$17+1,1))</f>
        <v>701.44583662096022</v>
      </c>
      <c r="GF17" s="60">
        <f t="shared" si="50"/>
        <v>331.25104323342907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8</v>
      </c>
      <c r="GU17" s="13">
        <f>IF('Données projet'!$A$270&gt;35,GU16+GT17-HC16,IF(A17&lt;'Données projet'!$A$270,$GR$205^A17,IF(A17='Données projet'!$A$270,'Données projet'!$B$270,GU16+GT17-HC16)))</f>
        <v>41</v>
      </c>
      <c r="GV17" s="18">
        <f>GU17*VLOOKUP('Données projet'!$B$18,Paramètres!$A$1:$I$89,3,0)*VLOOKUP('Données projet'!$B$18,Paramètres!$A$1:$I$89,5,0)</f>
        <v>33.2592</v>
      </c>
      <c r="GW17" s="14">
        <f t="shared" si="51"/>
        <v>10.193265358024187</v>
      </c>
      <c r="GX17" s="22">
        <f t="shared" si="28"/>
        <v>75.679710498558791</v>
      </c>
      <c r="GY17" s="60">
        <f t="shared" si="29"/>
        <v>277.70957227083198</v>
      </c>
      <c r="GZ17" s="60">
        <f ca="1">AVERAGE(OFFSET($GY$3,0,0,'Données projet'!$E$18+1,1))-AVERAGE(OFFSET($H$3,0,0,'Données projet'!$E$18+1,1))</f>
        <v>272.69564942740931</v>
      </c>
      <c r="HA17" s="60">
        <f t="shared" si="52"/>
        <v>316.57989180609252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25">
      <c r="A18" s="11">
        <f t="shared" si="31"/>
        <v>15</v>
      </c>
      <c r="B18" s="75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8">
        <f t="shared" si="1"/>
        <v>183.33333333333334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0">
        <f t="shared" si="0"/>
        <v>256.46949622159559</v>
      </c>
      <c r="S18" s="60">
        <f ca="1">AVERAGE(OFFSET($R$3,0,0,'Données projet'!$E$9+1,1))-AVERAGE(OFFSET($H$3,0,0,'Données projet'!$E$9+1,1))</f>
        <v>570.08763950759544</v>
      </c>
      <c r="T18" s="60">
        <f t="shared" si="34"/>
        <v>297.32483725004136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64.5</v>
      </c>
      <c r="AG18" s="13">
        <f>VLOOKUP(A18,'Données projet'!$A$61:$I$81,9,0)</f>
        <v>10.68</v>
      </c>
      <c r="AH18" s="13">
        <f t="array" ref="AH18">INDEX(AG:AG,MIN(IF(ISNUMBER(AG18:AG214),ROW(AG18:AG214),"")))</f>
        <v>10.68</v>
      </c>
      <c r="AI18" s="14">
        <f>IF('Données projet'!$A$62&gt;35,AI17+AH18-AQ17,IF(A18&lt;'Données projet'!$A$62,$AF$205^A18,IF(A18='Données projet'!$A$62,'Données projet'!$B$62,AI17+AH18-AQ17)))</f>
        <v>64.5</v>
      </c>
      <c r="AJ18" s="14">
        <f>AI18*VLOOKUP('Données projet'!$B$10,Paramètres!$A$1:$I$89,3,0)*VLOOKUP('Données projet'!$B$10,Paramètres!$A$1:$I$89,5,0)</f>
        <v>51.316200000000009</v>
      </c>
      <c r="AK18" s="14">
        <f t="shared" si="35"/>
        <v>14.953158316506878</v>
      </c>
      <c r="AL18" s="22">
        <f t="shared" si="4"/>
        <v>115.41913240124948</v>
      </c>
      <c r="AM18" s="60">
        <f t="shared" si="5"/>
        <v>319.91588233413052</v>
      </c>
      <c r="AN18" s="60">
        <f ca="1">AVERAGE(OFFSET($AM$3,0,0,'Données projet'!$E$10+1,1))-AVERAGE(OFFSET($H$3,0,0,'Données projet'!$E$10+1,1))</f>
        <v>394.49874384716014</v>
      </c>
      <c r="AO18" s="60">
        <f t="shared" si="36"/>
        <v>423.72519584013378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47.435897435897431</v>
      </c>
      <c r="BB18" s="13">
        <f>VLOOKUP(A18,'Données projet'!$A$87:$I$107,9,0)</f>
        <v>3.1623931623931623</v>
      </c>
      <c r="BC18" s="13">
        <f t="array" ref="BC18">INDEX(BB:BB,MIN(IF(ISNUMBER(BB18:BB214),ROW(BB18:BB214),"")))</f>
        <v>3.1623931623931623</v>
      </c>
      <c r="BD18" s="13">
        <f>IF('Données projet'!$A$88&gt;35,BD17+BC18-BL17,IF(A18&lt;'Données projet'!$A$88,$BA$205^A18,IF(A18='Données projet'!$A$88,'Données projet'!$B$88,BD17+BC18-BL17)))</f>
        <v>47.435897435897431</v>
      </c>
      <c r="BE18" s="14">
        <f>BD18*VLOOKUP('Données projet'!$B$11,Paramètres!$A$1:$I$89,3,0)*VLOOKUP('Données projet'!$B$11,Paramètres!$A$1:$I$89,5,0)</f>
        <v>45.139999999999993</v>
      </c>
      <c r="BF18" s="14">
        <f t="shared" si="37"/>
        <v>13.351272336364824</v>
      </c>
      <c r="BG18" s="22">
        <f t="shared" si="7"/>
        <v>101.87229931916873</v>
      </c>
      <c r="BH18" s="60">
        <f t="shared" si="8"/>
        <v>306.36904925204976</v>
      </c>
      <c r="BI18" s="60">
        <f ca="1">AVERAGE(OFFSET($BH$3,0,0,'Données projet'!$E$11+1,1))-AVERAGE(OFFSET($H$3,0,0,'Données projet'!$E$11+1,1))</f>
        <v>441.15969139782891</v>
      </c>
      <c r="BJ18" s="60">
        <f t="shared" si="38"/>
        <v>315.06466790224783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40</v>
      </c>
      <c r="BW18" s="13">
        <f>VLOOKUP(A18,'Données projet'!$A$113:$I$133,9,0)</f>
        <v>2.6666666666666665</v>
      </c>
      <c r="BX18" s="13">
        <f t="array" ref="BX18">INDEX(BW:BW,MIN(IF(ISNUMBER(BW18:BW214),ROW(BW18:BW214),"")))</f>
        <v>2.6666666666666665</v>
      </c>
      <c r="BY18" s="13">
        <f>IF('Données projet'!$A$114&gt;35,BY17+BX18-CG17,IF(A18&lt;'Données projet'!$A$114,$BV$205^A18,IF(A18='Données projet'!$A$114,'Données projet'!$B$114,BY17+BX18-CG17)))</f>
        <v>40</v>
      </c>
      <c r="BZ18" s="14">
        <f>BY18*VLOOKUP('Données projet'!$B$12,Paramètres!$A$1:$I$89,3,0)*VLOOKUP('Données projet'!$B$12,Paramètres!$A$1:$I$89,5,0)</f>
        <v>31.200000000000003</v>
      </c>
      <c r="CA18" s="14">
        <f t="shared" si="39"/>
        <v>9.6335657126419925</v>
      </c>
      <c r="CB18" s="22">
        <f t="shared" si="10"/>
        <v>71.118460282851473</v>
      </c>
      <c r="CC18" s="60">
        <f t="shared" si="11"/>
        <v>275.61521021573253</v>
      </c>
      <c r="CD18" s="60">
        <f ca="1">AVERAGE(OFFSET($CC$3,0,0,'Données projet'!$E$12+1,1))-AVERAGE(OFFSET($H$3,0,0,'Données projet'!$E$12+1,1))</f>
        <v>312.59632808777332</v>
      </c>
      <c r="CE18" s="60">
        <f t="shared" si="40"/>
        <v>302.59481222418219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3.65</v>
      </c>
      <c r="CT18" s="13">
        <f>IF('Données projet'!$A$140&gt;35,CT17+CS18-DB17,IF(A18&lt;'Données projet'!$A$140,$CQ$205^A18,IF(A18='Données projet'!$A$140,'Données projet'!$B$140,CT17+CS18-DB17)))</f>
        <v>24.974232188561476</v>
      </c>
      <c r="CU18" s="18">
        <f>CT18*VLOOKUP('Données projet'!$B$13,Paramètres!$A$1:$I$89,3,0)*VLOOKUP('Données projet'!$B$13,Paramètres!$A$1:$I$89,5,0)</f>
        <v>24.155077372776663</v>
      </c>
      <c r="CV18" s="14">
        <f t="shared" si="41"/>
        <v>7.6838400568695304</v>
      </c>
      <c r="CW18" s="22">
        <f t="shared" si="13"/>
        <v>55.452781189967119</v>
      </c>
      <c r="CX18" s="60">
        <f t="shared" si="14"/>
        <v>259.94953112284816</v>
      </c>
      <c r="CY18" s="60">
        <f ca="1">AVERAGE(OFFSET($CX$3,0,0,'Données projet'!$E$13+1,1))-AVERAGE(OFFSET($H$3,0,0,'Données projet'!$E$13+1,1))</f>
        <v>603.52431522262032</v>
      </c>
      <c r="CZ18" s="60">
        <f t="shared" si="42"/>
        <v>313.56299786481338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3.65</v>
      </c>
      <c r="DO18" s="13">
        <f>IF('Données projet'!$A$166&gt;35,DO17+DN18-DW17,IF(A18&lt;'Données projet'!$A$166,$DL$205^A18,IF(A18='Données projet'!$A$166,'Données projet'!$B$166,DO17+DN18-DW17)))</f>
        <v>24.974232188561476</v>
      </c>
      <c r="DP18" s="18">
        <f>DO18*VLOOKUP('Données projet'!$B$14,Paramètres!$A$1:$I$89,3,0)*VLOOKUP('Données projet'!$B$14,Paramètres!$A$1:$I$89,5,0)</f>
        <v>26.882263527767574</v>
      </c>
      <c r="DQ18" s="14">
        <f t="shared" si="43"/>
        <v>8.4455526941763424</v>
      </c>
      <c r="DR18" s="22">
        <f t="shared" si="16"/>
        <v>61.52927991988566</v>
      </c>
      <c r="DS18" s="60">
        <f t="shared" si="17"/>
        <v>266.02602985276673</v>
      </c>
      <c r="DT18" s="60">
        <f ca="1">AVERAGE(OFFSET($DS$3,0,0,'Données projet'!$E$14+1,1))-AVERAGE(OFFSET($H$3,0,0,'Données projet'!$E$14+1,1))</f>
        <v>661.93515988633499</v>
      </c>
      <c r="DU18" s="60">
        <f t="shared" si="44"/>
        <v>341.9250949809848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78.205128205128204</v>
      </c>
      <c r="EH18" s="13">
        <f>VLOOKUP(A18,'Données projet'!$A$191:$I$211,9,0)</f>
        <v>9.1025641025641022</v>
      </c>
      <c r="EI18" s="13">
        <f t="array" ref="EI18">INDEX(EH:EH,MIN(IF(ISNUMBER(EH18:EH214),ROW(EH18:EH214),"")))</f>
        <v>9.1025641025641022</v>
      </c>
      <c r="EJ18" s="13">
        <f>IF('Données projet'!$A$192&gt;35,EJ17+EI18-ER17,IF(A18&lt;'Données projet'!$A$192,$EG$205^A18,IF(A18='Données projet'!$A$192,'Données projet'!$B$192,EJ17+EI18-ER17)))</f>
        <v>78.205128205128204</v>
      </c>
      <c r="EK18" s="18">
        <f>EJ18*VLOOKUP('Données projet'!$B$15,Paramètres!$A$1:$I$89,3,0)*VLOOKUP('Données projet'!$B$15,Paramètres!$A$1:$I$89,5,0)</f>
        <v>52.459999999999994</v>
      </c>
      <c r="EL18" s="14">
        <f t="shared" si="45"/>
        <v>15.247278696731632</v>
      </c>
      <c r="EM18" s="22">
        <f t="shared" si="19"/>
        <v>117.92351039680756</v>
      </c>
      <c r="EN18" s="60">
        <f t="shared" si="20"/>
        <v>322.42026032968863</v>
      </c>
      <c r="EO18" s="60">
        <f ca="1">AVERAGE(OFFSET($EN$3,0,0,'Données projet'!$E$15+1,1))-AVERAGE(OFFSET($H$3,0,0,'Données projet'!$E$15+1,1))</f>
        <v>396.0878652679051</v>
      </c>
      <c r="EP18" s="60">
        <f t="shared" si="46"/>
        <v>327.26339199235406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64.5</v>
      </c>
      <c r="FC18" s="13">
        <f>VLOOKUP(A18,'Données projet'!$A$217:$I$237,9,0)</f>
        <v>10.68</v>
      </c>
      <c r="FD18" s="13">
        <f t="array" ref="FD18">INDEX(FC:FC,MIN(IF(ISNUMBER(FC18:FC214),ROW(FC18:FC214),"")))</f>
        <v>10.68</v>
      </c>
      <c r="FE18" s="13">
        <f>IF('Données projet'!$A$218&gt;35,FE17+FD18-FM17,IF(A18&lt;'Données projet'!$A$218,$FB$205^A18,IF(A18='Données projet'!$A$218,'Données projet'!$B$218,FE17+FD18-FM17)))</f>
        <v>64.5</v>
      </c>
      <c r="FF18" s="18">
        <f>FE18*VLOOKUP('Données projet'!$B$16,Paramètres!$A$1:$I$89,3,0)*VLOOKUP('Données projet'!$B$16,Paramètres!$A$1:$I$89,5,0)</f>
        <v>47.291399999999996</v>
      </c>
      <c r="FG18" s="14">
        <f t="shared" si="47"/>
        <v>13.91200070808976</v>
      </c>
      <c r="FH18" s="22">
        <f t="shared" si="22"/>
        <v>106.595922899923</v>
      </c>
      <c r="FI18" s="60">
        <f t="shared" si="23"/>
        <v>311.09267283280406</v>
      </c>
      <c r="FJ18" s="60">
        <f ca="1">AVERAGE(OFFSET($FI$3,0,0,'Données projet'!$E$16+1,1))-AVERAGE(OFFSET($H$3,0,0,'Données projet'!$E$16+1,1))</f>
        <v>368.35775920359396</v>
      </c>
      <c r="FK18" s="60">
        <f t="shared" si="48"/>
        <v>395.5218438652638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2.8</v>
      </c>
      <c r="FZ18" s="13">
        <f>IF('Données projet'!$A$244&gt;35,FZ17+FY18-GH17,IF(A18&lt;'Données projet'!$A$244,$FW$205^A18,IF(A18='Données projet'!$A$244,'Données projet'!$B$244,FZ17+FY18-GH17)))</f>
        <v>20.471092479852732</v>
      </c>
      <c r="GA18" s="18">
        <f>FZ18*VLOOKUP('Données projet'!$B$17,Paramètres!$A$1:$I$89,3,0)*VLOOKUP('Données projet'!$B$17,Paramètres!$A$1:$I$89,5,0)</f>
        <v>17.564197347713648</v>
      </c>
      <c r="GB18" s="14">
        <f t="shared" si="49"/>
        <v>5.7983661712048189</v>
      </c>
      <c r="GC18" s="22">
        <f t="shared" si="25"/>
        <v>40.689798128782996</v>
      </c>
      <c r="GD18" s="60">
        <f t="shared" si="26"/>
        <v>245.18654806166404</v>
      </c>
      <c r="GE18" s="60">
        <f ca="1">AVERAGE(OFFSET($GD$3,0,0,'Données projet'!$E$17+1,1))-AVERAGE(OFFSET($H$3,0,0,'Données projet'!$E$17+1,1))</f>
        <v>701.44583662096022</v>
      </c>
      <c r="GF18" s="60">
        <f t="shared" si="50"/>
        <v>331.25104323342907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>
        <f>VLOOKUP(A18,'Données projet'!$A$269:$I$289,2,0)</f>
        <v>49</v>
      </c>
      <c r="GS18" s="13">
        <f>VLOOKUP(A18,'Données projet'!$A$269:$I$289,9,0)</f>
        <v>8</v>
      </c>
      <c r="GT18" s="13">
        <f t="array" ref="GT18">INDEX(GS:GS,MIN(IF(ISNUMBER(GS18:GS214),ROW(GS18:GS214),"")))</f>
        <v>8</v>
      </c>
      <c r="GU18" s="13">
        <f>IF('Données projet'!$A$270&gt;35,GU17+GT18-HC17,IF(A18&lt;'Données projet'!$A$270,$GR$205^A18,IF(A18='Données projet'!$A$270,'Données projet'!$B$270,GU17+GT18-HC17)))</f>
        <v>49</v>
      </c>
      <c r="GV18" s="18">
        <f>GU18*VLOOKUP('Données projet'!$B$18,Paramètres!$A$1:$I$89,3,0)*VLOOKUP('Données projet'!$B$18,Paramètres!$A$1:$I$89,5,0)</f>
        <v>39.748800000000003</v>
      </c>
      <c r="GW18" s="14">
        <f t="shared" si="51"/>
        <v>11.932041927023215</v>
      </c>
      <c r="GX18" s="22">
        <f t="shared" si="28"/>
        <v>90.010799689565431</v>
      </c>
      <c r="GY18" s="60">
        <f t="shared" si="29"/>
        <v>294.5075496224465</v>
      </c>
      <c r="GZ18" s="60">
        <f ca="1">AVERAGE(OFFSET($GY$3,0,0,'Données projet'!$E$18+1,1))-AVERAGE(OFFSET($H$3,0,0,'Données projet'!$E$18+1,1))</f>
        <v>272.69564942740931</v>
      </c>
      <c r="HA18" s="60">
        <f t="shared" si="52"/>
        <v>316.57989180609252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25">
      <c r="A19" s="11">
        <f t="shared" si="31"/>
        <v>16</v>
      </c>
      <c r="B19" s="75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8">
        <f t="shared" si="1"/>
        <v>183.33333333333334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0">
        <f t="shared" si="0"/>
        <v>270.96474543463864</v>
      </c>
      <c r="S19" s="60">
        <f ca="1">AVERAGE(OFFSET($R$3,0,0,'Données projet'!$E$9+1,1))-AVERAGE(OFFSET($H$3,0,0,'Données projet'!$E$9+1,1))</f>
        <v>570.08763950759544</v>
      </c>
      <c r="T19" s="60">
        <f t="shared" si="34"/>
        <v>297.32483725004136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13.760000000000002</v>
      </c>
      <c r="AI19" s="14">
        <f>IF('Données projet'!$A$62&gt;35,AI18+AH19-AQ18,IF(A19&lt;'Données projet'!$A$62,$AF$205^A19,IF(A19='Données projet'!$A$62,'Données projet'!$B$62,AI18+AH19-AQ18)))</f>
        <v>78.260000000000005</v>
      </c>
      <c r="AJ19" s="14">
        <f>AI19*VLOOKUP('Données projet'!$B$10,Paramètres!$A$1:$I$89,3,0)*VLOOKUP('Données projet'!$B$10,Paramètres!$A$1:$I$89,5,0)</f>
        <v>62.263656000000012</v>
      </c>
      <c r="AK19" s="14">
        <f t="shared" si="35"/>
        <v>17.739352894036266</v>
      </c>
      <c r="AL19" s="22">
        <f t="shared" si="4"/>
        <v>139.33857382377983</v>
      </c>
      <c r="AM19" s="60">
        <f t="shared" si="5"/>
        <v>346.28061974589389</v>
      </c>
      <c r="AN19" s="60">
        <f ca="1">AVERAGE(OFFSET($AM$3,0,0,'Données projet'!$E$10+1,1))-AVERAGE(OFFSET($H$3,0,0,'Données projet'!$E$10+1,1))</f>
        <v>394.49874384716014</v>
      </c>
      <c r="AO19" s="60">
        <f t="shared" si="36"/>
        <v>423.72519584013378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7.4358974358974361</v>
      </c>
      <c r="BD19" s="13">
        <f>IF('Données projet'!$A$88&gt;35,BD18+BC19-BL18,IF(A19&lt;'Données projet'!$A$88,$BA$205^A19,IF(A19='Données projet'!$A$88,'Données projet'!$B$88,BD18+BC19-BL18)))</f>
        <v>54.871794871794869</v>
      </c>
      <c r="BE19" s="14">
        <f>BD19*VLOOKUP('Données projet'!$B$11,Paramètres!$A$1:$I$89,3,0)*VLOOKUP('Données projet'!$B$11,Paramètres!$A$1:$I$89,5,0)</f>
        <v>52.216000000000001</v>
      </c>
      <c r="BF19" s="14">
        <f t="shared" si="37"/>
        <v>15.184598935068502</v>
      </c>
      <c r="BG19" s="22">
        <f t="shared" si="7"/>
        <v>117.38937647857762</v>
      </c>
      <c r="BH19" s="60">
        <f t="shared" si="8"/>
        <v>324.33142240069168</v>
      </c>
      <c r="BI19" s="60">
        <f ca="1">AVERAGE(OFFSET($BH$3,0,0,'Données projet'!$E$11+1,1))-AVERAGE(OFFSET($H$3,0,0,'Données projet'!$E$11+1,1))</f>
        <v>441.15969139782891</v>
      </c>
      <c r="BJ19" s="60">
        <f t="shared" si="38"/>
        <v>315.06466790224783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9.6</v>
      </c>
      <c r="BY19" s="13">
        <f>IF('Données projet'!$A$114&gt;35,BY18+BX19-CG18,IF(A19&lt;'Données projet'!$A$114,$BV$205^A19,IF(A19='Données projet'!$A$114,'Données projet'!$B$114,BY18+BX19-CG18)))</f>
        <v>49.6</v>
      </c>
      <c r="BZ19" s="14">
        <f>BY19*VLOOKUP('Données projet'!$B$12,Paramètres!$A$1:$I$89,3,0)*VLOOKUP('Données projet'!$B$12,Paramètres!$A$1:$I$89,5,0)</f>
        <v>38.688000000000002</v>
      </c>
      <c r="CA19" s="14">
        <f t="shared" si="39"/>
        <v>11.650229083154354</v>
      </c>
      <c r="CB19" s="22">
        <f t="shared" si="10"/>
        <v>87.672415653160499</v>
      </c>
      <c r="CC19" s="60">
        <f t="shared" si="11"/>
        <v>294.61446157527456</v>
      </c>
      <c r="CD19" s="60">
        <f ca="1">AVERAGE(OFFSET($CC$3,0,0,'Données projet'!$E$12+1,1))-AVERAGE(OFFSET($H$3,0,0,'Données projet'!$E$12+1,1))</f>
        <v>312.59632808777332</v>
      </c>
      <c r="CE19" s="60">
        <f t="shared" si="40"/>
        <v>302.59481222418219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3.65</v>
      </c>
      <c r="CT19" s="13">
        <f>IF('Données projet'!$A$140&gt;35,CT18+CS19-DB18,IF(A19&lt;'Données projet'!$A$140,$CQ$205^A19,IF(A19='Données projet'!$A$140,'Données projet'!$B$140,CT18+CS19-DB18)))</f>
        <v>30.949831440200953</v>
      </c>
      <c r="CU19" s="18">
        <f>CT19*VLOOKUP('Données projet'!$B$13,Paramètres!$A$1:$I$89,3,0)*VLOOKUP('Données projet'!$B$13,Paramètres!$A$1:$I$89,5,0)</f>
        <v>29.934676968962361</v>
      </c>
      <c r="CV19" s="14">
        <f t="shared" si="41"/>
        <v>9.2875233828754098</v>
      </c>
      <c r="CW19" s="22">
        <f t="shared" si="13"/>
        <v>68.311998946117441</v>
      </c>
      <c r="CX19" s="60">
        <f t="shared" si="14"/>
        <v>275.25404486823152</v>
      </c>
      <c r="CY19" s="60">
        <f ca="1">AVERAGE(OFFSET($CX$3,0,0,'Données projet'!$E$13+1,1))-AVERAGE(OFFSET($H$3,0,0,'Données projet'!$E$13+1,1))</f>
        <v>603.52431522262032</v>
      </c>
      <c r="CZ19" s="60">
        <f t="shared" si="42"/>
        <v>313.56299786481338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3.65</v>
      </c>
      <c r="DO19" s="13">
        <f>IF('Données projet'!$A$166&gt;35,DO18+DN19-DW18,IF(A19&lt;'Données projet'!$A$166,$DL$205^A19,IF(A19='Données projet'!$A$166,'Données projet'!$B$166,DO18+DN19-DW18)))</f>
        <v>30.949831440200953</v>
      </c>
      <c r="DP19" s="18">
        <f>DO19*VLOOKUP('Données projet'!$B$14,Paramètres!$A$1:$I$89,3,0)*VLOOKUP('Données projet'!$B$14,Paramètres!$A$1:$I$89,5,0)</f>
        <v>33.314398562232306</v>
      </c>
      <c r="DQ19" s="14">
        <f t="shared" si="43"/>
        <v>10.208211980979948</v>
      </c>
      <c r="DR19" s="22">
        <f t="shared" si="16"/>
        <v>75.801880029428006</v>
      </c>
      <c r="DS19" s="60">
        <f t="shared" si="17"/>
        <v>282.74392595154205</v>
      </c>
      <c r="DT19" s="60">
        <f ca="1">AVERAGE(OFFSET($DS$3,0,0,'Données projet'!$E$14+1,1))-AVERAGE(OFFSET($H$3,0,0,'Données projet'!$E$14+1,1))</f>
        <v>661.93515988633499</v>
      </c>
      <c r="DU19" s="60">
        <f t="shared" si="44"/>
        <v>341.9250949809848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10</v>
      </c>
      <c r="EJ19" s="13">
        <f>IF('Données projet'!$A$192&gt;35,EJ18+EI19-ER18,IF(A19&lt;'Données projet'!$A$192,$EG$205^A19,IF(A19='Données projet'!$A$192,'Données projet'!$B$192,EJ18+EI19-ER18)))</f>
        <v>88.205128205128204</v>
      </c>
      <c r="EK19" s="18">
        <f>EJ19*VLOOKUP('Données projet'!$B$15,Paramètres!$A$1:$I$89,3,0)*VLOOKUP('Données projet'!$B$15,Paramètres!$A$1:$I$89,5,0)</f>
        <v>59.167999999999999</v>
      </c>
      <c r="EL19" s="14">
        <f t="shared" si="45"/>
        <v>16.957742660522214</v>
      </c>
      <c r="EM19" s="22">
        <f t="shared" si="19"/>
        <v>132.58566846707615</v>
      </c>
      <c r="EN19" s="60">
        <f t="shared" si="20"/>
        <v>339.52771438919024</v>
      </c>
      <c r="EO19" s="60">
        <f ca="1">AVERAGE(OFFSET($EN$3,0,0,'Données projet'!$E$15+1,1))-AVERAGE(OFFSET($H$3,0,0,'Données projet'!$E$15+1,1))</f>
        <v>396.0878652679051</v>
      </c>
      <c r="EP19" s="60">
        <f t="shared" si="46"/>
        <v>327.26339199235406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13.760000000000002</v>
      </c>
      <c r="FE19" s="13">
        <f>IF('Données projet'!$A$218&gt;35,FE18+FD19-FM18,IF(A19&lt;'Données projet'!$A$218,$FB$205^A19,IF(A19='Données projet'!$A$218,'Données projet'!$B$218,FE18+FD19-FM18)))</f>
        <v>78.260000000000005</v>
      </c>
      <c r="FF19" s="18">
        <f>FE19*VLOOKUP('Données projet'!$B$16,Paramètres!$A$1:$I$89,3,0)*VLOOKUP('Données projet'!$B$16,Paramètres!$A$1:$I$89,5,0)</f>
        <v>57.380232000000007</v>
      </c>
      <c r="FG19" s="14">
        <f t="shared" si="47"/>
        <v>16.504198297054995</v>
      </c>
      <c r="FH19" s="22">
        <f t="shared" si="22"/>
        <v>128.68204943403745</v>
      </c>
      <c r="FI19" s="60">
        <f t="shared" si="23"/>
        <v>335.62409535615154</v>
      </c>
      <c r="FJ19" s="60">
        <f ca="1">AVERAGE(OFFSET($FI$3,0,0,'Données projet'!$E$16+1,1))-AVERAGE(OFFSET($H$3,0,0,'Données projet'!$E$16+1,1))</f>
        <v>368.35775920359396</v>
      </c>
      <c r="FK19" s="60">
        <f t="shared" si="48"/>
        <v>395.5218438652638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2.8</v>
      </c>
      <c r="FZ19" s="13">
        <f>IF('Données projet'!$A$244&gt;35,FZ18+FY19-GH18,IF(A19&lt;'Données projet'!$A$244,$FW$205^A19,IF(A19='Données projet'!$A$244,'Données projet'!$B$244,FZ18+FY19-GH18)))</f>
        <v>25.035162898423533</v>
      </c>
      <c r="GA19" s="18">
        <f>FZ19*VLOOKUP('Données projet'!$B$17,Paramètres!$A$1:$I$89,3,0)*VLOOKUP('Données projet'!$B$17,Paramètres!$A$1:$I$89,5,0)</f>
        <v>21.480169766847393</v>
      </c>
      <c r="GB19" s="14">
        <f t="shared" si="49"/>
        <v>6.9269265873873334</v>
      </c>
      <c r="GC19" s="22">
        <f t="shared" si="25"/>
        <v>49.475692816958805</v>
      </c>
      <c r="GD19" s="60">
        <f t="shared" si="26"/>
        <v>256.41773873907289</v>
      </c>
      <c r="GE19" s="60">
        <f ca="1">AVERAGE(OFFSET($GD$3,0,0,'Données projet'!$E$17+1,1))-AVERAGE(OFFSET($H$3,0,0,'Données projet'!$E$17+1,1))</f>
        <v>701.44583662096022</v>
      </c>
      <c r="GF19" s="60">
        <f t="shared" si="50"/>
        <v>331.25104323342907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10</v>
      </c>
      <c r="GU19" s="13">
        <f>IF('Données projet'!$A$270&gt;35,GU18+GT19-HC18,IF(A19&lt;'Données projet'!$A$270,$GR$205^A19,IF(A19='Données projet'!$A$270,'Données projet'!$B$270,GU18+GT19-HC18)))</f>
        <v>59</v>
      </c>
      <c r="GV19" s="18">
        <f>GU19*VLOOKUP('Données projet'!$B$18,Paramètres!$A$1:$I$89,3,0)*VLOOKUP('Données projet'!$B$18,Paramètres!$A$1:$I$89,5,0)</f>
        <v>47.860800000000005</v>
      </c>
      <c r="GW19" s="14">
        <f t="shared" si="51"/>
        <v>14.059903887836867</v>
      </c>
      <c r="GX19" s="22">
        <f t="shared" si="28"/>
        <v>107.84522593798255</v>
      </c>
      <c r="GY19" s="60">
        <f t="shared" si="29"/>
        <v>314.78727186009661</v>
      </c>
      <c r="GZ19" s="60">
        <f ca="1">AVERAGE(OFFSET($GY$3,0,0,'Données projet'!$E$18+1,1))-AVERAGE(OFFSET($H$3,0,0,'Données projet'!$E$18+1,1))</f>
        <v>272.69564942740931</v>
      </c>
      <c r="HA19" s="60">
        <f t="shared" si="52"/>
        <v>316.57989180609252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25">
      <c r="A20" s="11">
        <f t="shared" si="31"/>
        <v>17</v>
      </c>
      <c r="B20" s="75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8">
        <f t="shared" si="1"/>
        <v>183.33333333333334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0">
        <f t="shared" si="0"/>
        <v>288.24149918328646</v>
      </c>
      <c r="S20" s="60">
        <f ca="1">AVERAGE(OFFSET($R$3,0,0,'Données projet'!$E$9+1,1))-AVERAGE(OFFSET($H$3,0,0,'Données projet'!$E$9+1,1))</f>
        <v>570.08763950759544</v>
      </c>
      <c r="T20" s="60">
        <f t="shared" si="34"/>
        <v>297.32483725004136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13.760000000000002</v>
      </c>
      <c r="AI20" s="14">
        <f>IF('Données projet'!$A$62&gt;35,AI19+AH20-AQ19,IF(A20&lt;'Données projet'!$A$62,$AF$205^A20,IF(A20='Données projet'!$A$62,'Données projet'!$B$62,AI19+AH20-AQ19)))</f>
        <v>92.02000000000001</v>
      </c>
      <c r="AJ20" s="14">
        <f>AI20*VLOOKUP('Données projet'!$B$10,Paramètres!$A$1:$I$89,3,0)*VLOOKUP('Données projet'!$B$10,Paramètres!$A$1:$I$89,5,0)</f>
        <v>73.211112000000014</v>
      </c>
      <c r="AK20" s="14">
        <f t="shared" si="35"/>
        <v>20.468796348022103</v>
      </c>
      <c r="AL20" s="22">
        <f t="shared" si="4"/>
        <v>163.15917370613849</v>
      </c>
      <c r="AM20" s="60">
        <f t="shared" si="5"/>
        <v>372.52529802201121</v>
      </c>
      <c r="AN20" s="60">
        <f ca="1">AVERAGE(OFFSET($AM$3,0,0,'Données projet'!$E$10+1,1))-AVERAGE(OFFSET($H$3,0,0,'Données projet'!$E$10+1,1))</f>
        <v>394.49874384716014</v>
      </c>
      <c r="AO20" s="60">
        <f t="shared" si="36"/>
        <v>423.72519584013378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7.4358974358974361</v>
      </c>
      <c r="BD20" s="13">
        <f>IF('Données projet'!$A$88&gt;35,BD19+BC20-BL19,IF(A20&lt;'Données projet'!$A$88,$BA$205^A20,IF(A20='Données projet'!$A$88,'Données projet'!$B$88,BD19+BC20-BL19)))</f>
        <v>62.307692307692307</v>
      </c>
      <c r="BE20" s="14">
        <f>BD20*VLOOKUP('Données projet'!$B$11,Paramètres!$A$1:$I$89,3,0)*VLOOKUP('Données projet'!$B$11,Paramètres!$A$1:$I$89,5,0)</f>
        <v>59.292000000000002</v>
      </c>
      <c r="BF20" s="14">
        <f t="shared" si="37"/>
        <v>16.98914092257921</v>
      </c>
      <c r="BG20" s="22">
        <f t="shared" si="7"/>
        <v>132.85632044015878</v>
      </c>
      <c r="BH20" s="60">
        <f t="shared" si="8"/>
        <v>342.22244475603151</v>
      </c>
      <c r="BI20" s="60">
        <f ca="1">AVERAGE(OFFSET($BH$3,0,0,'Données projet'!$E$11+1,1))-AVERAGE(OFFSET($H$3,0,0,'Données projet'!$E$11+1,1))</f>
        <v>441.15969139782891</v>
      </c>
      <c r="BJ20" s="60">
        <f t="shared" si="38"/>
        <v>315.06466790224783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9.6</v>
      </c>
      <c r="BY20" s="13">
        <f>IF('Données projet'!$A$114&gt;35,BY19+BX20-CG19,IF(A20&lt;'Données projet'!$A$114,$BV$205^A20,IF(A20='Données projet'!$A$114,'Données projet'!$B$114,BY19+BX20-CG19)))</f>
        <v>59.2</v>
      </c>
      <c r="BZ20" s="14">
        <f>BY20*VLOOKUP('Données projet'!$B$12,Paramètres!$A$1:$I$89,3,0)*VLOOKUP('Données projet'!$B$12,Paramètres!$A$1:$I$89,5,0)</f>
        <v>46.176000000000002</v>
      </c>
      <c r="CA20" s="14">
        <f t="shared" si="39"/>
        <v>13.621668778540489</v>
      </c>
      <c r="CB20" s="22">
        <f t="shared" si="10"/>
        <v>104.14760645595801</v>
      </c>
      <c r="CC20" s="60">
        <f t="shared" si="11"/>
        <v>313.51373077183075</v>
      </c>
      <c r="CD20" s="60">
        <f ca="1">AVERAGE(OFFSET($CC$3,0,0,'Données projet'!$E$12+1,1))-AVERAGE(OFFSET($H$3,0,0,'Données projet'!$E$12+1,1))</f>
        <v>312.59632808777332</v>
      </c>
      <c r="CE20" s="60">
        <f t="shared" si="40"/>
        <v>302.59481222418219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3.65</v>
      </c>
      <c r="CT20" s="13">
        <f>IF('Données projet'!$A$140&gt;35,CT19+CS20-DB19,IF(A20&lt;'Données projet'!$A$140,$CQ$205^A20,IF(A20='Données projet'!$A$140,'Données projet'!$B$140,CT19+CS20-DB19)))</f>
        <v>38.355215845858055</v>
      </c>
      <c r="CU20" s="18">
        <f>CT20*VLOOKUP('Données projet'!$B$13,Paramètres!$A$1:$I$89,3,0)*VLOOKUP('Données projet'!$B$13,Paramètres!$A$1:$I$89,5,0)</f>
        <v>37.097164766113913</v>
      </c>
      <c r="CV20" s="14">
        <f t="shared" si="41"/>
        <v>11.225909174194843</v>
      </c>
      <c r="CW20" s="22">
        <f t="shared" si="13"/>
        <v>84.162687112704418</v>
      </c>
      <c r="CX20" s="60">
        <f t="shared" si="14"/>
        <v>293.52881142857711</v>
      </c>
      <c r="CY20" s="60">
        <f ca="1">AVERAGE(OFFSET($CX$3,0,0,'Données projet'!$E$13+1,1))-AVERAGE(OFFSET($H$3,0,0,'Données projet'!$E$13+1,1))</f>
        <v>603.52431522262032</v>
      </c>
      <c r="CZ20" s="60">
        <f t="shared" si="42"/>
        <v>313.56299786481338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3.65</v>
      </c>
      <c r="DO20" s="13">
        <f>IF('Données projet'!$A$166&gt;35,DO19+DN20-DW19,IF(A20&lt;'Données projet'!$A$166,$DL$205^A20,IF(A20='Données projet'!$A$166,'Données projet'!$B$166,DO19+DN20-DW19)))</f>
        <v>38.355215845858055</v>
      </c>
      <c r="DP20" s="18">
        <f>DO20*VLOOKUP('Données projet'!$B$14,Paramètres!$A$1:$I$89,3,0)*VLOOKUP('Données projet'!$B$14,Paramètres!$A$1:$I$89,5,0)</f>
        <v>41.28555433648161</v>
      </c>
      <c r="DQ20" s="14">
        <f t="shared" si="43"/>
        <v>12.338753379690502</v>
      </c>
      <c r="DR20" s="22">
        <f t="shared" si="16"/>
        <v>93.39566927233308</v>
      </c>
      <c r="DS20" s="60">
        <f t="shared" si="17"/>
        <v>302.76179358820582</v>
      </c>
      <c r="DT20" s="60">
        <f ca="1">AVERAGE(OFFSET($DS$3,0,0,'Données projet'!$E$14+1,1))-AVERAGE(OFFSET($H$3,0,0,'Données projet'!$E$14+1,1))</f>
        <v>661.93515988633499</v>
      </c>
      <c r="DU20" s="60">
        <f t="shared" si="44"/>
        <v>341.9250949809848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10</v>
      </c>
      <c r="EJ20" s="13">
        <f>IF('Données projet'!$A$192&gt;35,EJ19+EI20-ER19,IF(A20&lt;'Données projet'!$A$192,$EG$205^A20,IF(A20='Données projet'!$A$192,'Données projet'!$B$192,EJ19+EI20-ER19)))</f>
        <v>98.205128205128204</v>
      </c>
      <c r="EK20" s="18">
        <f>EJ20*VLOOKUP('Données projet'!$B$15,Paramètres!$A$1:$I$89,3,0)*VLOOKUP('Données projet'!$B$15,Paramètres!$A$1:$I$89,5,0)</f>
        <v>65.876000000000005</v>
      </c>
      <c r="EL20" s="14">
        <f t="shared" si="45"/>
        <v>18.64573198002007</v>
      </c>
      <c r="EM20" s="22">
        <f t="shared" si="19"/>
        <v>147.20868319853497</v>
      </c>
      <c r="EN20" s="60">
        <f t="shared" si="20"/>
        <v>356.57480751440767</v>
      </c>
      <c r="EO20" s="60">
        <f ca="1">AVERAGE(OFFSET($EN$3,0,0,'Données projet'!$E$15+1,1))-AVERAGE(OFFSET($H$3,0,0,'Données projet'!$E$15+1,1))</f>
        <v>396.0878652679051</v>
      </c>
      <c r="EP20" s="60">
        <f t="shared" si="46"/>
        <v>327.26339199235406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13.760000000000002</v>
      </c>
      <c r="FE20" s="13">
        <f>IF('Données projet'!$A$218&gt;35,FE19+FD20-FM19,IF(A20&lt;'Données projet'!$A$218,$FB$205^A20,IF(A20='Données projet'!$A$218,'Données projet'!$B$218,FE19+FD20-FM19)))</f>
        <v>92.02000000000001</v>
      </c>
      <c r="FF20" s="18">
        <f>FE20*VLOOKUP('Données projet'!$B$16,Paramètres!$A$1:$I$89,3,0)*VLOOKUP('Données projet'!$B$16,Paramètres!$A$1:$I$89,5,0)</f>
        <v>67.469064000000003</v>
      </c>
      <c r="FG20" s="14">
        <f t="shared" si="47"/>
        <v>19.043596226295445</v>
      </c>
      <c r="FH20" s="22">
        <f t="shared" si="22"/>
        <v>150.67621656079791</v>
      </c>
      <c r="FI20" s="60">
        <f t="shared" si="23"/>
        <v>360.04234087667066</v>
      </c>
      <c r="FJ20" s="60">
        <f ca="1">AVERAGE(OFFSET($FI$3,0,0,'Données projet'!$E$16+1,1))-AVERAGE(OFFSET($H$3,0,0,'Données projet'!$E$16+1,1))</f>
        <v>368.35775920359396</v>
      </c>
      <c r="FK20" s="60">
        <f t="shared" si="48"/>
        <v>395.5218438652638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2.8</v>
      </c>
      <c r="FZ20" s="13">
        <f>IF('Données projet'!$A$244&gt;35,FZ19+FY20-GH19,IF(A20&lt;'Données projet'!$A$244,$FW$205^A20,IF(A20='Données projet'!$A$244,'Données projet'!$B$244,FZ19+FY20-GH19)))</f>
        <v>30.61680181296855</v>
      </c>
      <c r="GA20" s="18">
        <f>FZ20*VLOOKUP('Données projet'!$B$17,Paramètres!$A$1:$I$89,3,0)*VLOOKUP('Données projet'!$B$17,Paramètres!$A$1:$I$89,5,0)</f>
        <v>26.26921595552702</v>
      </c>
      <c r="GB20" s="14">
        <f t="shared" si="49"/>
        <v>8.2751434680579159</v>
      </c>
      <c r="GC20" s="22">
        <f t="shared" si="25"/>
        <v>60.164759329410423</v>
      </c>
      <c r="GD20" s="60">
        <f t="shared" si="26"/>
        <v>269.53088364528315</v>
      </c>
      <c r="GE20" s="60">
        <f ca="1">AVERAGE(OFFSET($GD$3,0,0,'Données projet'!$E$17+1,1))-AVERAGE(OFFSET($H$3,0,0,'Données projet'!$E$17+1,1))</f>
        <v>701.44583662096022</v>
      </c>
      <c r="GF20" s="60">
        <f t="shared" si="50"/>
        <v>331.25104323342907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10</v>
      </c>
      <c r="GU20" s="13">
        <f>IF('Données projet'!$A$270&gt;35,GU19+GT20-HC19,IF(A20&lt;'Données projet'!$A$270,$GR$205^A20,IF(A20='Données projet'!$A$270,'Données projet'!$B$270,GU19+GT20-HC19)))</f>
        <v>69</v>
      </c>
      <c r="GV20" s="18">
        <f>GU20*VLOOKUP('Données projet'!$B$18,Paramètres!$A$1:$I$89,3,0)*VLOOKUP('Données projet'!$B$18,Paramètres!$A$1:$I$89,5,0)</f>
        <v>55.972800000000007</v>
      </c>
      <c r="GW20" s="14">
        <f t="shared" si="51"/>
        <v>16.145985978099571</v>
      </c>
      <c r="GX20" s="22">
        <f t="shared" si="28"/>
        <v>125.60688557852342</v>
      </c>
      <c r="GY20" s="60">
        <f t="shared" si="29"/>
        <v>334.97300989439611</v>
      </c>
      <c r="GZ20" s="60">
        <f ca="1">AVERAGE(OFFSET($GY$3,0,0,'Données projet'!$E$18+1,1))-AVERAGE(OFFSET($H$3,0,0,'Données projet'!$E$18+1,1))</f>
        <v>272.69564942740931</v>
      </c>
      <c r="HA20" s="60">
        <f t="shared" si="52"/>
        <v>316.57989180609252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25">
      <c r="A21" s="11">
        <f t="shared" si="31"/>
        <v>18</v>
      </c>
      <c r="B21" s="75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8">
        <f t="shared" si="1"/>
        <v>183.33333333333334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0">
        <f t="shared" si="0"/>
        <v>308.95393822316214</v>
      </c>
      <c r="S21" s="60">
        <f ca="1">AVERAGE(OFFSET($R$3,0,0,'Données projet'!$E$9+1,1))-AVERAGE(OFFSET($H$3,0,0,'Données projet'!$E$9+1,1))</f>
        <v>570.08763950759544</v>
      </c>
      <c r="T21" s="60">
        <f t="shared" si="34"/>
        <v>297.32483725004136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13.760000000000002</v>
      </c>
      <c r="AI21" s="14">
        <f>IF('Données projet'!$A$62&gt;35,AI20+AH21-AQ20,IF(A21&lt;'Données projet'!$A$62,$AF$205^A21,IF(A21='Données projet'!$A$62,'Données projet'!$B$62,AI20+AH21-AQ20)))</f>
        <v>105.78000000000002</v>
      </c>
      <c r="AJ21" s="14">
        <f>AI21*VLOOKUP('Données projet'!$B$10,Paramètres!$A$1:$I$89,3,0)*VLOOKUP('Données projet'!$B$10,Paramètres!$A$1:$I$89,5,0)</f>
        <v>84.158568000000017</v>
      </c>
      <c r="AK21" s="14">
        <f t="shared" si="35"/>
        <v>23.15095738591862</v>
      </c>
      <c r="AL21" s="22">
        <f t="shared" si="4"/>
        <v>186.89742338047495</v>
      </c>
      <c r="AM21" s="60">
        <f t="shared" si="5"/>
        <v>398.66677657247806</v>
      </c>
      <c r="AN21" s="60">
        <f ca="1">AVERAGE(OFFSET($AM$3,0,0,'Données projet'!$E$10+1,1))-AVERAGE(OFFSET($H$3,0,0,'Données projet'!$E$10+1,1))</f>
        <v>394.49874384716014</v>
      </c>
      <c r="AO21" s="60">
        <f t="shared" si="36"/>
        <v>423.72519584013378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7.4358974358974361</v>
      </c>
      <c r="BD21" s="13">
        <f>IF('Données projet'!$A$88&gt;35,BD20+BC21-BL20,IF(A21&lt;'Données projet'!$A$88,$BA$205^A21,IF(A21='Données projet'!$A$88,'Données projet'!$B$88,BD20+BC21-BL20)))</f>
        <v>69.743589743589737</v>
      </c>
      <c r="BE21" s="14">
        <f>BD21*VLOOKUP('Données projet'!$B$11,Paramètres!$A$1:$I$89,3,0)*VLOOKUP('Données projet'!$B$11,Paramètres!$A$1:$I$89,5,0)</f>
        <v>66.367999999999995</v>
      </c>
      <c r="BF21" s="14">
        <f t="shared" si="37"/>
        <v>18.768726208561709</v>
      </c>
      <c r="BG21" s="22">
        <f t="shared" si="7"/>
        <v>148.27979814657829</v>
      </c>
      <c r="BH21" s="60">
        <f t="shared" si="8"/>
        <v>360.0491513385814</v>
      </c>
      <c r="BI21" s="60">
        <f ca="1">AVERAGE(OFFSET($BH$3,0,0,'Données projet'!$E$11+1,1))-AVERAGE(OFFSET($H$3,0,0,'Données projet'!$E$11+1,1))</f>
        <v>441.15969139782891</v>
      </c>
      <c r="BJ21" s="60">
        <f t="shared" si="38"/>
        <v>315.06466790224783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9.6</v>
      </c>
      <c r="BY21" s="13">
        <f>IF('Données projet'!$A$114&gt;35,BY20+BX21-CG20,IF(A21&lt;'Données projet'!$A$114,$BV$205^A21,IF(A21='Données projet'!$A$114,'Données projet'!$B$114,BY20+BX21-CG20)))</f>
        <v>68.8</v>
      </c>
      <c r="BZ21" s="14">
        <f>BY21*VLOOKUP('Données projet'!$B$12,Paramètres!$A$1:$I$89,3,0)*VLOOKUP('Données projet'!$B$12,Paramètres!$A$1:$I$89,5,0)</f>
        <v>53.664000000000001</v>
      </c>
      <c r="CA21" s="14">
        <f t="shared" si="39"/>
        <v>15.556073979202782</v>
      </c>
      <c r="CB21" s="22">
        <f t="shared" si="10"/>
        <v>120.55829551377816</v>
      </c>
      <c r="CC21" s="60">
        <f t="shared" si="11"/>
        <v>332.32764870578126</v>
      </c>
      <c r="CD21" s="60">
        <f ca="1">AVERAGE(OFFSET($CC$3,0,0,'Données projet'!$E$12+1,1))-AVERAGE(OFFSET($H$3,0,0,'Données projet'!$E$12+1,1))</f>
        <v>312.59632808777332</v>
      </c>
      <c r="CE21" s="60">
        <f t="shared" si="40"/>
        <v>302.59481222418219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3.65</v>
      </c>
      <c r="CT21" s="13">
        <f>IF('Données projet'!$A$140&gt;35,CT20+CS21-DB20,IF(A21&lt;'Données projet'!$A$140,$CQ$205^A21,IF(A21='Données projet'!$A$140,'Données projet'!$B$140,CT20+CS21-DB20)))</f>
        <v>47.532490941824946</v>
      </c>
      <c r="CU21" s="18">
        <f>CT21*VLOOKUP('Données projet'!$B$13,Paramètres!$A$1:$I$89,3,0)*VLOOKUP('Données projet'!$B$13,Paramètres!$A$1:$I$89,5,0)</f>
        <v>45.973425238933089</v>
      </c>
      <c r="CV21" s="14">
        <f t="shared" si="41"/>
        <v>13.56885270616201</v>
      </c>
      <c r="CW21" s="22">
        <f t="shared" si="13"/>
        <v>103.70280075437397</v>
      </c>
      <c r="CX21" s="60">
        <f t="shared" si="14"/>
        <v>315.47215394637709</v>
      </c>
      <c r="CY21" s="60">
        <f ca="1">AVERAGE(OFFSET($CX$3,0,0,'Données projet'!$E$13+1,1))-AVERAGE(OFFSET($H$3,0,0,'Données projet'!$E$13+1,1))</f>
        <v>603.52431522262032</v>
      </c>
      <c r="CZ21" s="60">
        <f t="shared" si="42"/>
        <v>313.56299786481338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3.65</v>
      </c>
      <c r="DO21" s="13">
        <f>IF('Données projet'!$A$166&gt;35,DO20+DN21-DW20,IF(A21&lt;'Données projet'!$A$166,$DL$205^A21,IF(A21='Données projet'!$A$166,'Données projet'!$B$166,DO20+DN21-DW20)))</f>
        <v>47.532490941824946</v>
      </c>
      <c r="DP21" s="18">
        <f>DO21*VLOOKUP('Données projet'!$B$14,Paramètres!$A$1:$I$89,3,0)*VLOOKUP('Données projet'!$B$14,Paramètres!$A$1:$I$89,5,0)</f>
        <v>51.163973249780369</v>
      </c>
      <c r="DQ21" s="14">
        <f t="shared" si="43"/>
        <v>14.913957042476</v>
      </c>
      <c r="DR21" s="22">
        <f t="shared" si="16"/>
        <v>115.08572859234651</v>
      </c>
      <c r="DS21" s="60">
        <f t="shared" si="17"/>
        <v>326.85508178434964</v>
      </c>
      <c r="DT21" s="60">
        <f ca="1">AVERAGE(OFFSET($DS$3,0,0,'Données projet'!$E$14+1,1))-AVERAGE(OFFSET($H$3,0,0,'Données projet'!$E$14+1,1))</f>
        <v>661.93515988633499</v>
      </c>
      <c r="DU21" s="60">
        <f t="shared" si="44"/>
        <v>341.9250949809848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10</v>
      </c>
      <c r="EJ21" s="13">
        <f>IF('Données projet'!$A$192&gt;35,EJ20+EI21-ER20,IF(A21&lt;'Données projet'!$A$192,$EG$205^A21,IF(A21='Données projet'!$A$192,'Données projet'!$B$192,EJ20+EI21-ER20)))</f>
        <v>108.2051282051282</v>
      </c>
      <c r="EK21" s="18">
        <f>EJ21*VLOOKUP('Données projet'!$B$15,Paramètres!$A$1:$I$89,3,0)*VLOOKUP('Données projet'!$B$15,Paramètres!$A$1:$I$89,5,0)</f>
        <v>72.584000000000003</v>
      </c>
      <c r="EL21" s="14">
        <f t="shared" si="45"/>
        <v>20.313795787810648</v>
      </c>
      <c r="EM21" s="22">
        <f t="shared" si="19"/>
        <v>161.79699433043689</v>
      </c>
      <c r="EN21" s="60">
        <f t="shared" si="20"/>
        <v>373.56634752243997</v>
      </c>
      <c r="EO21" s="60">
        <f ca="1">AVERAGE(OFFSET($EN$3,0,0,'Données projet'!$E$15+1,1))-AVERAGE(OFFSET($H$3,0,0,'Données projet'!$E$15+1,1))</f>
        <v>396.0878652679051</v>
      </c>
      <c r="EP21" s="60">
        <f t="shared" si="46"/>
        <v>327.26339199235406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13.760000000000002</v>
      </c>
      <c r="FE21" s="13">
        <f>IF('Données projet'!$A$218&gt;35,FE20+FD21-FM20,IF(A21&lt;'Données projet'!$A$218,$FB$205^A21,IF(A21='Données projet'!$A$218,'Données projet'!$B$218,FE20+FD21-FM20)))</f>
        <v>105.78000000000002</v>
      </c>
      <c r="FF21" s="18">
        <f>FE21*VLOOKUP('Données projet'!$B$16,Paramètres!$A$1:$I$89,3,0)*VLOOKUP('Données projet'!$B$16,Paramètres!$A$1:$I$89,5,0)</f>
        <v>77.557896000000014</v>
      </c>
      <c r="FG21" s="14">
        <f t="shared" si="47"/>
        <v>21.539003916671845</v>
      </c>
      <c r="FH21" s="22">
        <f t="shared" si="22"/>
        <v>172.59376735487015</v>
      </c>
      <c r="FI21" s="60">
        <f t="shared" si="23"/>
        <v>384.36312054687323</v>
      </c>
      <c r="FJ21" s="60">
        <f ca="1">AVERAGE(OFFSET($FI$3,0,0,'Données projet'!$E$16+1,1))-AVERAGE(OFFSET($H$3,0,0,'Données projet'!$E$16+1,1))</f>
        <v>368.35775920359396</v>
      </c>
      <c r="FK21" s="60">
        <f t="shared" si="48"/>
        <v>395.5218438652638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2.8</v>
      </c>
      <c r="FZ21" s="13">
        <f>IF('Données projet'!$A$244&gt;35,FZ20+FY21-GH20,IF(A21&lt;'Données projet'!$A$244,$FW$205^A21,IF(A21='Données projet'!$A$244,'Données projet'!$B$244,FZ20+FY21-GH20)))</f>
        <v>37.442878125375486</v>
      </c>
      <c r="GA21" s="18">
        <f>FZ21*VLOOKUP('Données projet'!$B$17,Paramètres!$A$1:$I$89,3,0)*VLOOKUP('Données projet'!$B$17,Paramètres!$A$1:$I$89,5,0)</f>
        <v>32.125989431572172</v>
      </c>
      <c r="GB21" s="14">
        <f t="shared" si="49"/>
        <v>9.8857694755459775</v>
      </c>
      <c r="GC21" s="22">
        <f t="shared" si="25"/>
        <v>73.170480096564106</v>
      </c>
      <c r="GD21" s="60">
        <f t="shared" si="26"/>
        <v>284.93983328856723</v>
      </c>
      <c r="GE21" s="60">
        <f ca="1">AVERAGE(OFFSET($GD$3,0,0,'Données projet'!$E$17+1,1))-AVERAGE(OFFSET($H$3,0,0,'Données projet'!$E$17+1,1))</f>
        <v>701.44583662096022</v>
      </c>
      <c r="GF21" s="60">
        <f t="shared" si="50"/>
        <v>331.25104323342907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10</v>
      </c>
      <c r="GU21" s="13">
        <f>IF('Données projet'!$A$270&gt;35,GU20+GT21-HC20,IF(A21&lt;'Données projet'!$A$270,$GR$205^A21,IF(A21='Données projet'!$A$270,'Données projet'!$B$270,GU20+GT21-HC20)))</f>
        <v>79</v>
      </c>
      <c r="GV21" s="18">
        <f>GU21*VLOOKUP('Données projet'!$B$18,Paramètres!$A$1:$I$89,3,0)*VLOOKUP('Données projet'!$B$18,Paramètres!$A$1:$I$89,5,0)</f>
        <v>64.084800000000001</v>
      </c>
      <c r="GW21" s="14">
        <f t="shared" si="51"/>
        <v>18.197042620605469</v>
      </c>
      <c r="GX21" s="22">
        <f t="shared" si="28"/>
        <v>143.30754256422119</v>
      </c>
      <c r="GY21" s="60">
        <f t="shared" si="29"/>
        <v>355.0768957562243</v>
      </c>
      <c r="GZ21" s="60">
        <f ca="1">AVERAGE(OFFSET($GY$3,0,0,'Données projet'!$E$18+1,1))-AVERAGE(OFFSET($H$3,0,0,'Données projet'!$E$18+1,1))</f>
        <v>272.69564942740931</v>
      </c>
      <c r="HA21" s="60">
        <f t="shared" si="52"/>
        <v>316.57989180609252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25">
      <c r="A22" s="11">
        <f t="shared" si="31"/>
        <v>19</v>
      </c>
      <c r="B22" s="75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8">
        <f t="shared" si="1"/>
        <v>183.33333333333334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0">
        <f t="shared" si="0"/>
        <v>333.90916953776684</v>
      </c>
      <c r="S22" s="60">
        <f ca="1">AVERAGE(OFFSET($R$3,0,0,'Données projet'!$E$9+1,1))-AVERAGE(OFFSET($H$3,0,0,'Données projet'!$E$9+1,1))</f>
        <v>570.08763950759544</v>
      </c>
      <c r="T22" s="60">
        <f t="shared" si="34"/>
        <v>297.32483725004136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13.760000000000002</v>
      </c>
      <c r="AI22" s="14">
        <f>IF('Données projet'!$A$62&gt;35,AI21+AH22-AQ21,IF(A22&lt;'Données projet'!$A$62,$AF$205^A22,IF(A22='Données projet'!$A$62,'Données projet'!$B$62,AI21+AH22-AQ21)))</f>
        <v>119.54000000000002</v>
      </c>
      <c r="AJ22" s="14">
        <f>AI22*VLOOKUP('Données projet'!$B$10,Paramètres!$A$1:$I$89,3,0)*VLOOKUP('Données projet'!$B$10,Paramètres!$A$1:$I$89,5,0)</f>
        <v>95.106024000000019</v>
      </c>
      <c r="AK22" s="14">
        <f t="shared" si="35"/>
        <v>25.792692267172022</v>
      </c>
      <c r="AL22" s="22">
        <f t="shared" si="4"/>
        <v>210.56526416532461</v>
      </c>
      <c r="AM22" s="60">
        <f t="shared" si="5"/>
        <v>424.7173584083481</v>
      </c>
      <c r="AN22" s="60">
        <f ca="1">AVERAGE(OFFSET($AM$3,0,0,'Données projet'!$E$10+1,1))-AVERAGE(OFFSET($H$3,0,0,'Données projet'!$E$10+1,1))</f>
        <v>394.49874384716014</v>
      </c>
      <c r="AO22" s="60">
        <f t="shared" si="36"/>
        <v>423.72519584013378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7.4358974358974361</v>
      </c>
      <c r="BD22" s="13">
        <f>IF('Données projet'!$A$88&gt;35,BD21+BC22-BL21,IF(A22&lt;'Données projet'!$A$88,$BA$205^A22,IF(A22='Données projet'!$A$88,'Données projet'!$B$88,BD21+BC22-BL21)))</f>
        <v>77.179487179487168</v>
      </c>
      <c r="BE22" s="14">
        <f>BD22*VLOOKUP('Données projet'!$B$11,Paramètres!$A$1:$I$89,3,0)*VLOOKUP('Données projet'!$B$11,Paramètres!$A$1:$I$89,5,0)</f>
        <v>73.443999999999988</v>
      </c>
      <c r="BF22" s="14">
        <f t="shared" si="37"/>
        <v>20.526318854777685</v>
      </c>
      <c r="BG22" s="22">
        <f t="shared" si="7"/>
        <v>163.66497200540442</v>
      </c>
      <c r="BH22" s="60">
        <f t="shared" si="8"/>
        <v>377.81706624842798</v>
      </c>
      <c r="BI22" s="60">
        <f ca="1">AVERAGE(OFFSET($BH$3,0,0,'Données projet'!$E$11+1,1))-AVERAGE(OFFSET($H$3,0,0,'Données projet'!$E$11+1,1))</f>
        <v>441.15969139782891</v>
      </c>
      <c r="BJ22" s="60">
        <f t="shared" si="38"/>
        <v>315.06466790224783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9.6</v>
      </c>
      <c r="BY22" s="13">
        <f>IF('Données projet'!$A$114&gt;35,BY21+BX22-CG21,IF(A22&lt;'Données projet'!$A$114,$BV$205^A22,IF(A22='Données projet'!$A$114,'Données projet'!$B$114,BY21+BX22-CG21)))</f>
        <v>78.399999999999991</v>
      </c>
      <c r="BZ22" s="14">
        <f>BY22*VLOOKUP('Données projet'!$B$12,Paramètres!$A$1:$I$89,3,0)*VLOOKUP('Données projet'!$B$12,Paramètres!$A$1:$I$89,5,0)</f>
        <v>61.151999999999994</v>
      </c>
      <c r="CA22" s="14">
        <f t="shared" si="39"/>
        <v>17.459207591071255</v>
      </c>
      <c r="CB22" s="22">
        <f t="shared" si="10"/>
        <v>136.9145198877824</v>
      </c>
      <c r="CC22" s="60">
        <f t="shared" si="11"/>
        <v>351.06661413080593</v>
      </c>
      <c r="CD22" s="60">
        <f ca="1">AVERAGE(OFFSET($CC$3,0,0,'Données projet'!$E$12+1,1))-AVERAGE(OFFSET($H$3,0,0,'Données projet'!$E$12+1,1))</f>
        <v>312.59632808777332</v>
      </c>
      <c r="CE22" s="60">
        <f t="shared" si="40"/>
        <v>302.59481222418219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3.65</v>
      </c>
      <c r="CT22" s="13">
        <f>IF('Données projet'!$A$140&gt;35,CT21+CS22-DB21,IF(A22&lt;'Données projet'!$A$140,$CQ$205^A22,IF(A22='Données projet'!$A$140,'Données projet'!$B$140,CT21+CS22-DB21)))</f>
        <v>58.90561805764559</v>
      </c>
      <c r="CU22" s="18">
        <f>CT22*VLOOKUP('Données projet'!$B$13,Paramètres!$A$1:$I$89,3,0)*VLOOKUP('Données projet'!$B$13,Paramètres!$A$1:$I$89,5,0)</f>
        <v>56.973513785354818</v>
      </c>
      <c r="CV22" s="14">
        <f t="shared" si="41"/>
        <v>16.400788649238766</v>
      </c>
      <c r="CW22" s="22">
        <f t="shared" si="13"/>
        <v>127.7935767402505</v>
      </c>
      <c r="CX22" s="60">
        <f t="shared" si="14"/>
        <v>341.945670983274</v>
      </c>
      <c r="CY22" s="60">
        <f ca="1">AVERAGE(OFFSET($CX$3,0,0,'Données projet'!$E$13+1,1))-AVERAGE(OFFSET($H$3,0,0,'Données projet'!$E$13+1,1))</f>
        <v>603.52431522262032</v>
      </c>
      <c r="CZ22" s="60">
        <f t="shared" si="42"/>
        <v>313.56299786481338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3.65</v>
      </c>
      <c r="DO22" s="13">
        <f>IF('Données projet'!$A$166&gt;35,DO21+DN22-DW21,IF(A22&lt;'Données projet'!$A$166,$DL$205^A22,IF(A22='Données projet'!$A$166,'Données projet'!$B$166,DO21+DN22-DW21)))</f>
        <v>58.90561805764559</v>
      </c>
      <c r="DP22" s="18">
        <f>DO22*VLOOKUP('Données projet'!$B$14,Paramètres!$A$1:$I$89,3,0)*VLOOKUP('Données projet'!$B$14,Paramètres!$A$1:$I$89,5,0)</f>
        <v>63.406007277249707</v>
      </c>
      <c r="DQ22" s="14">
        <f t="shared" si="43"/>
        <v>18.026627797823672</v>
      </c>
      <c r="DR22" s="22">
        <f t="shared" si="16"/>
        <v>141.82850608908612</v>
      </c>
      <c r="DS22" s="60">
        <f t="shared" si="17"/>
        <v>355.98060033210965</v>
      </c>
      <c r="DT22" s="60">
        <f ca="1">AVERAGE(OFFSET($DS$3,0,0,'Données projet'!$E$14+1,1))-AVERAGE(OFFSET($H$3,0,0,'Données projet'!$E$14+1,1))</f>
        <v>661.93515988633499</v>
      </c>
      <c r="DU22" s="60">
        <f t="shared" si="44"/>
        <v>341.9250949809848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10</v>
      </c>
      <c r="EJ22" s="13">
        <f>IF('Données projet'!$A$192&gt;35,EJ21+EI22-ER21,IF(A22&lt;'Données projet'!$A$192,$EG$205^A22,IF(A22='Données projet'!$A$192,'Données projet'!$B$192,EJ21+EI22-ER21)))</f>
        <v>118.2051282051282</v>
      </c>
      <c r="EK22" s="18">
        <f>EJ22*VLOOKUP('Données projet'!$B$15,Paramètres!$A$1:$I$89,3,0)*VLOOKUP('Données projet'!$B$15,Paramètres!$A$1:$I$89,5,0)</f>
        <v>79.292000000000002</v>
      </c>
      <c r="EL22" s="14">
        <f t="shared" si="45"/>
        <v>21.96398498934548</v>
      </c>
      <c r="EM22" s="22">
        <f t="shared" si="19"/>
        <v>176.35417385644337</v>
      </c>
      <c r="EN22" s="60">
        <f t="shared" si="20"/>
        <v>390.50626809946687</v>
      </c>
      <c r="EO22" s="60">
        <f ca="1">AVERAGE(OFFSET($EN$3,0,0,'Données projet'!$E$15+1,1))-AVERAGE(OFFSET($H$3,0,0,'Données projet'!$E$15+1,1))</f>
        <v>396.0878652679051</v>
      </c>
      <c r="EP22" s="60">
        <f t="shared" si="46"/>
        <v>327.26339199235406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13.760000000000002</v>
      </c>
      <c r="FE22" s="13">
        <f>IF('Données projet'!$A$218&gt;35,FE21+FD22-FM21,IF(A22&lt;'Données projet'!$A$218,$FB$205^A22,IF(A22='Données projet'!$A$218,'Données projet'!$B$218,FE21+FD22-FM21)))</f>
        <v>119.54000000000002</v>
      </c>
      <c r="FF22" s="18">
        <f>FE22*VLOOKUP('Données projet'!$B$16,Paramètres!$A$1:$I$89,3,0)*VLOOKUP('Données projet'!$B$16,Paramètres!$A$1:$I$89,5,0)</f>
        <v>87.64672800000001</v>
      </c>
      <c r="FG22" s="14">
        <f t="shared" si="47"/>
        <v>23.996800240409819</v>
      </c>
      <c r="FH22" s="22">
        <f t="shared" si="22"/>
        <v>194.44581168538045</v>
      </c>
      <c r="FI22" s="60">
        <f t="shared" si="23"/>
        <v>408.59790592840397</v>
      </c>
      <c r="FJ22" s="60">
        <f ca="1">AVERAGE(OFFSET($FI$3,0,0,'Données projet'!$E$16+1,1))-AVERAGE(OFFSET($H$3,0,0,'Données projet'!$E$16+1,1))</f>
        <v>368.35775920359396</v>
      </c>
      <c r="FK22" s="60">
        <f t="shared" si="48"/>
        <v>395.5218438652638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2.8</v>
      </c>
      <c r="FZ22" s="13">
        <f>IF('Données projet'!$A$244&gt;35,FZ21+FY22-GH21,IF(A22&lt;'Données projet'!$A$244,$FW$205^A22,IF(A22='Données projet'!$A$244,'Données projet'!$B$244,FZ21+FY22-GH21)))</f>
        <v>45.79084160638493</v>
      </c>
      <c r="GA22" s="18">
        <f>FZ22*VLOOKUP('Données projet'!$B$17,Paramètres!$A$1:$I$89,3,0)*VLOOKUP('Données projet'!$B$17,Paramètres!$A$1:$I$89,5,0)</f>
        <v>39.28854209827827</v>
      </c>
      <c r="GB22" s="14">
        <f t="shared" si="49"/>
        <v>11.809878402817876</v>
      </c>
      <c r="GC22" s="22">
        <f t="shared" si="25"/>
        <v>88.99641570607578</v>
      </c>
      <c r="GD22" s="60">
        <f t="shared" si="26"/>
        <v>303.14850994909932</v>
      </c>
      <c r="GE22" s="60">
        <f ca="1">AVERAGE(OFFSET($GD$3,0,0,'Données projet'!$E$17+1,1))-AVERAGE(OFFSET($H$3,0,0,'Données projet'!$E$17+1,1))</f>
        <v>701.44583662096022</v>
      </c>
      <c r="GF22" s="60">
        <f t="shared" si="50"/>
        <v>331.25104323342907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10</v>
      </c>
      <c r="GU22" s="13">
        <f>IF('Données projet'!$A$270&gt;35,GU21+GT22-HC21,IF(A22&lt;'Données projet'!$A$270,$GR$205^A22,IF(A22='Données projet'!$A$270,'Données projet'!$B$270,GU21+GT22-HC21)))</f>
        <v>89</v>
      </c>
      <c r="GV22" s="18">
        <f>GU22*VLOOKUP('Données projet'!$B$18,Paramètres!$A$1:$I$89,3,0)*VLOOKUP('Données projet'!$B$18,Paramètres!$A$1:$I$89,5,0)</f>
        <v>72.19680000000001</v>
      </c>
      <c r="GW22" s="14">
        <f t="shared" si="51"/>
        <v>20.218015459285922</v>
      </c>
      <c r="GX22" s="22">
        <f t="shared" si="28"/>
        <v>160.95580359158967</v>
      </c>
      <c r="GY22" s="60">
        <f t="shared" si="29"/>
        <v>375.1078978346132</v>
      </c>
      <c r="GZ22" s="60">
        <f ca="1">AVERAGE(OFFSET($GY$3,0,0,'Données projet'!$E$18+1,1))-AVERAGE(OFFSET($H$3,0,0,'Données projet'!$E$18+1,1))</f>
        <v>272.69564942740931</v>
      </c>
      <c r="HA22" s="60">
        <f t="shared" si="52"/>
        <v>316.57989180609252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25">
      <c r="A23" s="11">
        <f t="shared" si="31"/>
        <v>20</v>
      </c>
      <c r="B23" s="75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8">
        <f t="shared" si="1"/>
        <v>183.33333333333334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0">
        <f t="shared" si="0"/>
        <v>364.10308709124286</v>
      </c>
      <c r="S23" s="60">
        <f ca="1">AVERAGE(OFFSET($R$3,0,0,'Données projet'!$E$9+1,1))-AVERAGE(OFFSET($H$3,0,0,'Données projet'!$E$9+1,1))</f>
        <v>570.08763950759544</v>
      </c>
      <c r="T23" s="60">
        <f t="shared" si="34"/>
        <v>297.32483725004136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133.30000000000001</v>
      </c>
      <c r="AG23" s="13">
        <f>VLOOKUP(A23,'Données projet'!$A$61:$I$81,9,0)</f>
        <v>13.760000000000002</v>
      </c>
      <c r="AH23" s="13">
        <f t="array" ref="AH23">INDEX(AG:AG,MIN(IF(ISNUMBER(AG23:AG219),ROW(AG23:AG219),"")))</f>
        <v>13.760000000000002</v>
      </c>
      <c r="AI23" s="14">
        <f>IF('Données projet'!$A$62&gt;35,AI22+AH23-AQ22,IF(A23&lt;'Données projet'!$A$62,$AF$205^A23,IF(A23='Données projet'!$A$62,'Données projet'!$B$62,AI22+AH23-AQ22)))</f>
        <v>133.30000000000001</v>
      </c>
      <c r="AJ23" s="14">
        <f>AI23*VLOOKUP('Données projet'!$B$10,Paramètres!$A$1:$I$89,3,0)*VLOOKUP('Données projet'!$B$10,Paramètres!$A$1:$I$89,5,0)</f>
        <v>106.05348000000001</v>
      </c>
      <c r="AK23" s="14">
        <f t="shared" si="35"/>
        <v>28.39918570347135</v>
      </c>
      <c r="AL23" s="22">
        <f t="shared" si="4"/>
        <v>234.1717261002126</v>
      </c>
      <c r="AM23" s="60">
        <f t="shared" si="5"/>
        <v>450.68642898710834</v>
      </c>
      <c r="AN23" s="60">
        <f ca="1">AVERAGE(OFFSET($AM$3,0,0,'Données projet'!$E$10+1,1))-AVERAGE(OFFSET($H$3,0,0,'Données projet'!$E$10+1,1))</f>
        <v>394.49874384716014</v>
      </c>
      <c r="AO23" s="60">
        <f t="shared" si="36"/>
        <v>423.72519584013378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66.5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84.615384615384613</v>
      </c>
      <c r="BB23" s="13">
        <f>VLOOKUP(A23,'Données projet'!$A$87:$I$107,9,0)</f>
        <v>7.4358974358974361</v>
      </c>
      <c r="BC23" s="13">
        <f t="array" ref="BC23">INDEX(BB:BB,MIN(IF(ISNUMBER(BB23:BB219),ROW(BB23:BB219),"")))</f>
        <v>7.4358974358974361</v>
      </c>
      <c r="BD23" s="13">
        <f>IF('Données projet'!$A$88&gt;35,BD22+BC23-BL22,IF(A23&lt;'Données projet'!$A$88,$BA$205^A23,IF(A23='Données projet'!$A$88,'Données projet'!$B$88,BD22+BC23-BL22)))</f>
        <v>84.615384615384599</v>
      </c>
      <c r="BE23" s="14">
        <f>BD23*VLOOKUP('Données projet'!$B$11,Paramètres!$A$1:$I$89,3,0)*VLOOKUP('Données projet'!$B$11,Paramètres!$A$1:$I$89,5,0)</f>
        <v>80.519999999999982</v>
      </c>
      <c r="BF23" s="14">
        <f t="shared" si="37"/>
        <v>22.264278849845564</v>
      </c>
      <c r="BG23" s="22">
        <f t="shared" si="7"/>
        <v>179.01595233014768</v>
      </c>
      <c r="BH23" s="60">
        <f t="shared" si="8"/>
        <v>395.53065521704343</v>
      </c>
      <c r="BI23" s="60">
        <f ca="1">AVERAGE(OFFSET($BH$3,0,0,'Données projet'!$E$11+1,1))-AVERAGE(OFFSET($H$3,0,0,'Données projet'!$E$11+1,1))</f>
        <v>441.15969139782891</v>
      </c>
      <c r="BJ23" s="60">
        <f t="shared" si="38"/>
        <v>315.06466790224783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88</v>
      </c>
      <c r="BW23" s="13">
        <f>VLOOKUP(A23,'Données projet'!$A$113:$I$133,9,0)</f>
        <v>9.6</v>
      </c>
      <c r="BX23" s="13">
        <f t="array" ref="BX23">INDEX(BW:BW,MIN(IF(ISNUMBER(BW23:BW219),ROW(BW23:BW219),"")))</f>
        <v>9.6</v>
      </c>
      <c r="BY23" s="13">
        <f>IF('Données projet'!$A$114&gt;35,BY22+BX23-CG22,IF(A23&lt;'Données projet'!$A$114,$BV$205^A23,IF(A23='Données projet'!$A$114,'Données projet'!$B$114,BY22+BX23-CG22)))</f>
        <v>87.999999999999986</v>
      </c>
      <c r="BZ23" s="14">
        <f>BY23*VLOOKUP('Données projet'!$B$12,Paramètres!$A$1:$I$89,3,0)*VLOOKUP('Données projet'!$B$12,Paramètres!$A$1:$I$89,5,0)</f>
        <v>68.639999999999986</v>
      </c>
      <c r="CA23" s="14">
        <f t="shared" si="39"/>
        <v>19.335336956640202</v>
      </c>
      <c r="CB23" s="22">
        <f t="shared" si="10"/>
        <v>153.22371186614834</v>
      </c>
      <c r="CC23" s="60">
        <f t="shared" si="11"/>
        <v>369.73841475304403</v>
      </c>
      <c r="CD23" s="60">
        <f ca="1">AVERAGE(OFFSET($CC$3,0,0,'Données projet'!$E$12+1,1))-AVERAGE(OFFSET($H$3,0,0,'Données projet'!$E$12+1,1))</f>
        <v>312.59632808777332</v>
      </c>
      <c r="CE23" s="60">
        <f t="shared" si="40"/>
        <v>302.59481222418219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73</v>
      </c>
      <c r="CR23" s="13">
        <f>VLOOKUP(A23,'Données projet'!$A$139:$I$159,9,0)</f>
        <v>3.65</v>
      </c>
      <c r="CS23" s="13">
        <f t="array" ref="CS23">INDEX(CR:CR,MIN(IF(ISNUMBER(CR23:CR219),ROW(CR23:CR219),"")))</f>
        <v>3.65</v>
      </c>
      <c r="CT23" s="13">
        <f>IF('Données projet'!$A$140&gt;35,CT22+CS23-DB22,IF(A23&lt;'Données projet'!$A$140,$CQ$205^A23,IF(A23='Données projet'!$A$140,'Données projet'!$B$140,CT22+CS23-DB22)))</f>
        <v>73</v>
      </c>
      <c r="CU23" s="18">
        <f>CT23*VLOOKUP('Données projet'!$B$13,Paramètres!$A$1:$I$89,3,0)*VLOOKUP('Données projet'!$B$13,Paramètres!$A$1:$I$89,5,0)</f>
        <v>70.605599999999995</v>
      </c>
      <c r="CV23" s="14">
        <f t="shared" si="41"/>
        <v>19.823773913828742</v>
      </c>
      <c r="CW23" s="22">
        <f t="shared" si="13"/>
        <v>157.49782623325171</v>
      </c>
      <c r="CX23" s="60">
        <f t="shared" si="14"/>
        <v>374.01252912014741</v>
      </c>
      <c r="CY23" s="60">
        <f ca="1">AVERAGE(OFFSET($CX$3,0,0,'Données projet'!$E$13+1,1))-AVERAGE(OFFSET($H$3,0,0,'Données projet'!$E$13+1,1))</f>
        <v>603.52431522262032</v>
      </c>
      <c r="CZ23" s="60">
        <f t="shared" si="42"/>
        <v>313.56299786481338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73</v>
      </c>
      <c r="DM23" s="13">
        <f>VLOOKUP(A23,'Données projet'!$A$165:$I$185,9,0)</f>
        <v>3.65</v>
      </c>
      <c r="DN23" s="13">
        <f t="array" ref="DN23">INDEX(DM:DM,MIN(IF(ISNUMBER(DM23:DM219),ROW(DM23:DM219),"")))</f>
        <v>3.65</v>
      </c>
      <c r="DO23" s="13">
        <f>IF('Données projet'!$A$166&gt;35,DO22+DN23-DW22,IF(A23&lt;'Données projet'!$A$166,$DL$205^A23,IF(A23='Données projet'!$A$166,'Données projet'!$B$166,DO22+DN23-DW22)))</f>
        <v>73</v>
      </c>
      <c r="DP23" s="18">
        <f>DO23*VLOOKUP('Données projet'!$B$14,Paramètres!$A$1:$I$89,3,0)*VLOOKUP('Données projet'!$B$14,Paramètres!$A$1:$I$89,5,0)</f>
        <v>78.577200000000005</v>
      </c>
      <c r="DQ23" s="14">
        <f t="shared" si="43"/>
        <v>21.788939637935243</v>
      </c>
      <c r="DR23" s="22">
        <f t="shared" si="16"/>
        <v>174.8043598694039</v>
      </c>
      <c r="DS23" s="60">
        <f t="shared" si="17"/>
        <v>391.31906275629962</v>
      </c>
      <c r="DT23" s="60">
        <f ca="1">AVERAGE(OFFSET($DS$3,0,0,'Données projet'!$E$14+1,1))-AVERAGE(OFFSET($H$3,0,0,'Données projet'!$E$14+1,1))</f>
        <v>661.93515988633499</v>
      </c>
      <c r="DU23" s="60">
        <f t="shared" si="44"/>
        <v>341.9250949809848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128.2051282051282</v>
      </c>
      <c r="EH23" s="13">
        <f>VLOOKUP(A23,'Données projet'!$A$191:$I$211,9,0)</f>
        <v>10</v>
      </c>
      <c r="EI23" s="13">
        <f t="array" ref="EI23">INDEX(EH:EH,MIN(IF(ISNUMBER(EH23:EH219),ROW(EH23:EH219),"")))</f>
        <v>10</v>
      </c>
      <c r="EJ23" s="13">
        <f>IF('Données projet'!$A$192&gt;35,EJ22+EI23-ER22,IF(A23&lt;'Données projet'!$A$192,$EG$205^A23,IF(A23='Données projet'!$A$192,'Données projet'!$B$192,EJ22+EI23-ER22)))</f>
        <v>128.2051282051282</v>
      </c>
      <c r="EK23" s="18">
        <f>EJ23*VLOOKUP('Données projet'!$B$15,Paramètres!$A$1:$I$89,3,0)*VLOOKUP('Données projet'!$B$15,Paramètres!$A$1:$I$89,5,0)</f>
        <v>86</v>
      </c>
      <c r="EL23" s="14">
        <f t="shared" si="45"/>
        <v>23.597983677077231</v>
      </c>
      <c r="EM23" s="22">
        <f t="shared" si="19"/>
        <v>190.88315490424284</v>
      </c>
      <c r="EN23" s="60">
        <f t="shared" si="20"/>
        <v>407.39785779113856</v>
      </c>
      <c r="EO23" s="60">
        <f ca="1">AVERAGE(OFFSET($EN$3,0,0,'Données projet'!$E$15+1,1))-AVERAGE(OFFSET($H$3,0,0,'Données projet'!$E$15+1,1))</f>
        <v>396.0878652679051</v>
      </c>
      <c r="EP23" s="60">
        <f t="shared" si="46"/>
        <v>327.26339199235406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39.102564102564102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133.30000000000001</v>
      </c>
      <c r="FC23" s="13">
        <f>VLOOKUP(A23,'Données projet'!$A$217:$I$237,9,0)</f>
        <v>13.760000000000002</v>
      </c>
      <c r="FD23" s="13">
        <f t="array" ref="FD23">INDEX(FC:FC,MIN(IF(ISNUMBER(FC23:FC219),ROW(FC23:FC219),"")))</f>
        <v>13.760000000000002</v>
      </c>
      <c r="FE23" s="13">
        <f>IF('Données projet'!$A$218&gt;35,FE22+FD23-FM22,IF(A23&lt;'Données projet'!$A$218,$FB$205^A23,IF(A23='Données projet'!$A$218,'Données projet'!$B$218,FE22+FD23-FM22)))</f>
        <v>133.30000000000001</v>
      </c>
      <c r="FF23" s="18">
        <f>FE23*VLOOKUP('Données projet'!$B$16,Paramètres!$A$1:$I$89,3,0)*VLOOKUP('Données projet'!$B$16,Paramètres!$A$1:$I$89,5,0)</f>
        <v>97.735560000000007</v>
      </c>
      <c r="FG23" s="14">
        <f t="shared" si="47"/>
        <v>26.421808908404628</v>
      </c>
      <c r="FH23" s="22">
        <f t="shared" si="22"/>
        <v>216.24075084880474</v>
      </c>
      <c r="FI23" s="60">
        <f t="shared" si="23"/>
        <v>432.75545373570048</v>
      </c>
      <c r="FJ23" s="60">
        <f ca="1">AVERAGE(OFFSET($FI$3,0,0,'Données projet'!$E$16+1,1))-AVERAGE(OFFSET($H$3,0,0,'Données projet'!$E$16+1,1))</f>
        <v>368.35775920359396</v>
      </c>
      <c r="FK23" s="60">
        <f t="shared" si="48"/>
        <v>395.5218438652638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66.5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56</v>
      </c>
      <c r="FX23" s="13">
        <f>VLOOKUP(A23,'Données projet'!$A$243:$I$263,9,0)</f>
        <v>2.8</v>
      </c>
      <c r="FY23" s="13">
        <f t="array" ref="FY23">INDEX(FX:FX,MIN(IF(ISNUMBER(FX23:FX219),ROW(FX23:FX219),"")))</f>
        <v>2.8</v>
      </c>
      <c r="FZ23" s="13">
        <f>IF('Données projet'!$A$244&gt;35,FZ22+FY23-GH22,IF(A23&lt;'Données projet'!$A$244,$FW$205^A23,IF(A23='Données projet'!$A$244,'Données projet'!$B$244,FZ22+FY23-GH22)))</f>
        <v>56</v>
      </c>
      <c r="GA23" s="18">
        <f>FZ23*VLOOKUP('Données projet'!$B$17,Paramètres!$A$1:$I$89,3,0)*VLOOKUP('Données projet'!$B$17,Paramètres!$A$1:$I$89,5,0)</f>
        <v>48.048000000000009</v>
      </c>
      <c r="GB23" s="14">
        <f t="shared" si="49"/>
        <v>14.108484750160622</v>
      </c>
      <c r="GC23" s="22">
        <f t="shared" si="25"/>
        <v>108.25587760652975</v>
      </c>
      <c r="GD23" s="60">
        <f t="shared" si="26"/>
        <v>324.77058049342548</v>
      </c>
      <c r="GE23" s="60">
        <f ca="1">AVERAGE(OFFSET($GD$3,0,0,'Données projet'!$E$17+1,1))-AVERAGE(OFFSET($H$3,0,0,'Données projet'!$E$17+1,1))</f>
        <v>701.44583662096022</v>
      </c>
      <c r="GF23" s="60">
        <f t="shared" si="50"/>
        <v>331.25104323342907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99</v>
      </c>
      <c r="GS23" s="13">
        <f>VLOOKUP(A23,'Données projet'!$A$269:$I$289,9,0)</f>
        <v>10</v>
      </c>
      <c r="GT23" s="13">
        <f t="array" ref="GT23">INDEX(GS:GS,MIN(IF(ISNUMBER(GS23:GS219),ROW(GS23:GS219),"")))</f>
        <v>10</v>
      </c>
      <c r="GU23" s="13">
        <f>IF('Données projet'!$A$270&gt;35,GU22+GT23-HC22,IF(A23&lt;'Données projet'!$A$270,$GR$205^A23,IF(A23='Données projet'!$A$270,'Données projet'!$B$270,GU22+GT23-HC22)))</f>
        <v>99</v>
      </c>
      <c r="GV23" s="18">
        <f>GU23*VLOOKUP('Données projet'!$B$18,Paramètres!$A$1:$I$89,3,0)*VLOOKUP('Données projet'!$B$18,Paramètres!$A$1:$I$89,5,0)</f>
        <v>80.308800000000005</v>
      </c>
      <c r="GW23" s="14">
        <f t="shared" si="51"/>
        <v>22.212670396389218</v>
      </c>
      <c r="GX23" s="22">
        <f t="shared" si="28"/>
        <v>178.55822760704453</v>
      </c>
      <c r="GY23" s="60">
        <f t="shared" si="29"/>
        <v>395.07293049394025</v>
      </c>
      <c r="GZ23" s="60">
        <f ca="1">AVERAGE(OFFSET($GY$3,0,0,'Données projet'!$E$18+1,1))-AVERAGE(OFFSET($H$3,0,0,'Données projet'!$E$18+1,1))</f>
        <v>272.69564942740931</v>
      </c>
      <c r="HA23" s="60">
        <f t="shared" si="52"/>
        <v>316.57989180609252</v>
      </c>
      <c r="HB23" s="16">
        <f>IF(ISNA(VLOOKUP(A23,'Données projet'!$A$269:$I$289,3,0)),0,VLOOKUP(A23,'Données projet'!$A$269:$I$289,3,0))</f>
        <v>1</v>
      </c>
      <c r="HC23" s="16">
        <f>IF(ISNA(VLOOKUP(A23,'Données projet'!$A$269:$I$289,4,0)),0,VLOOKUP(A23,'Données projet'!$A$269:$I$289,4,0))</f>
        <v>40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25">
      <c r="A24" s="11">
        <f t="shared" si="31"/>
        <v>21</v>
      </c>
      <c r="B24" s="75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8">
        <f t="shared" si="1"/>
        <v>183.33333333333334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projet'!$B$9,Paramètres!$A$1:$I$89,3,0)*VLOOKUP('Données projet'!$B$9,Paramètres!$A$1:$I$89,5,0)</f>
        <v>72.564959999999999</v>
      </c>
      <c r="P24" s="14">
        <f t="shared" si="33"/>
        <v>20.30908732150932</v>
      </c>
      <c r="Q24" s="22">
        <f t="shared" si="2"/>
        <v>161.75563241829539</v>
      </c>
      <c r="R24" s="60">
        <f t="shared" si="0"/>
        <v>380.61316079416974</v>
      </c>
      <c r="S24" s="60">
        <f ca="1">AVERAGE(OFFSET($R$3,0,0,'Données projet'!$E$9+1,1))-AVERAGE(OFFSET($H$3,0,0,'Données projet'!$E$9+1,1))</f>
        <v>570.08763950759544</v>
      </c>
      <c r="T24" s="60">
        <f t="shared" si="34"/>
        <v>297.32483725004136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14.739999999999998</v>
      </c>
      <c r="AI24" s="14">
        <f>IF('Données projet'!$A$62&gt;35,AI23+AH24-AQ23,IF(A24&lt;'Données projet'!$A$62,$AF$205^A24,IF(A24='Données projet'!$A$62,'Données projet'!$B$62,AI23+AH24-AQ23)))</f>
        <v>81.54000000000002</v>
      </c>
      <c r="AJ24" s="14">
        <f>AI24*VLOOKUP('Données projet'!$B$10,Paramètres!$A$1:$I$89,3,0)*VLOOKUP('Données projet'!$B$10,Paramètres!$A$1:$I$89,5,0)</f>
        <v>64.873224000000022</v>
      </c>
      <c r="AK24" s="14">
        <f t="shared" si="35"/>
        <v>18.39471758117234</v>
      </c>
      <c r="AL24" s="22">
        <f t="shared" si="4"/>
        <v>145.0249982538752</v>
      </c>
      <c r="AM24" s="60">
        <f t="shared" si="5"/>
        <v>363.88252662974958</v>
      </c>
      <c r="AN24" s="60">
        <f ca="1">AVERAGE(OFFSET($AM$3,0,0,'Données projet'!$E$10+1,1))-AVERAGE(OFFSET($H$3,0,0,'Données projet'!$E$10+1,1))</f>
        <v>394.49874384716014</v>
      </c>
      <c r="AO24" s="60">
        <f t="shared" si="36"/>
        <v>423.72519584013378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7.5641025641025639</v>
      </c>
      <c r="BD24" s="13">
        <f>IF('Données projet'!$A$88&gt;35,BD23+BC24-BL23,IF(A24&lt;'Données projet'!$A$88,$BA$205^A24,IF(A24='Données projet'!$A$88,'Données projet'!$B$88,BD23+BC24-BL23)))</f>
        <v>92.179487179487168</v>
      </c>
      <c r="BE24" s="14">
        <f>BD24*VLOOKUP('Données projet'!$B$11,Paramètres!$A$1:$I$89,3,0)*VLOOKUP('Données projet'!$B$11,Paramètres!$A$1:$I$89,5,0)</f>
        <v>87.717999999999989</v>
      </c>
      <c r="BF24" s="14">
        <f t="shared" si="37"/>
        <v>24.014041608889237</v>
      </c>
      <c r="BG24" s="22">
        <f t="shared" si="7"/>
        <v>194.59997246881539</v>
      </c>
      <c r="BH24" s="60">
        <f t="shared" si="8"/>
        <v>413.45750084468978</v>
      </c>
      <c r="BI24" s="60">
        <f ca="1">AVERAGE(OFFSET($BH$3,0,0,'Données projet'!$E$11+1,1))-AVERAGE(OFFSET($H$3,0,0,'Données projet'!$E$11+1,1))</f>
        <v>441.15969139782891</v>
      </c>
      <c r="BJ24" s="60">
        <f t="shared" si="38"/>
        <v>315.06466790224783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10.6</v>
      </c>
      <c r="BY24" s="13">
        <f>IF('Données projet'!$A$114&gt;35,BY23+BX24-CG23,IF(A24&lt;'Données projet'!$A$114,$BV$205^A24,IF(A24='Données projet'!$A$114,'Données projet'!$B$114,BY23+BX24-CG23)))</f>
        <v>98.59999999999998</v>
      </c>
      <c r="BZ24" s="14">
        <f>BY24*VLOOKUP('Données projet'!$B$12,Paramètres!$A$1:$I$89,3,0)*VLOOKUP('Données projet'!$B$12,Paramètres!$A$1:$I$89,5,0)</f>
        <v>76.907999999999987</v>
      </c>
      <c r="CA24" s="14">
        <f t="shared" si="39"/>
        <v>21.379448490435635</v>
      </c>
      <c r="CB24" s="22">
        <f t="shared" si="10"/>
        <v>171.18397278750868</v>
      </c>
      <c r="CC24" s="60">
        <f t="shared" si="11"/>
        <v>390.04150116338303</v>
      </c>
      <c r="CD24" s="60">
        <f ca="1">AVERAGE(OFFSET($CC$3,0,0,'Données projet'!$E$12+1,1))-AVERAGE(OFFSET($H$3,0,0,'Données projet'!$E$12+1,1))</f>
        <v>312.59632808777332</v>
      </c>
      <c r="CE24" s="60">
        <f t="shared" si="40"/>
        <v>302.59481222418219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7.2</v>
      </c>
      <c r="CT24" s="13">
        <f>IF('Données projet'!$A$140&gt;35,CT23+CS24-DB23,IF(A24&lt;'Données projet'!$A$140,$CQ$205^A24,IF(A24='Données projet'!$A$140,'Données projet'!$B$140,CT23+CS24-DB23)))</f>
        <v>80.2</v>
      </c>
      <c r="CU24" s="18">
        <f>CT24*VLOOKUP('Données projet'!$B$13,Paramètres!$A$1:$I$89,3,0)*VLOOKUP('Données projet'!$B$13,Paramètres!$A$1:$I$89,5,0)</f>
        <v>77.569440000000014</v>
      </c>
      <c r="CV24" s="14">
        <f t="shared" si="41"/>
        <v>21.541836664136856</v>
      </c>
      <c r="CW24" s="22">
        <f t="shared" si="13"/>
        <v>172.61880685670505</v>
      </c>
      <c r="CX24" s="60">
        <f t="shared" si="14"/>
        <v>391.47633523257946</v>
      </c>
      <c r="CY24" s="60">
        <f ca="1">AVERAGE(OFFSET($CX$3,0,0,'Données projet'!$E$13+1,1))-AVERAGE(OFFSET($H$3,0,0,'Données projet'!$E$13+1,1))</f>
        <v>603.52431522262032</v>
      </c>
      <c r="CZ24" s="60">
        <f t="shared" si="42"/>
        <v>313.56299786481338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7.2</v>
      </c>
      <c r="DO24" s="13">
        <f>IF('Données projet'!$A$166&gt;35,DO23+DN24-DW23,IF(A24&lt;'Données projet'!$A$166,$DL$205^A24,IF(A24='Données projet'!$A$166,'Données projet'!$B$166,DO23+DN24-DW23)))</f>
        <v>80.2</v>
      </c>
      <c r="DP24" s="18">
        <f>DO24*VLOOKUP('Données projet'!$B$14,Paramètres!$A$1:$I$89,3,0)*VLOOKUP('Données projet'!$B$14,Paramètres!$A$1:$I$89,5,0)</f>
        <v>86.327280000000002</v>
      </c>
      <c r="DQ24" s="14">
        <f t="shared" si="43"/>
        <v>23.677316983408026</v>
      </c>
      <c r="DR24" s="22">
        <f t="shared" si="16"/>
        <v>191.59133974610231</v>
      </c>
      <c r="DS24" s="60">
        <f t="shared" si="17"/>
        <v>410.44886812197672</v>
      </c>
      <c r="DT24" s="60">
        <f ca="1">AVERAGE(OFFSET($DS$3,0,0,'Données projet'!$E$14+1,1))-AVERAGE(OFFSET($H$3,0,0,'Données projet'!$E$14+1,1))</f>
        <v>661.93515988633499</v>
      </c>
      <c r="DU24" s="60">
        <f t="shared" si="44"/>
        <v>341.9250949809848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9.7435897435897427</v>
      </c>
      <c r="EJ24" s="13">
        <f>IF('Données projet'!$A$192&gt;35,EJ23+EI24-ER23,IF(A24&lt;'Données projet'!$A$192,$EG$205^A24,IF(A24='Données projet'!$A$192,'Données projet'!$B$192,EJ23+EI24-ER23)))</f>
        <v>98.846153846153854</v>
      </c>
      <c r="EK24" s="18">
        <f>EJ24*VLOOKUP('Données projet'!$B$15,Paramètres!$A$1:$I$89,3,0)*VLOOKUP('Données projet'!$B$15,Paramètres!$A$1:$I$89,5,0)</f>
        <v>66.305999999999997</v>
      </c>
      <c r="EL24" s="14">
        <f t="shared" si="45"/>
        <v>18.753232796006525</v>
      </c>
      <c r="EM24" s="22">
        <f t="shared" si="19"/>
        <v>148.1448304530447</v>
      </c>
      <c r="EN24" s="60">
        <f t="shared" si="20"/>
        <v>367.00235882891911</v>
      </c>
      <c r="EO24" s="60">
        <f ca="1">AVERAGE(OFFSET($EN$3,0,0,'Données projet'!$E$15+1,1))-AVERAGE(OFFSET($H$3,0,0,'Données projet'!$E$15+1,1))</f>
        <v>396.0878652679051</v>
      </c>
      <c r="EP24" s="60">
        <f t="shared" si="46"/>
        <v>327.26339199235406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14.739999999999998</v>
      </c>
      <c r="FE24" s="13">
        <f>IF('Données projet'!$A$218&gt;35,FE23+FD24-FM23,IF(A24&lt;'Données projet'!$A$218,$FB$205^A24,IF(A24='Données projet'!$A$218,'Données projet'!$B$218,FE23+FD24-FM23)))</f>
        <v>81.54000000000002</v>
      </c>
      <c r="FF24" s="18">
        <f>FE24*VLOOKUP('Données projet'!$B$16,Paramètres!$A$1:$I$89,3,0)*VLOOKUP('Données projet'!$B$16,Paramètres!$A$1:$I$89,5,0)</f>
        <v>59.785128000000007</v>
      </c>
      <c r="FG24" s="14">
        <f t="shared" si="47"/>
        <v>17.113931291149598</v>
      </c>
      <c r="FH24" s="22">
        <f t="shared" si="22"/>
        <v>133.93252826541888</v>
      </c>
      <c r="FI24" s="60">
        <f t="shared" si="23"/>
        <v>352.79005664129329</v>
      </c>
      <c r="FJ24" s="60">
        <f ca="1">AVERAGE(OFFSET($FI$3,0,0,'Données projet'!$E$16+1,1))-AVERAGE(OFFSET($H$3,0,0,'Données projet'!$E$16+1,1))</f>
        <v>368.35775920359396</v>
      </c>
      <c r="FK24" s="60">
        <f t="shared" si="48"/>
        <v>395.5218438652638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11</v>
      </c>
      <c r="FZ24" s="13">
        <f>IF('Données projet'!$A$244&gt;35,FZ23+FY24-GH23,IF(A24&lt;'Données projet'!$A$244,$FW$205^A24,IF(A24='Données projet'!$A$244,'Données projet'!$B$244,FZ23+FY24-GH23)))</f>
        <v>67</v>
      </c>
      <c r="GA24" s="18">
        <f>FZ24*VLOOKUP('Données projet'!$B$17,Paramètres!$A$1:$I$89,3,0)*VLOOKUP('Données projet'!$B$17,Paramètres!$A$1:$I$89,5,0)</f>
        <v>57.486000000000004</v>
      </c>
      <c r="GB24" s="14">
        <f t="shared" si="49"/>
        <v>16.531076211754396</v>
      </c>
      <c r="GC24" s="22">
        <f t="shared" si="25"/>
        <v>128.9130744021389</v>
      </c>
      <c r="GD24" s="60">
        <f t="shared" si="26"/>
        <v>347.77060277801331</v>
      </c>
      <c r="GE24" s="60">
        <f ca="1">AVERAGE(OFFSET($GD$3,0,0,'Données projet'!$E$17+1,1))-AVERAGE(OFFSET($H$3,0,0,'Données projet'!$E$17+1,1))</f>
        <v>701.44583662096022</v>
      </c>
      <c r="GF24" s="60">
        <f t="shared" si="50"/>
        <v>331.25104323342907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8.6</v>
      </c>
      <c r="GU24" s="13">
        <f>IF('Données projet'!$A$270&gt;35,GU23+GT24-HC23,IF(A24&lt;'Données projet'!$A$270,$GR$205^A24,IF(A24='Données projet'!$A$270,'Données projet'!$B$270,GU23+GT24-HC23)))</f>
        <v>67.599999999999994</v>
      </c>
      <c r="GV24" s="18">
        <f>GU24*VLOOKUP('Données projet'!$B$18,Paramètres!$A$1:$I$89,3,0)*VLOOKUP('Données projet'!$B$18,Paramètres!$A$1:$I$89,5,0)</f>
        <v>54.837120000000006</v>
      </c>
      <c r="GW24" s="14">
        <f t="shared" si="51"/>
        <v>15.856174437579886</v>
      </c>
      <c r="GX24" s="22">
        <f t="shared" si="28"/>
        <v>123.12415447878497</v>
      </c>
      <c r="GY24" s="60">
        <f t="shared" si="29"/>
        <v>341.98168285465937</v>
      </c>
      <c r="GZ24" s="60">
        <f ca="1">AVERAGE(OFFSET($GY$3,0,0,'Données projet'!$E$18+1,1))-AVERAGE(OFFSET($H$3,0,0,'Données projet'!$E$18+1,1))</f>
        <v>272.69564942740931</v>
      </c>
      <c r="HA24" s="60">
        <f t="shared" si="52"/>
        <v>316.57989180609252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25">
      <c r="A25" s="11">
        <f t="shared" si="31"/>
        <v>22</v>
      </c>
      <c r="B25" s="75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8">
        <f t="shared" si="1"/>
        <v>183.33333333333334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projet'!$B$9,Paramètres!$A$1:$I$89,3,0)*VLOOKUP('Données projet'!$B$9,Paramètres!$A$1:$I$89,5,0)</f>
        <v>79.079520000000002</v>
      </c>
      <c r="P25" s="14">
        <f t="shared" si="33"/>
        <v>21.911970621402002</v>
      </c>
      <c r="Q25" s="22">
        <f t="shared" si="2"/>
        <v>175.89351283227515</v>
      </c>
      <c r="R25" s="60">
        <f t="shared" si="0"/>
        <v>397.07442673574354</v>
      </c>
      <c r="S25" s="60">
        <f ca="1">AVERAGE(OFFSET($R$3,0,0,'Données projet'!$E$9+1,1))-AVERAGE(OFFSET($H$3,0,0,'Données projet'!$E$9+1,1))</f>
        <v>570.08763950759544</v>
      </c>
      <c r="T25" s="60">
        <f t="shared" si="34"/>
        <v>297.32483725004136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14.739999999999998</v>
      </c>
      <c r="AI25" s="14">
        <f>IF('Données projet'!$A$62&gt;35,AI24+AH25-AQ24,IF(A25&lt;'Données projet'!$A$62,$AF$205^A25,IF(A25='Données projet'!$A$62,'Données projet'!$B$62,AI24+AH25-AQ24)))</f>
        <v>96.280000000000015</v>
      </c>
      <c r="AJ25" s="14">
        <f>AI25*VLOOKUP('Données projet'!$B$10,Paramètres!$A$1:$I$89,3,0)*VLOOKUP('Données projet'!$B$10,Paramètres!$A$1:$I$89,5,0)</f>
        <v>76.600368000000017</v>
      </c>
      <c r="AK25" s="14">
        <f t="shared" si="35"/>
        <v>21.30386735026233</v>
      </c>
      <c r="AL25" s="22">
        <f t="shared" si="4"/>
        <v>170.51654323504027</v>
      </c>
      <c r="AM25" s="60">
        <f t="shared" si="5"/>
        <v>391.69745713850864</v>
      </c>
      <c r="AN25" s="60">
        <f ca="1">AVERAGE(OFFSET($AM$3,0,0,'Données projet'!$E$10+1,1))-AVERAGE(OFFSET($H$3,0,0,'Données projet'!$E$10+1,1))</f>
        <v>394.49874384716014</v>
      </c>
      <c r="AO25" s="60">
        <f t="shared" si="36"/>
        <v>423.72519584013378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7.5641025641025639</v>
      </c>
      <c r="BD25" s="13">
        <f>IF('Données projet'!$A$88&gt;35,BD24+BC25-BL24,IF(A25&lt;'Données projet'!$A$88,$BA$205^A25,IF(A25='Données projet'!$A$88,'Données projet'!$B$88,BD24+BC25-BL24)))</f>
        <v>99.743589743589737</v>
      </c>
      <c r="BE25" s="14">
        <f>BD25*VLOOKUP('Données projet'!$B$11,Paramètres!$A$1:$I$89,3,0)*VLOOKUP('Données projet'!$B$11,Paramètres!$A$1:$I$89,5,0)</f>
        <v>94.915999999999997</v>
      </c>
      <c r="BF25" s="14">
        <f t="shared" si="37"/>
        <v>25.747151184602235</v>
      </c>
      <c r="BG25" s="22">
        <f t="shared" si="7"/>
        <v>210.1549883131822</v>
      </c>
      <c r="BH25" s="60">
        <f t="shared" si="8"/>
        <v>431.3359022166506</v>
      </c>
      <c r="BI25" s="60">
        <f ca="1">AVERAGE(OFFSET($BH$3,0,0,'Données projet'!$E$11+1,1))-AVERAGE(OFFSET($H$3,0,0,'Données projet'!$E$11+1,1))</f>
        <v>441.15969139782891</v>
      </c>
      <c r="BJ25" s="60">
        <f t="shared" si="38"/>
        <v>315.06466790224783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10.6</v>
      </c>
      <c r="BY25" s="13">
        <f>IF('Données projet'!$A$114&gt;35,BY24+BX25-CG24,IF(A25&lt;'Données projet'!$A$114,$BV$205^A25,IF(A25='Données projet'!$A$114,'Données projet'!$B$114,BY24+BX25-CG24)))</f>
        <v>109.19999999999997</v>
      </c>
      <c r="BZ25" s="14">
        <f>BY25*VLOOKUP('Données projet'!$B$12,Paramètres!$A$1:$I$89,3,0)*VLOOKUP('Données projet'!$B$12,Paramètres!$A$1:$I$89,5,0)</f>
        <v>85.175999999999988</v>
      </c>
      <c r="CA25" s="14">
        <f t="shared" si="39"/>
        <v>23.398088487656434</v>
      </c>
      <c r="CB25" s="22">
        <f t="shared" si="10"/>
        <v>189.09987078266826</v>
      </c>
      <c r="CC25" s="60">
        <f t="shared" si="11"/>
        <v>410.28078468613666</v>
      </c>
      <c r="CD25" s="60">
        <f ca="1">AVERAGE(OFFSET($CC$3,0,0,'Données projet'!$E$12+1,1))-AVERAGE(OFFSET($H$3,0,0,'Données projet'!$E$12+1,1))</f>
        <v>312.59632808777332</v>
      </c>
      <c r="CE25" s="60">
        <f t="shared" si="40"/>
        <v>302.59481222418219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7.2</v>
      </c>
      <c r="CT25" s="13">
        <f>IF('Données projet'!$A$140&gt;35,CT24+CS25-DB24,IF(A25&lt;'Données projet'!$A$140,$CQ$205^A25,IF(A25='Données projet'!$A$140,'Données projet'!$B$140,CT24+CS25-DB24)))</f>
        <v>87.4</v>
      </c>
      <c r="CU25" s="18">
        <f>CT25*VLOOKUP('Données projet'!$B$13,Paramètres!$A$1:$I$89,3,0)*VLOOKUP('Données projet'!$B$13,Paramètres!$A$1:$I$89,5,0)</f>
        <v>84.533280000000005</v>
      </c>
      <c r="CV25" s="14">
        <f t="shared" si="41"/>
        <v>23.242014012893971</v>
      </c>
      <c r="CW25" s="22">
        <f t="shared" si="13"/>
        <v>187.70863707245701</v>
      </c>
      <c r="CX25" s="60">
        <f t="shared" si="14"/>
        <v>408.88955097592543</v>
      </c>
      <c r="CY25" s="60">
        <f ca="1">AVERAGE(OFFSET($CX$3,0,0,'Données projet'!$E$13+1,1))-AVERAGE(OFFSET($H$3,0,0,'Données projet'!$E$13+1,1))</f>
        <v>603.52431522262032</v>
      </c>
      <c r="CZ25" s="60">
        <f t="shared" si="42"/>
        <v>313.56299786481338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7.2</v>
      </c>
      <c r="DO25" s="13">
        <f>IF('Données projet'!$A$166&gt;35,DO24+DN25-DW24,IF(A25&lt;'Données projet'!$A$166,$DL$205^A25,IF(A25='Données projet'!$A$166,'Données projet'!$B$166,DO24+DN25-DW24)))</f>
        <v>87.4</v>
      </c>
      <c r="DP25" s="18">
        <f>DO25*VLOOKUP('Données projet'!$B$14,Paramètres!$A$1:$I$89,3,0)*VLOOKUP('Données projet'!$B$14,Paramètres!$A$1:$I$89,5,0)</f>
        <v>94.077359999999999</v>
      </c>
      <c r="DQ25" s="14">
        <f t="shared" si="43"/>
        <v>25.546035915881891</v>
      </c>
      <c r="DR25" s="22">
        <f t="shared" si="16"/>
        <v>208.34408122016092</v>
      </c>
      <c r="DS25" s="60">
        <f t="shared" si="17"/>
        <v>429.52499512362931</v>
      </c>
      <c r="DT25" s="60">
        <f ca="1">AVERAGE(OFFSET($DS$3,0,0,'Données projet'!$E$14+1,1))-AVERAGE(OFFSET($H$3,0,0,'Données projet'!$E$14+1,1))</f>
        <v>661.93515988633499</v>
      </c>
      <c r="DU25" s="60">
        <f t="shared" si="44"/>
        <v>341.9250949809848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9.7435897435897427</v>
      </c>
      <c r="EJ25" s="13">
        <f>IF('Données projet'!$A$192&gt;35,EJ24+EI25-ER24,IF(A25&lt;'Données projet'!$A$192,$EG$205^A25,IF(A25='Données projet'!$A$192,'Données projet'!$B$192,EJ24+EI25-ER24)))</f>
        <v>108.58974358974359</v>
      </c>
      <c r="EK25" s="18">
        <f>EJ25*VLOOKUP('Données projet'!$B$15,Paramètres!$A$1:$I$89,3,0)*VLOOKUP('Données projet'!$B$15,Paramètres!$A$1:$I$89,5,0)</f>
        <v>72.841999999999999</v>
      </c>
      <c r="EL25" s="14">
        <f t="shared" si="45"/>
        <v>20.377583329250708</v>
      </c>
      <c r="EM25" s="22">
        <f t="shared" si="19"/>
        <v>162.35744096511164</v>
      </c>
      <c r="EN25" s="60">
        <f t="shared" si="20"/>
        <v>383.53835486858003</v>
      </c>
      <c r="EO25" s="60">
        <f ca="1">AVERAGE(OFFSET($EN$3,0,0,'Données projet'!$E$15+1,1))-AVERAGE(OFFSET($H$3,0,0,'Données projet'!$E$15+1,1))</f>
        <v>396.0878652679051</v>
      </c>
      <c r="EP25" s="60">
        <f t="shared" si="46"/>
        <v>327.26339199235406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14.739999999999998</v>
      </c>
      <c r="FE25" s="13">
        <f>IF('Données projet'!$A$218&gt;35,FE24+FD25-FM24,IF(A25&lt;'Données projet'!$A$218,$FB$205^A25,IF(A25='Données projet'!$A$218,'Données projet'!$B$218,FE24+FD25-FM24)))</f>
        <v>96.280000000000015</v>
      </c>
      <c r="FF25" s="18">
        <f>FE25*VLOOKUP('Données projet'!$B$16,Paramètres!$A$1:$I$89,3,0)*VLOOKUP('Données projet'!$B$16,Paramètres!$A$1:$I$89,5,0)</f>
        <v>70.592496000000011</v>
      </c>
      <c r="FG25" s="14">
        <f t="shared" si="47"/>
        <v>19.82052295498838</v>
      </c>
      <c r="FH25" s="22">
        <f t="shared" si="22"/>
        <v>157.46934134660478</v>
      </c>
      <c r="FI25" s="60">
        <f t="shared" si="23"/>
        <v>378.6502552500732</v>
      </c>
      <c r="FJ25" s="60">
        <f ca="1">AVERAGE(OFFSET($FI$3,0,0,'Données projet'!$E$16+1,1))-AVERAGE(OFFSET($H$3,0,0,'Données projet'!$E$16+1,1))</f>
        <v>368.35775920359396</v>
      </c>
      <c r="FK25" s="60">
        <f t="shared" si="48"/>
        <v>395.5218438652638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11</v>
      </c>
      <c r="FZ25" s="13">
        <f>IF('Données projet'!$A$244&gt;35,FZ24+FY25-GH24,IF(A25&lt;'Données projet'!$A$244,$FW$205^A25,IF(A25='Données projet'!$A$244,'Données projet'!$B$244,FZ24+FY25-GH24)))</f>
        <v>78</v>
      </c>
      <c r="GA25" s="18">
        <f>FZ25*VLOOKUP('Données projet'!$B$17,Paramètres!$A$1:$I$89,3,0)*VLOOKUP('Données projet'!$B$17,Paramètres!$A$1:$I$89,5,0)</f>
        <v>66.924000000000007</v>
      </c>
      <c r="GB25" s="14">
        <f t="shared" si="49"/>
        <v>18.90759204786767</v>
      </c>
      <c r="GC25" s="22">
        <f t="shared" si="25"/>
        <v>149.49002281670286</v>
      </c>
      <c r="GD25" s="60">
        <f t="shared" si="26"/>
        <v>370.67093672017126</v>
      </c>
      <c r="GE25" s="60">
        <f ca="1">AVERAGE(OFFSET($GD$3,0,0,'Données projet'!$E$17+1,1))-AVERAGE(OFFSET($H$3,0,0,'Données projet'!$E$17+1,1))</f>
        <v>701.44583662096022</v>
      </c>
      <c r="GF25" s="60">
        <f t="shared" si="50"/>
        <v>331.25104323342907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8.6</v>
      </c>
      <c r="GU25" s="13">
        <f>IF('Données projet'!$A$270&gt;35,GU24+GT25-HC24,IF(A25&lt;'Données projet'!$A$270,$GR$205^A25,IF(A25='Données projet'!$A$270,'Données projet'!$B$270,GU24+GT25-HC24)))</f>
        <v>76.199999999999989</v>
      </c>
      <c r="GV25" s="18">
        <f>GU25*VLOOKUP('Données projet'!$B$18,Paramètres!$A$1:$I$89,3,0)*VLOOKUP('Données projet'!$B$18,Paramètres!$A$1:$I$89,5,0)</f>
        <v>61.813439999999993</v>
      </c>
      <c r="GW25" s="14">
        <f t="shared" si="51"/>
        <v>17.625965961121132</v>
      </c>
      <c r="GX25" s="22">
        <f t="shared" si="28"/>
        <v>138.35696538228595</v>
      </c>
      <c r="GY25" s="60">
        <f t="shared" si="29"/>
        <v>359.53787928575434</v>
      </c>
      <c r="GZ25" s="60">
        <f ca="1">AVERAGE(OFFSET($GY$3,0,0,'Données projet'!$E$18+1,1))-AVERAGE(OFFSET($H$3,0,0,'Données projet'!$E$18+1,1))</f>
        <v>272.69564942740931</v>
      </c>
      <c r="HA25" s="60">
        <f t="shared" si="52"/>
        <v>316.57989180609252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25">
      <c r="A26" s="11">
        <f t="shared" si="31"/>
        <v>23</v>
      </c>
      <c r="B26" s="75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8">
        <f t="shared" si="1"/>
        <v>183.33333333333334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projet'!$B$9,Paramètres!$A$1:$I$89,3,0)*VLOOKUP('Données projet'!$B$9,Paramètres!$A$1:$I$89,5,0)</f>
        <v>85.594080000000005</v>
      </c>
      <c r="P26" s="14">
        <f t="shared" si="33"/>
        <v>23.499539031833248</v>
      </c>
      <c r="Q26" s="22">
        <f t="shared" si="2"/>
        <v>190.00471981377623</v>
      </c>
      <c r="R26" s="60">
        <f t="shared" si="0"/>
        <v>413.48991652332273</v>
      </c>
      <c r="S26" s="60">
        <f ca="1">AVERAGE(OFFSET($R$3,0,0,'Données projet'!$E$9+1,1))-AVERAGE(OFFSET($H$3,0,0,'Données projet'!$E$9+1,1))</f>
        <v>570.08763950759544</v>
      </c>
      <c r="T26" s="60">
        <f t="shared" si="34"/>
        <v>297.32483725004136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14.739999999999998</v>
      </c>
      <c r="AI26" s="14">
        <f>IF('Données projet'!$A$62&gt;35,AI25+AH26-AQ25,IF(A26&lt;'Données projet'!$A$62,$AF$205^A26,IF(A26='Données projet'!$A$62,'Données projet'!$B$62,AI25+AH26-AQ25)))</f>
        <v>111.02000000000001</v>
      </c>
      <c r="AJ26" s="14">
        <f>AI26*VLOOKUP('Données projet'!$B$10,Paramètres!$A$1:$I$89,3,0)*VLOOKUP('Données projet'!$B$10,Paramètres!$A$1:$I$89,5,0)</f>
        <v>88.327512000000013</v>
      </c>
      <c r="AK26" s="14">
        <f t="shared" si="35"/>
        <v>24.161421859810599</v>
      </c>
      <c r="AL26" s="22">
        <f t="shared" si="4"/>
        <v>195.91822647250351</v>
      </c>
      <c r="AM26" s="60">
        <f t="shared" si="5"/>
        <v>419.40342318205001</v>
      </c>
      <c r="AN26" s="60">
        <f ca="1">AVERAGE(OFFSET($AM$3,0,0,'Données projet'!$E$10+1,1))-AVERAGE(OFFSET($H$3,0,0,'Données projet'!$E$10+1,1))</f>
        <v>394.49874384716014</v>
      </c>
      <c r="AO26" s="60">
        <f t="shared" si="36"/>
        <v>423.72519584013378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7.5641025641025639</v>
      </c>
      <c r="BD26" s="13">
        <f>IF('Données projet'!$A$88&gt;35,BD25+BC26-BL25,IF(A26&lt;'Données projet'!$A$88,$BA$205^A26,IF(A26='Données projet'!$A$88,'Données projet'!$B$88,BD25+BC26-BL25)))</f>
        <v>107.30769230769231</v>
      </c>
      <c r="BE26" s="14">
        <f>BD26*VLOOKUP('Données projet'!$B$11,Paramètres!$A$1:$I$89,3,0)*VLOOKUP('Données projet'!$B$11,Paramètres!$A$1:$I$89,5,0)</f>
        <v>102.114</v>
      </c>
      <c r="BF26" s="14">
        <f t="shared" si="37"/>
        <v>27.465014076024996</v>
      </c>
      <c r="BG26" s="22">
        <f t="shared" si="7"/>
        <v>225.68344951574352</v>
      </c>
      <c r="BH26" s="60">
        <f t="shared" si="8"/>
        <v>449.16864622528999</v>
      </c>
      <c r="BI26" s="60">
        <f ca="1">AVERAGE(OFFSET($BH$3,0,0,'Données projet'!$E$11+1,1))-AVERAGE(OFFSET($H$3,0,0,'Données projet'!$E$11+1,1))</f>
        <v>441.15969139782891</v>
      </c>
      <c r="BJ26" s="60">
        <f t="shared" si="38"/>
        <v>315.06466790224783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10.6</v>
      </c>
      <c r="BY26" s="13">
        <f>IF('Données projet'!$A$114&gt;35,BY25+BX26-CG25,IF(A26&lt;'Données projet'!$A$114,$BV$205^A26,IF(A26='Données projet'!$A$114,'Données projet'!$B$114,BY25+BX26-CG25)))</f>
        <v>119.79999999999997</v>
      </c>
      <c r="BZ26" s="14">
        <f>BY26*VLOOKUP('Données projet'!$B$12,Paramètres!$A$1:$I$89,3,0)*VLOOKUP('Données projet'!$B$12,Paramètres!$A$1:$I$89,5,0)</f>
        <v>93.443999999999974</v>
      </c>
      <c r="CA26" s="14">
        <f t="shared" si="39"/>
        <v>25.394010816431489</v>
      </c>
      <c r="CB26" s="22">
        <f t="shared" si="10"/>
        <v>206.97620217195148</v>
      </c>
      <c r="CC26" s="60">
        <f t="shared" si="11"/>
        <v>430.46139888149798</v>
      </c>
      <c r="CD26" s="60">
        <f ca="1">AVERAGE(OFFSET($CC$3,0,0,'Données projet'!$E$12+1,1))-AVERAGE(OFFSET($H$3,0,0,'Données projet'!$E$12+1,1))</f>
        <v>312.59632808777332</v>
      </c>
      <c r="CE26" s="60">
        <f t="shared" si="40"/>
        <v>302.59481222418219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7.2</v>
      </c>
      <c r="CT26" s="13">
        <f>IF('Données projet'!$A$140&gt;35,CT25+CS26-DB25,IF(A26&lt;'Données projet'!$A$140,$CQ$205^A26,IF(A26='Données projet'!$A$140,'Données projet'!$B$140,CT25+CS26-DB25)))</f>
        <v>94.600000000000009</v>
      </c>
      <c r="CU26" s="18">
        <f>CT26*VLOOKUP('Données projet'!$B$13,Paramètres!$A$1:$I$89,3,0)*VLOOKUP('Données projet'!$B$13,Paramètres!$A$1:$I$89,5,0)</f>
        <v>91.49712000000001</v>
      </c>
      <c r="CV26" s="14">
        <f t="shared" si="41"/>
        <v>24.925946867642839</v>
      </c>
      <c r="CW26" s="22">
        <f t="shared" si="13"/>
        <v>202.77017479447795</v>
      </c>
      <c r="CX26" s="60">
        <f t="shared" si="14"/>
        <v>426.25537150402442</v>
      </c>
      <c r="CY26" s="60">
        <f ca="1">AVERAGE(OFFSET($CX$3,0,0,'Données projet'!$E$13+1,1))-AVERAGE(OFFSET($H$3,0,0,'Données projet'!$E$13+1,1))</f>
        <v>603.52431522262032</v>
      </c>
      <c r="CZ26" s="60">
        <f t="shared" si="42"/>
        <v>313.56299786481338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7.2</v>
      </c>
      <c r="DO26" s="13">
        <f>IF('Données projet'!$A$166&gt;35,DO25+DN26-DW25,IF(A26&lt;'Données projet'!$A$166,$DL$205^A26,IF(A26='Données projet'!$A$166,'Données projet'!$B$166,DO25+DN26-DW25)))</f>
        <v>94.600000000000009</v>
      </c>
      <c r="DP26" s="18">
        <f>DO26*VLOOKUP('Données projet'!$B$14,Paramètres!$A$1:$I$89,3,0)*VLOOKUP('Données projet'!$B$14,Paramètres!$A$1:$I$89,5,0)</f>
        <v>101.82744000000001</v>
      </c>
      <c r="DQ26" s="14">
        <f t="shared" si="43"/>
        <v>27.396900008962785</v>
      </c>
      <c r="DR26" s="22">
        <f t="shared" si="16"/>
        <v>225.06572551561021</v>
      </c>
      <c r="DS26" s="60">
        <f t="shared" si="17"/>
        <v>448.55092222515668</v>
      </c>
      <c r="DT26" s="60">
        <f ca="1">AVERAGE(OFFSET($DS$3,0,0,'Données projet'!$E$14+1,1))-AVERAGE(OFFSET($H$3,0,0,'Données projet'!$E$14+1,1))</f>
        <v>661.93515988633499</v>
      </c>
      <c r="DU26" s="60">
        <f t="shared" si="44"/>
        <v>341.9250949809848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9.7435897435897427</v>
      </c>
      <c r="EJ26" s="13">
        <f>IF('Données projet'!$A$192&gt;35,EJ25+EI26-ER25,IF(A26&lt;'Données projet'!$A$192,$EG$205^A26,IF(A26='Données projet'!$A$192,'Données projet'!$B$192,EJ25+EI26-ER25)))</f>
        <v>118.33333333333333</v>
      </c>
      <c r="EK26" s="18">
        <f>EJ26*VLOOKUP('Données projet'!$B$15,Paramètres!$A$1:$I$89,3,0)*VLOOKUP('Données projet'!$B$15,Paramètres!$A$1:$I$89,5,0)</f>
        <v>79.378</v>
      </c>
      <c r="EL26" s="14">
        <f t="shared" si="45"/>
        <v>21.985032877161519</v>
      </c>
      <c r="EM26" s="22">
        <f t="shared" si="19"/>
        <v>176.54061559438961</v>
      </c>
      <c r="EN26" s="60">
        <f t="shared" si="20"/>
        <v>400.02581230393611</v>
      </c>
      <c r="EO26" s="60">
        <f ca="1">AVERAGE(OFFSET($EN$3,0,0,'Données projet'!$E$15+1,1))-AVERAGE(OFFSET($H$3,0,0,'Données projet'!$E$15+1,1))</f>
        <v>396.0878652679051</v>
      </c>
      <c r="EP26" s="60">
        <f t="shared" si="46"/>
        <v>327.26339199235406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14.739999999999998</v>
      </c>
      <c r="FE26" s="13">
        <f>IF('Données projet'!$A$218&gt;35,FE25+FD26-FM25,IF(A26&lt;'Données projet'!$A$218,$FB$205^A26,IF(A26='Données projet'!$A$218,'Données projet'!$B$218,FE25+FD26-FM25)))</f>
        <v>111.02000000000001</v>
      </c>
      <c r="FF26" s="18">
        <f>FE26*VLOOKUP('Données projet'!$B$16,Paramètres!$A$1:$I$89,3,0)*VLOOKUP('Données projet'!$B$16,Paramètres!$A$1:$I$89,5,0)</f>
        <v>81.399864000000008</v>
      </c>
      <c r="FG26" s="14">
        <f t="shared" si="47"/>
        <v>22.479111830915393</v>
      </c>
      <c r="FH26" s="22">
        <f t="shared" si="22"/>
        <v>180.92254957217764</v>
      </c>
      <c r="FI26" s="60">
        <f t="shared" si="23"/>
        <v>404.40774628172414</v>
      </c>
      <c r="FJ26" s="60">
        <f ca="1">AVERAGE(OFFSET($FI$3,0,0,'Données projet'!$E$16+1,1))-AVERAGE(OFFSET($H$3,0,0,'Données projet'!$E$16+1,1))</f>
        <v>368.35775920359396</v>
      </c>
      <c r="FK26" s="60">
        <f t="shared" si="48"/>
        <v>395.5218438652638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11</v>
      </c>
      <c r="FZ26" s="13">
        <f>IF('Données projet'!$A$244&gt;35,FZ25+FY26-GH25,IF(A26&lt;'Données projet'!$A$244,$FW$205^A26,IF(A26='Données projet'!$A$244,'Données projet'!$B$244,FZ25+FY26-GH25)))</f>
        <v>89</v>
      </c>
      <c r="GA26" s="18">
        <f>FZ26*VLOOKUP('Données projet'!$B$17,Paramètres!$A$1:$I$89,3,0)*VLOOKUP('Données projet'!$B$17,Paramètres!$A$1:$I$89,5,0)</f>
        <v>76.362000000000009</v>
      </c>
      <c r="GB26" s="14">
        <f t="shared" si="49"/>
        <v>21.245279172340783</v>
      </c>
      <c r="GC26" s="22">
        <f t="shared" si="25"/>
        <v>169.99934455849356</v>
      </c>
      <c r="GD26" s="60">
        <f t="shared" si="26"/>
        <v>393.48454126804006</v>
      </c>
      <c r="GE26" s="60">
        <f ca="1">AVERAGE(OFFSET($GD$3,0,0,'Données projet'!$E$17+1,1))-AVERAGE(OFFSET($H$3,0,0,'Données projet'!$E$17+1,1))</f>
        <v>701.44583662096022</v>
      </c>
      <c r="GF26" s="60">
        <f t="shared" si="50"/>
        <v>331.25104323342907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8.6</v>
      </c>
      <c r="GU26" s="13">
        <f>IF('Données projet'!$A$270&gt;35,GU25+GT26-HC25,IF(A26&lt;'Données projet'!$A$270,$GR$205^A26,IF(A26='Données projet'!$A$270,'Données projet'!$B$270,GU25+GT26-HC25)))</f>
        <v>84.799999999999983</v>
      </c>
      <c r="GV26" s="18">
        <f>GU26*VLOOKUP('Données projet'!$B$18,Paramètres!$A$1:$I$89,3,0)*VLOOKUP('Données projet'!$B$18,Paramètres!$A$1:$I$89,5,0)</f>
        <v>68.789759999999987</v>
      </c>
      <c r="GW26" s="14">
        <f t="shared" si="51"/>
        <v>19.372607944380292</v>
      </c>
      <c r="GX26" s="22">
        <f t="shared" si="28"/>
        <v>153.54945750312899</v>
      </c>
      <c r="GY26" s="60">
        <f t="shared" si="29"/>
        <v>377.03465421267549</v>
      </c>
      <c r="GZ26" s="60">
        <f ca="1">AVERAGE(OFFSET($GY$3,0,0,'Données projet'!$E$18+1,1))-AVERAGE(OFFSET($H$3,0,0,'Données projet'!$E$18+1,1))</f>
        <v>272.69564942740931</v>
      </c>
      <c r="HA26" s="60">
        <f t="shared" si="52"/>
        <v>316.57989180609252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25">
      <c r="A27" s="11">
        <f t="shared" si="31"/>
        <v>24</v>
      </c>
      <c r="B27" s="75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8">
        <f t="shared" si="1"/>
        <v>183.33333333333334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projet'!$B$9,Paramètres!$A$1:$I$89,3,0)*VLOOKUP('Données projet'!$B$9,Paramètres!$A$1:$I$89,5,0)</f>
        <v>92.108640000000008</v>
      </c>
      <c r="P27" s="14">
        <f t="shared" si="33"/>
        <v>25.073090701604293</v>
      </c>
      <c r="Q27" s="22">
        <f t="shared" si="2"/>
        <v>204.09151430529414</v>
      </c>
      <c r="R27" s="60">
        <f t="shared" si="0"/>
        <v>429.86222248891397</v>
      </c>
      <c r="S27" s="60">
        <f ca="1">AVERAGE(OFFSET($R$3,0,0,'Données projet'!$E$9+1,1))-AVERAGE(OFFSET($H$3,0,0,'Données projet'!$E$9+1,1))</f>
        <v>570.08763950759544</v>
      </c>
      <c r="T27" s="60">
        <f t="shared" si="34"/>
        <v>297.32483725004136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14.739999999999998</v>
      </c>
      <c r="AI27" s="14">
        <f>IF('Données projet'!$A$62&gt;35,AI26+AH27-AQ26,IF(A27&lt;'Données projet'!$A$62,$AF$205^A27,IF(A27='Données projet'!$A$62,'Données projet'!$B$62,AI26+AH27-AQ26)))</f>
        <v>125.76</v>
      </c>
      <c r="AJ27" s="14">
        <f>AI27*VLOOKUP('Données projet'!$B$10,Paramètres!$A$1:$I$89,3,0)*VLOOKUP('Données projet'!$B$10,Paramètres!$A$1:$I$89,5,0)</f>
        <v>100.05465600000001</v>
      </c>
      <c r="AK27" s="14">
        <f t="shared" si="35"/>
        <v>26.97501817255089</v>
      </c>
      <c r="AL27" s="22">
        <f t="shared" si="4"/>
        <v>221.24334918385946</v>
      </c>
      <c r="AM27" s="60">
        <f t="shared" si="5"/>
        <v>447.01405736747927</v>
      </c>
      <c r="AN27" s="60">
        <f ca="1">AVERAGE(OFFSET($AM$3,0,0,'Données projet'!$E$10+1,1))-AVERAGE(OFFSET($H$3,0,0,'Données projet'!$E$10+1,1))</f>
        <v>394.49874384716014</v>
      </c>
      <c r="AO27" s="60">
        <f t="shared" si="36"/>
        <v>423.72519584013378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7.5641025641025639</v>
      </c>
      <c r="BD27" s="13">
        <f>IF('Données projet'!$A$88&gt;35,BD26+BC27-BL26,IF(A27&lt;'Données projet'!$A$88,$BA$205^A27,IF(A27='Données projet'!$A$88,'Données projet'!$B$88,BD26+BC27-BL26)))</f>
        <v>114.87179487179488</v>
      </c>
      <c r="BE27" s="14">
        <f>BD27*VLOOKUP('Données projet'!$B$11,Paramètres!$A$1:$I$89,3,0)*VLOOKUP('Données projet'!$B$11,Paramètres!$A$1:$I$89,5,0)</f>
        <v>109.31200000000001</v>
      </c>
      <c r="BF27" s="14">
        <f t="shared" si="37"/>
        <v>29.168827262472544</v>
      </c>
      <c r="BG27" s="22">
        <f t="shared" si="7"/>
        <v>241.18744081547302</v>
      </c>
      <c r="BH27" s="60">
        <f t="shared" si="8"/>
        <v>466.95814899909283</v>
      </c>
      <c r="BI27" s="60">
        <f ca="1">AVERAGE(OFFSET($BH$3,0,0,'Données projet'!$E$11+1,1))-AVERAGE(OFFSET($H$3,0,0,'Données projet'!$E$11+1,1))</f>
        <v>441.15969139782891</v>
      </c>
      <c r="BJ27" s="60">
        <f t="shared" si="38"/>
        <v>315.06466790224783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10.6</v>
      </c>
      <c r="BY27" s="13">
        <f>IF('Données projet'!$A$114&gt;35,BY26+BX27-CG26,IF(A27&lt;'Données projet'!$A$114,$BV$205^A27,IF(A27='Données projet'!$A$114,'Données projet'!$B$114,BY26+BX27-CG26)))</f>
        <v>130.39999999999998</v>
      </c>
      <c r="BZ27" s="14">
        <f>BY27*VLOOKUP('Données projet'!$B$12,Paramètres!$A$1:$I$89,3,0)*VLOOKUP('Données projet'!$B$12,Paramètres!$A$1:$I$89,5,0)</f>
        <v>101.71199999999999</v>
      </c>
      <c r="CA27" s="14">
        <f t="shared" si="39"/>
        <v>27.369454120725656</v>
      </c>
      <c r="CB27" s="22">
        <f t="shared" si="10"/>
        <v>224.81686592693052</v>
      </c>
      <c r="CC27" s="60">
        <f t="shared" si="11"/>
        <v>450.58757411055035</v>
      </c>
      <c r="CD27" s="60">
        <f ca="1">AVERAGE(OFFSET($CC$3,0,0,'Données projet'!$E$12+1,1))-AVERAGE(OFFSET($H$3,0,0,'Données projet'!$E$12+1,1))</f>
        <v>312.59632808777332</v>
      </c>
      <c r="CE27" s="60">
        <f t="shared" si="40"/>
        <v>302.59481222418219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7.2</v>
      </c>
      <c r="CT27" s="13">
        <f>IF('Données projet'!$A$140&gt;35,CT26+CS27-DB26,IF(A27&lt;'Données projet'!$A$140,$CQ$205^A27,IF(A27='Données projet'!$A$140,'Données projet'!$B$140,CT26+CS27-DB26)))</f>
        <v>101.80000000000001</v>
      </c>
      <c r="CU27" s="18">
        <f>CT27*VLOOKUP('Données projet'!$B$13,Paramètres!$A$1:$I$89,3,0)*VLOOKUP('Données projet'!$B$13,Paramètres!$A$1:$I$89,5,0)</f>
        <v>98.460960000000014</v>
      </c>
      <c r="CV27" s="14">
        <f t="shared" si="41"/>
        <v>26.595012174033403</v>
      </c>
      <c r="CW27" s="22">
        <f t="shared" si="13"/>
        <v>217.80581820310817</v>
      </c>
      <c r="CX27" s="60">
        <f t="shared" si="14"/>
        <v>443.57652638672801</v>
      </c>
      <c r="CY27" s="60">
        <f ca="1">AVERAGE(OFFSET($CX$3,0,0,'Données projet'!$E$13+1,1))-AVERAGE(OFFSET($H$3,0,0,'Données projet'!$E$13+1,1))</f>
        <v>603.52431522262032</v>
      </c>
      <c r="CZ27" s="60">
        <f t="shared" si="42"/>
        <v>313.56299786481338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7.2</v>
      </c>
      <c r="DO27" s="13">
        <f>IF('Données projet'!$A$166&gt;35,DO26+DN27-DW26,IF(A27&lt;'Données projet'!$A$166,$DL$205^A27,IF(A27='Données projet'!$A$166,'Données projet'!$B$166,DO26+DN27-DW26)))</f>
        <v>101.80000000000001</v>
      </c>
      <c r="DP27" s="18">
        <f>DO27*VLOOKUP('Données projet'!$B$14,Paramètres!$A$1:$I$89,3,0)*VLOOKUP('Données projet'!$B$14,Paramètres!$A$1:$I$89,5,0)</f>
        <v>109.57752000000001</v>
      </c>
      <c r="DQ27" s="14">
        <f t="shared" si="43"/>
        <v>29.23142270735509</v>
      </c>
      <c r="DR27" s="22">
        <f t="shared" si="16"/>
        <v>241.75890854864349</v>
      </c>
      <c r="DS27" s="60">
        <f t="shared" si="17"/>
        <v>467.52961673226332</v>
      </c>
      <c r="DT27" s="60">
        <f ca="1">AVERAGE(OFFSET($DS$3,0,0,'Données projet'!$E$14+1,1))-AVERAGE(OFFSET($H$3,0,0,'Données projet'!$E$14+1,1))</f>
        <v>661.93515988633499</v>
      </c>
      <c r="DU27" s="60">
        <f t="shared" si="44"/>
        <v>341.9250949809848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9.7435897435897427</v>
      </c>
      <c r="EJ27" s="13">
        <f>IF('Données projet'!$A$192&gt;35,EJ26+EI27-ER26,IF(A27&lt;'Données projet'!$A$192,$EG$205^A27,IF(A27='Données projet'!$A$192,'Données projet'!$B$192,EJ26+EI27-ER26)))</f>
        <v>128.07692307692307</v>
      </c>
      <c r="EK27" s="18">
        <f>EJ27*VLOOKUP('Données projet'!$B$15,Paramètres!$A$1:$I$89,3,0)*VLOOKUP('Données projet'!$B$15,Paramètres!$A$1:$I$89,5,0)</f>
        <v>85.914000000000001</v>
      </c>
      <c r="EL27" s="14">
        <f t="shared" si="45"/>
        <v>23.577131284709758</v>
      </c>
      <c r="EM27" s="22">
        <f t="shared" si="19"/>
        <v>190.69705365420279</v>
      </c>
      <c r="EN27" s="60">
        <f t="shared" si="20"/>
        <v>416.46776183782259</v>
      </c>
      <c r="EO27" s="60">
        <f ca="1">AVERAGE(OFFSET($EN$3,0,0,'Données projet'!$E$15+1,1))-AVERAGE(OFFSET($H$3,0,0,'Données projet'!$E$15+1,1))</f>
        <v>396.0878652679051</v>
      </c>
      <c r="EP27" s="60">
        <f t="shared" si="46"/>
        <v>327.26339199235406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14.739999999999998</v>
      </c>
      <c r="FE27" s="13">
        <f>IF('Données projet'!$A$218&gt;35,FE26+FD27-FM26,IF(A27&lt;'Données projet'!$A$218,$FB$205^A27,IF(A27='Données projet'!$A$218,'Données projet'!$B$218,FE26+FD27-FM26)))</f>
        <v>125.76</v>
      </c>
      <c r="FF27" s="18">
        <f>FE27*VLOOKUP('Données projet'!$B$16,Paramètres!$A$1:$I$89,3,0)*VLOOKUP('Données projet'!$B$16,Paramètres!$A$1:$I$89,5,0)</f>
        <v>92.207232000000005</v>
      </c>
      <c r="FG27" s="14">
        <f t="shared" si="47"/>
        <v>25.096803228719384</v>
      </c>
      <c r="FH27" s="22">
        <f t="shared" si="22"/>
        <v>204.3045280233529</v>
      </c>
      <c r="FI27" s="60">
        <f t="shared" si="23"/>
        <v>430.0752362069727</v>
      </c>
      <c r="FJ27" s="60">
        <f ca="1">AVERAGE(OFFSET($FI$3,0,0,'Données projet'!$E$16+1,1))-AVERAGE(OFFSET($H$3,0,0,'Données projet'!$E$16+1,1))</f>
        <v>368.35775920359396</v>
      </c>
      <c r="FK27" s="60">
        <f t="shared" si="48"/>
        <v>395.5218438652638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11</v>
      </c>
      <c r="FZ27" s="13">
        <f>IF('Données projet'!$A$244&gt;35,FZ26+FY27-GH26,IF(A27&lt;'Données projet'!$A$244,$FW$205^A27,IF(A27='Données projet'!$A$244,'Données projet'!$B$244,FZ26+FY27-GH26)))</f>
        <v>100</v>
      </c>
      <c r="GA27" s="18">
        <f>FZ27*VLOOKUP('Données projet'!$B$17,Paramètres!$A$1:$I$89,3,0)*VLOOKUP('Données projet'!$B$17,Paramètres!$A$1:$I$89,5,0)</f>
        <v>85.800000000000011</v>
      </c>
      <c r="GB27" s="14">
        <f t="shared" si="49"/>
        <v>23.549485995669766</v>
      </c>
      <c r="GC27" s="22">
        <f t="shared" si="25"/>
        <v>190.45035477579154</v>
      </c>
      <c r="GD27" s="60">
        <f t="shared" si="26"/>
        <v>416.22106295941137</v>
      </c>
      <c r="GE27" s="60">
        <f ca="1">AVERAGE(OFFSET($GD$3,0,0,'Données projet'!$E$17+1,1))-AVERAGE(OFFSET($H$3,0,0,'Données projet'!$E$17+1,1))</f>
        <v>701.44583662096022</v>
      </c>
      <c r="GF27" s="60">
        <f t="shared" si="50"/>
        <v>331.25104323342907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8.6</v>
      </c>
      <c r="GU27" s="13">
        <f>IF('Données projet'!$A$270&gt;35,GU26+GT27-HC26,IF(A27&lt;'Données projet'!$A$270,$GR$205^A27,IF(A27='Données projet'!$A$270,'Données projet'!$B$270,GU26+GT27-HC26)))</f>
        <v>93.399999999999977</v>
      </c>
      <c r="GV27" s="18">
        <f>GU27*VLOOKUP('Données projet'!$B$18,Paramètres!$A$1:$I$89,3,0)*VLOOKUP('Données projet'!$B$18,Paramètres!$A$1:$I$89,5,0)</f>
        <v>75.766079999999988</v>
      </c>
      <c r="GW27" s="14">
        <f t="shared" si="51"/>
        <v>21.09871541273251</v>
      </c>
      <c r="GX27" s="22">
        <f t="shared" si="28"/>
        <v>168.70618534384241</v>
      </c>
      <c r="GY27" s="60">
        <f t="shared" si="29"/>
        <v>394.47689352746221</v>
      </c>
      <c r="GZ27" s="60">
        <f ca="1">AVERAGE(OFFSET($GY$3,0,0,'Données projet'!$E$18+1,1))-AVERAGE(OFFSET($H$3,0,0,'Données projet'!$E$18+1,1))</f>
        <v>272.69564942740931</v>
      </c>
      <c r="HA27" s="60">
        <f t="shared" si="52"/>
        <v>316.57989180609252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25">
      <c r="A28" s="11">
        <f t="shared" si="31"/>
        <v>25</v>
      </c>
      <c r="B28" s="75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8">
        <f t="shared" si="1"/>
        <v>183.33333333333334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projet'!$B$9,Paramètres!$A$1:$I$89,3,0)*VLOOKUP('Données projet'!$B$9,Paramètres!$A$1:$I$89,5,0)</f>
        <v>98.623200000000011</v>
      </c>
      <c r="P28" s="14">
        <f t="shared" si="33"/>
        <v>26.633729748944933</v>
      </c>
      <c r="Q28" s="22">
        <f t="shared" si="2"/>
        <v>218.15581931274576</v>
      </c>
      <c r="R28" s="60">
        <f t="shared" si="0"/>
        <v>446.19359327907785</v>
      </c>
      <c r="S28" s="60">
        <f ca="1">AVERAGE(OFFSET($R$3,0,0,'Données projet'!$E$9+1,1))-AVERAGE(OFFSET($H$3,0,0,'Données projet'!$E$9+1,1))</f>
        <v>570.08763950759544</v>
      </c>
      <c r="T28" s="60">
        <f t="shared" si="34"/>
        <v>297.32483725004136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140.5</v>
      </c>
      <c r="AG28" s="13">
        <f>VLOOKUP(A28,'Données projet'!$A$61:$I$81,9,0)</f>
        <v>14.739999999999998</v>
      </c>
      <c r="AH28" s="13">
        <f t="array" ref="AH28">INDEX(AG:AG,MIN(IF(ISNUMBER(AG28:AG224),ROW(AG28:AG224),"")))</f>
        <v>14.739999999999998</v>
      </c>
      <c r="AI28" s="14">
        <f>IF('Données projet'!$A$62&gt;35,AI27+AH28-AQ27,IF(A28&lt;'Données projet'!$A$62,$AF$205^A28,IF(A28='Données projet'!$A$62,'Données projet'!$B$62,AI27+AH28-AQ27)))</f>
        <v>140.5</v>
      </c>
      <c r="AJ28" s="14">
        <f>AI28*VLOOKUP('Données projet'!$B$10,Paramètres!$A$1:$I$89,3,0)*VLOOKUP('Données projet'!$B$10,Paramètres!$A$1:$I$89,5,0)</f>
        <v>111.7818</v>
      </c>
      <c r="AK28" s="14">
        <f t="shared" si="35"/>
        <v>29.750397150027219</v>
      </c>
      <c r="AL28" s="22">
        <f t="shared" si="4"/>
        <v>246.5019100362974</v>
      </c>
      <c r="AM28" s="60">
        <f t="shared" si="5"/>
        <v>474.53968400262954</v>
      </c>
      <c r="AN28" s="60">
        <f ca="1">AVERAGE(OFFSET($AM$3,0,0,'Données projet'!$E$10+1,1))-AVERAGE(OFFSET($H$3,0,0,'Données projet'!$E$10+1,1))</f>
        <v>394.49874384716014</v>
      </c>
      <c r="AO28" s="60">
        <f t="shared" si="36"/>
        <v>423.72519584013378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122.43589743589743</v>
      </c>
      <c r="BB28" s="13">
        <f>VLOOKUP(A28,'Données projet'!$A$87:$I$107,9,0)</f>
        <v>7.5641025641025639</v>
      </c>
      <c r="BC28" s="13">
        <f t="array" ref="BC28">INDEX(BB:BB,MIN(IF(ISNUMBER(BB28:BB224),ROW(BB28:BB224),"")))</f>
        <v>7.5641025641025639</v>
      </c>
      <c r="BD28" s="13">
        <f>IF('Données projet'!$A$88&gt;35,BD27+BC28-BL27,IF(A28&lt;'Données projet'!$A$88,$BA$205^A28,IF(A28='Données projet'!$A$88,'Données projet'!$B$88,BD27+BC28-BL27)))</f>
        <v>122.43589743589745</v>
      </c>
      <c r="BE28" s="14">
        <f>BD28*VLOOKUP('Données projet'!$B$11,Paramètres!$A$1:$I$89,3,0)*VLOOKUP('Données projet'!$B$11,Paramètres!$A$1:$I$89,5,0)</f>
        <v>116.51000000000002</v>
      </c>
      <c r="BF28" s="14">
        <f t="shared" si="37"/>
        <v>30.859621169021747</v>
      </c>
      <c r="BG28" s="22">
        <f t="shared" si="7"/>
        <v>256.66875686937959</v>
      </c>
      <c r="BH28" s="60">
        <f t="shared" si="8"/>
        <v>484.7065308357117</v>
      </c>
      <c r="BI28" s="60">
        <f ca="1">AVERAGE(OFFSET($BH$3,0,0,'Données projet'!$E$11+1,1))-AVERAGE(OFFSET($H$3,0,0,'Données projet'!$E$11+1,1))</f>
        <v>441.15969139782891</v>
      </c>
      <c r="BJ28" s="60">
        <f t="shared" si="38"/>
        <v>315.06466790224783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35.897435897435898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141</v>
      </c>
      <c r="BW28" s="13">
        <f>VLOOKUP(A28,'Données projet'!$A$113:$I$133,9,0)</f>
        <v>10.6</v>
      </c>
      <c r="BX28" s="13">
        <f t="array" ref="BX28">INDEX(BW:BW,MIN(IF(ISNUMBER(BW28:BW224),ROW(BW28:BW224),"")))</f>
        <v>10.6</v>
      </c>
      <c r="BY28" s="13">
        <f>IF('Données projet'!$A$114&gt;35,BY27+BX28-CG27,IF(A28&lt;'Données projet'!$A$114,$BV$205^A28,IF(A28='Données projet'!$A$114,'Données projet'!$B$114,BY27+BX28-CG27)))</f>
        <v>140.99999999999997</v>
      </c>
      <c r="BZ28" s="14">
        <f>BY28*VLOOKUP('Données projet'!$B$12,Paramètres!$A$1:$I$89,3,0)*VLOOKUP('Données projet'!$B$12,Paramètres!$A$1:$I$89,5,0)</f>
        <v>109.97999999999998</v>
      </c>
      <c r="CA28" s="14">
        <f t="shared" si="39"/>
        <v>29.326272366698234</v>
      </c>
      <c r="CB28" s="22">
        <f t="shared" si="10"/>
        <v>242.62509103866606</v>
      </c>
      <c r="CC28" s="60">
        <f t="shared" si="11"/>
        <v>470.66286500499814</v>
      </c>
      <c r="CD28" s="60">
        <f ca="1">AVERAGE(OFFSET($CC$3,0,0,'Données projet'!$E$12+1,1))-AVERAGE(OFFSET($H$3,0,0,'Données projet'!$E$12+1,1))</f>
        <v>312.59632808777332</v>
      </c>
      <c r="CE28" s="60">
        <f t="shared" si="40"/>
        <v>302.59481222418219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55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109</v>
      </c>
      <c r="CR28" s="13">
        <f>VLOOKUP(A28,'Données projet'!$A$139:$I$159,9,0)</f>
        <v>7.2</v>
      </c>
      <c r="CS28" s="13">
        <f t="array" ref="CS28">INDEX(CR:CR,MIN(IF(ISNUMBER(CR28:CR224),ROW(CR28:CR224),"")))</f>
        <v>7.2</v>
      </c>
      <c r="CT28" s="13">
        <f>IF('Données projet'!$A$140&gt;35,CT27+CS28-DB27,IF(A28&lt;'Données projet'!$A$140,$CQ$205^A28,IF(A28='Données projet'!$A$140,'Données projet'!$B$140,CT27+CS28-DB27)))</f>
        <v>109.00000000000001</v>
      </c>
      <c r="CU28" s="18">
        <f>CT28*VLOOKUP('Données projet'!$B$13,Paramètres!$A$1:$I$89,3,0)*VLOOKUP('Données projet'!$B$13,Paramètres!$A$1:$I$89,5,0)</f>
        <v>105.42480000000002</v>
      </c>
      <c r="CV28" s="14">
        <f t="shared" si="41"/>
        <v>28.250381069605584</v>
      </c>
      <c r="CW28" s="22">
        <f t="shared" si="13"/>
        <v>232.81760702956308</v>
      </c>
      <c r="CX28" s="60">
        <f t="shared" si="14"/>
        <v>460.85538099589519</v>
      </c>
      <c r="CY28" s="60">
        <f ca="1">AVERAGE(OFFSET($CX$3,0,0,'Données projet'!$E$13+1,1))-AVERAGE(OFFSET($H$3,0,0,'Données projet'!$E$13+1,1))</f>
        <v>603.52431522262032</v>
      </c>
      <c r="CZ28" s="60">
        <f t="shared" si="42"/>
        <v>313.56299786481338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34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109</v>
      </c>
      <c r="DM28" s="13">
        <f>VLOOKUP(A28,'Données projet'!$A$165:$I$185,9,0)</f>
        <v>7.2</v>
      </c>
      <c r="DN28" s="13">
        <f t="array" ref="DN28">INDEX(DM:DM,MIN(IF(ISNUMBER(DM28:DM224),ROW(DM28:DM224),"")))</f>
        <v>7.2</v>
      </c>
      <c r="DO28" s="13">
        <f>IF('Données projet'!$A$166&gt;35,DO27+DN28-DW27,IF(A28&lt;'Données projet'!$A$166,$DL$205^A28,IF(A28='Données projet'!$A$166,'Données projet'!$B$166,DO27+DN28-DW27)))</f>
        <v>109.00000000000001</v>
      </c>
      <c r="DP28" s="18">
        <f>DO28*VLOOKUP('Données projet'!$B$14,Paramètres!$A$1:$I$89,3,0)*VLOOKUP('Données projet'!$B$14,Paramètres!$A$1:$I$89,5,0)</f>
        <v>117.32760000000002</v>
      </c>
      <c r="DQ28" s="14">
        <f t="shared" si="43"/>
        <v>31.050891245531712</v>
      </c>
      <c r="DR28" s="22">
        <f t="shared" si="16"/>
        <v>258.42587225263441</v>
      </c>
      <c r="DS28" s="60">
        <f t="shared" si="17"/>
        <v>486.46364621896652</v>
      </c>
      <c r="DT28" s="60">
        <f ca="1">AVERAGE(OFFSET($DS$3,0,0,'Données projet'!$E$14+1,1))-AVERAGE(OFFSET($H$3,0,0,'Données projet'!$E$14+1,1))</f>
        <v>661.93515988633499</v>
      </c>
      <c r="DU28" s="60">
        <f t="shared" si="44"/>
        <v>341.9250949809848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34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137.82051282051282</v>
      </c>
      <c r="EH28" s="13">
        <f>VLOOKUP(A28,'Données projet'!$A$191:$I$211,9,0)</f>
        <v>9.7435897435897427</v>
      </c>
      <c r="EI28" s="13">
        <f t="array" ref="EI28">INDEX(EH:EH,MIN(IF(ISNUMBER(EH28:EH224),ROW(EH28:EH224),"")))</f>
        <v>9.7435897435897427</v>
      </c>
      <c r="EJ28" s="13">
        <f>IF('Données projet'!$A$192&gt;35,EJ27+EI28-ER27,IF(A28&lt;'Données projet'!$A$192,$EG$205^A28,IF(A28='Données projet'!$A$192,'Données projet'!$B$192,EJ27+EI28-ER27)))</f>
        <v>137.82051282051282</v>
      </c>
      <c r="EK28" s="18">
        <f>EJ28*VLOOKUP('Données projet'!$B$15,Paramètres!$A$1:$I$89,3,0)*VLOOKUP('Données projet'!$B$15,Paramètres!$A$1:$I$89,5,0)</f>
        <v>92.45</v>
      </c>
      <c r="EL28" s="14">
        <f t="shared" si="45"/>
        <v>25.155179194747834</v>
      </c>
      <c r="EM28" s="22">
        <f t="shared" si="19"/>
        <v>204.82902043085244</v>
      </c>
      <c r="EN28" s="60">
        <f t="shared" si="20"/>
        <v>432.86679439718455</v>
      </c>
      <c r="EO28" s="60">
        <f ca="1">AVERAGE(OFFSET($EN$3,0,0,'Données projet'!$E$15+1,1))-AVERAGE(OFFSET($H$3,0,0,'Données projet'!$E$15+1,1))</f>
        <v>396.0878652679051</v>
      </c>
      <c r="EP28" s="60">
        <f t="shared" si="46"/>
        <v>327.26339199235406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140.5</v>
      </c>
      <c r="FC28" s="13">
        <f>VLOOKUP(A28,'Données projet'!$A$217:$I$237,9,0)</f>
        <v>14.739999999999998</v>
      </c>
      <c r="FD28" s="13">
        <f t="array" ref="FD28">INDEX(FC:FC,MIN(IF(ISNUMBER(FC28:FC224),ROW(FC28:FC224),"")))</f>
        <v>14.739999999999998</v>
      </c>
      <c r="FE28" s="13">
        <f>IF('Données projet'!$A$218&gt;35,FE27+FD28-FM27,IF(A28&lt;'Données projet'!$A$218,$FB$205^A28,IF(A28='Données projet'!$A$218,'Données projet'!$B$218,FE27+FD28-FM27)))</f>
        <v>140.5</v>
      </c>
      <c r="FF28" s="18">
        <f>FE28*VLOOKUP('Données projet'!$B$16,Paramètres!$A$1:$I$89,3,0)*VLOOKUP('Données projet'!$B$16,Paramètres!$A$1:$I$89,5,0)</f>
        <v>103.0146</v>
      </c>
      <c r="FG28" s="14">
        <f t="shared" si="47"/>
        <v>27.678938285581953</v>
      </c>
      <c r="FH28" s="22">
        <f t="shared" si="22"/>
        <v>227.62457918072189</v>
      </c>
      <c r="FI28" s="60">
        <f t="shared" si="23"/>
        <v>455.66235314705398</v>
      </c>
      <c r="FJ28" s="60">
        <f ca="1">AVERAGE(OFFSET($FI$3,0,0,'Données projet'!$E$16+1,1))-AVERAGE(OFFSET($H$3,0,0,'Données projet'!$E$16+1,1))</f>
        <v>368.35775920359396</v>
      </c>
      <c r="FK28" s="60">
        <f t="shared" si="48"/>
        <v>395.5218438652638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111</v>
      </c>
      <c r="FX28" s="13">
        <f>VLOOKUP(A28,'Données projet'!$A$243:$I$263,9,0)</f>
        <v>11</v>
      </c>
      <c r="FY28" s="13">
        <f t="array" ref="FY28">INDEX(FX:FX,MIN(IF(ISNUMBER(FX28:FX224),ROW(FX28:FX224),"")))</f>
        <v>11</v>
      </c>
      <c r="FZ28" s="13">
        <f>IF('Données projet'!$A$244&gt;35,FZ27+FY28-GH27,IF(A28&lt;'Données projet'!$A$244,$FW$205^A28,IF(A28='Données projet'!$A$244,'Données projet'!$B$244,FZ27+FY28-GH27)))</f>
        <v>111</v>
      </c>
      <c r="GA28" s="18">
        <f>FZ28*VLOOKUP('Données projet'!$B$17,Paramètres!$A$1:$I$89,3,0)*VLOOKUP('Données projet'!$B$17,Paramètres!$A$1:$I$89,5,0)</f>
        <v>95.238000000000014</v>
      </c>
      <c r="GB28" s="14">
        <f t="shared" si="49"/>
        <v>25.824315354051141</v>
      </c>
      <c r="GC28" s="22">
        <f t="shared" si="25"/>
        <v>210.85019924163907</v>
      </c>
      <c r="GD28" s="60">
        <f t="shared" si="26"/>
        <v>438.88797320797119</v>
      </c>
      <c r="GE28" s="60">
        <f ca="1">AVERAGE(OFFSET($GD$3,0,0,'Données projet'!$E$17+1,1))-AVERAGE(OFFSET($H$3,0,0,'Données projet'!$E$17+1,1))</f>
        <v>701.44583662096022</v>
      </c>
      <c r="GF28" s="60">
        <f t="shared" si="50"/>
        <v>331.25104323342907</v>
      </c>
      <c r="GG28" s="16">
        <f>IF(ISNA(VLOOKUP(A28,'Données projet'!$A$243:$I$263,3,0)),0,VLOOKUP(A28,'Données projet'!$A$243:$I$263,3,0))</f>
        <v>1</v>
      </c>
      <c r="GH28" s="16">
        <f>IF(ISNA(VLOOKUP(A28,'Données projet'!$A$243:$I$263,4,0)),0,VLOOKUP(A28,'Données projet'!$A$243:$I$263,4,0))</f>
        <v>26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102</v>
      </c>
      <c r="GS28" s="13">
        <f>VLOOKUP(A28,'Données projet'!$A$269:$I$289,9,0)</f>
        <v>8.6</v>
      </c>
      <c r="GT28" s="13">
        <f t="array" ref="GT28">INDEX(GS:GS,MIN(IF(ISNUMBER(GS28:GS224),ROW(GS28:GS224),"")))</f>
        <v>8.6</v>
      </c>
      <c r="GU28" s="13">
        <f>IF('Données projet'!$A$270&gt;35,GU27+GT28-HC27,IF(A28&lt;'Données projet'!$A$270,$GR$205^A28,IF(A28='Données projet'!$A$270,'Données projet'!$B$270,GU27+GT28-HC27)))</f>
        <v>101.99999999999997</v>
      </c>
      <c r="GV28" s="18">
        <f>GU28*VLOOKUP('Données projet'!$B$18,Paramètres!$A$1:$I$89,3,0)*VLOOKUP('Données projet'!$B$18,Paramètres!$A$1:$I$89,5,0)</f>
        <v>82.742399999999975</v>
      </c>
      <c r="GW28" s="14">
        <f t="shared" si="51"/>
        <v>22.806394174303183</v>
      </c>
      <c r="GX28" s="22">
        <f t="shared" si="28"/>
        <v>183.83081652024464</v>
      </c>
      <c r="GY28" s="60">
        <f t="shared" si="29"/>
        <v>411.86859048657675</v>
      </c>
      <c r="GZ28" s="60">
        <f ca="1">AVERAGE(OFFSET($GY$3,0,0,'Données projet'!$E$18+1,1))-AVERAGE(OFFSET($H$3,0,0,'Données projet'!$E$18+1,1))</f>
        <v>272.69564942740931</v>
      </c>
      <c r="HA28" s="60">
        <f t="shared" si="52"/>
        <v>316.57989180609252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25">
      <c r="A29" s="11">
        <f t="shared" si="31"/>
        <v>26</v>
      </c>
      <c r="B29" s="75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8">
        <f t="shared" si="1"/>
        <v>183.33333333333334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0">
        <f t="shared" si="0"/>
        <v>399.90016633808318</v>
      </c>
      <c r="S29" s="60">
        <f ca="1">AVERAGE(OFFSET($R$3,0,0,'Données projet'!$E$9+1,1))-AVERAGE(OFFSET($H$3,0,0,'Données projet'!$E$9+1,1))</f>
        <v>570.08763950759544</v>
      </c>
      <c r="T29" s="60">
        <f t="shared" si="34"/>
        <v>297.32483725004136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14.260000000000002</v>
      </c>
      <c r="AI29" s="14">
        <f>IF('Données projet'!$A$62&gt;35,AI28+AH29-AQ28,IF(A29&lt;'Données projet'!$A$62,$AF$205^A29,IF(A29='Données projet'!$A$62,'Données projet'!$B$62,AI28+AH29-AQ28)))</f>
        <v>154.76</v>
      </c>
      <c r="AJ29" s="14">
        <f>AI29*VLOOKUP('Données projet'!$B$10,Paramètres!$A$1:$I$89,3,0)*VLOOKUP('Données projet'!$B$10,Paramètres!$A$1:$I$89,5,0)</f>
        <v>123.127056</v>
      </c>
      <c r="AK29" s="14">
        <f t="shared" si="35"/>
        <v>32.403238210173519</v>
      </c>
      <c r="AL29" s="22">
        <f t="shared" si="4"/>
        <v>270.88192908271884</v>
      </c>
      <c r="AM29" s="60">
        <f t="shared" si="5"/>
        <v>501.16864313190899</v>
      </c>
      <c r="AN29" s="60">
        <f ca="1">AVERAGE(OFFSET($AM$3,0,0,'Données projet'!$E$10+1,1))-AVERAGE(OFFSET($H$3,0,0,'Données projet'!$E$10+1,1))</f>
        <v>394.49874384716014</v>
      </c>
      <c r="AO29" s="60">
        <f t="shared" si="36"/>
        <v>423.72519584013378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7.4358974358974361</v>
      </c>
      <c r="BD29" s="13">
        <f>IF('Données projet'!$A$88&gt;35,BD28+BC29-BL28,IF(A29&lt;'Données projet'!$A$88,$BA$205^A29,IF(A29='Données projet'!$A$88,'Données projet'!$B$88,BD28+BC29-BL28)))</f>
        <v>93.974358974358992</v>
      </c>
      <c r="BE29" s="14">
        <f>BD29*VLOOKUP('Données projet'!$B$11,Paramètres!$A$1:$I$89,3,0)*VLOOKUP('Données projet'!$B$11,Paramètres!$A$1:$I$89,5,0)</f>
        <v>89.426000000000016</v>
      </c>
      <c r="BF29" s="14">
        <f t="shared" si="37"/>
        <v>24.426738508211891</v>
      </c>
      <c r="BG29" s="22">
        <f t="shared" si="7"/>
        <v>198.29351956846904</v>
      </c>
      <c r="BH29" s="60">
        <f t="shared" si="8"/>
        <v>428.58023361765925</v>
      </c>
      <c r="BI29" s="60">
        <f ca="1">AVERAGE(OFFSET($BH$3,0,0,'Données projet'!$E$11+1,1))-AVERAGE(OFFSET($H$3,0,0,'Données projet'!$E$11+1,1))</f>
        <v>441.15969139782891</v>
      </c>
      <c r="BJ29" s="60">
        <f t="shared" si="38"/>
        <v>315.06466790224783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11.5</v>
      </c>
      <c r="BY29" s="13">
        <f>IF('Données projet'!$A$114&gt;35,BY28+BX29-CG28,IF(A29&lt;'Données projet'!$A$114,$BV$205^A29,IF(A29='Données projet'!$A$114,'Données projet'!$B$114,BY28+BX29-CG28)))</f>
        <v>97.499999999999972</v>
      </c>
      <c r="BZ29" s="14">
        <f>BY29*VLOOKUP('Données projet'!$B$12,Paramètres!$A$1:$I$89,3,0)*VLOOKUP('Données projet'!$B$12,Paramètres!$A$1:$I$89,5,0)</f>
        <v>76.049999999999983</v>
      </c>
      <c r="CA29" s="14">
        <f t="shared" si="39"/>
        <v>21.168560890749262</v>
      </c>
      <c r="CB29" s="22">
        <f t="shared" si="10"/>
        <v>169.32232688472158</v>
      </c>
      <c r="CC29" s="60">
        <f t="shared" si="11"/>
        <v>399.60904093391173</v>
      </c>
      <c r="CD29" s="60">
        <f ca="1">AVERAGE(OFFSET($CC$3,0,0,'Données projet'!$E$12+1,1))-AVERAGE(OFFSET($H$3,0,0,'Données projet'!$E$12+1,1))</f>
        <v>312.59632808777332</v>
      </c>
      <c r="CE29" s="60">
        <f t="shared" si="40"/>
        <v>302.59481222418219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9.1999999999999993</v>
      </c>
      <c r="CT29" s="13">
        <f>IF('Données projet'!$A$140&gt;35,CT28+CS29-DB28,IF(A29&lt;'Données projet'!$A$140,$CQ$205^A29,IF(A29='Données projet'!$A$140,'Données projet'!$B$140,CT28+CS29-DB28)))</f>
        <v>84.200000000000017</v>
      </c>
      <c r="CU29" s="18">
        <f>CT29*VLOOKUP('Données projet'!$B$13,Paramètres!$A$1:$I$89,3,0)*VLOOKUP('Données projet'!$B$13,Paramètres!$A$1:$I$89,5,0)</f>
        <v>81.438240000000022</v>
      </c>
      <c r="CV29" s="14">
        <f t="shared" si="41"/>
        <v>22.488475778344696</v>
      </c>
      <c r="CW29" s="22">
        <f t="shared" si="13"/>
        <v>181.00569664728371</v>
      </c>
      <c r="CX29" s="60">
        <f t="shared" si="14"/>
        <v>411.29241069647389</v>
      </c>
      <c r="CY29" s="60">
        <f ca="1">AVERAGE(OFFSET($CX$3,0,0,'Données projet'!$E$13+1,1))-AVERAGE(OFFSET($H$3,0,0,'Données projet'!$E$13+1,1))</f>
        <v>603.52431522262032</v>
      </c>
      <c r="CZ29" s="60">
        <f t="shared" si="42"/>
        <v>313.56299786481338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9.1999999999999993</v>
      </c>
      <c r="DO29" s="13">
        <f>IF('Données projet'!$A$166&gt;35,DO28+DN29-DW28,IF(A29&lt;'Données projet'!$A$166,$DL$205^A29,IF(A29='Données projet'!$A$166,'Données projet'!$B$166,DO28+DN29-DW28)))</f>
        <v>84.200000000000017</v>
      </c>
      <c r="DP29" s="18">
        <f>DO29*VLOOKUP('Données projet'!$B$14,Paramètres!$A$1:$I$89,3,0)*VLOOKUP('Données projet'!$B$14,Paramètres!$A$1:$I$89,5,0)</f>
        <v>90.632880000000014</v>
      </c>
      <c r="DQ29" s="14">
        <f t="shared" si="43"/>
        <v>24.717798105117861</v>
      </c>
      <c r="DR29" s="22">
        <f t="shared" si="16"/>
        <v>200.90243103308026</v>
      </c>
      <c r="DS29" s="60">
        <f t="shared" si="17"/>
        <v>431.18914508227044</v>
      </c>
      <c r="DT29" s="60">
        <f ca="1">AVERAGE(OFFSET($DS$3,0,0,'Données projet'!$E$14+1,1))-AVERAGE(OFFSET($H$3,0,0,'Données projet'!$E$14+1,1))</f>
        <v>661.93515988633499</v>
      </c>
      <c r="DU29" s="60">
        <f t="shared" si="44"/>
        <v>341.9250949809848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9.2307692307692317</v>
      </c>
      <c r="EJ29" s="13">
        <f>IF('Données projet'!$A$192&gt;35,EJ28+EI29-ER28,IF(A29&lt;'Données projet'!$A$192,$EG$205^A29,IF(A29='Données projet'!$A$192,'Données projet'!$B$192,EJ28+EI29-ER28)))</f>
        <v>147.05128205128204</v>
      </c>
      <c r="EK29" s="18">
        <f>EJ29*VLOOKUP('Données projet'!$B$15,Paramètres!$A$1:$I$89,3,0)*VLOOKUP('Données projet'!$B$15,Paramètres!$A$1:$I$89,5,0)</f>
        <v>98.641999999999996</v>
      </c>
      <c r="EL29" s="14">
        <f t="shared" si="45"/>
        <v>26.638215773406319</v>
      </c>
      <c r="EM29" s="22">
        <f t="shared" si="19"/>
        <v>218.19637580534933</v>
      </c>
      <c r="EN29" s="60">
        <f t="shared" si="20"/>
        <v>448.48308985453951</v>
      </c>
      <c r="EO29" s="60">
        <f ca="1">AVERAGE(OFFSET($EN$3,0,0,'Données projet'!$E$15+1,1))-AVERAGE(OFFSET($H$3,0,0,'Données projet'!$E$15+1,1))</f>
        <v>396.0878652679051</v>
      </c>
      <c r="EP29" s="60">
        <f t="shared" si="46"/>
        <v>327.26339199235406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14.260000000000002</v>
      </c>
      <c r="FE29" s="13">
        <f>IF('Données projet'!$A$218&gt;35,FE28+FD29-FM28,IF(A29&lt;'Données projet'!$A$218,$FB$205^A29,IF(A29='Données projet'!$A$218,'Données projet'!$B$218,FE28+FD29-FM28)))</f>
        <v>154.76</v>
      </c>
      <c r="FF29" s="18">
        <f>FE29*VLOOKUP('Données projet'!$B$16,Paramètres!$A$1:$I$89,3,0)*VLOOKUP('Données projet'!$B$16,Paramètres!$A$1:$I$89,5,0)</f>
        <v>113.47003199999999</v>
      </c>
      <c r="FG29" s="14">
        <f t="shared" si="47"/>
        <v>30.147067487856493</v>
      </c>
      <c r="FH29" s="22">
        <f t="shared" si="22"/>
        <v>250.13311494134999</v>
      </c>
      <c r="FI29" s="60">
        <f t="shared" si="23"/>
        <v>480.41982899054017</v>
      </c>
      <c r="FJ29" s="60">
        <f ca="1">AVERAGE(OFFSET($FI$3,0,0,'Données projet'!$E$16+1,1))-AVERAGE(OFFSET($H$3,0,0,'Données projet'!$E$16+1,1))</f>
        <v>368.35775920359396</v>
      </c>
      <c r="FK29" s="60">
        <f t="shared" si="48"/>
        <v>395.5218438652638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12.2</v>
      </c>
      <c r="FZ29" s="13">
        <f>IF('Données projet'!$A$244&gt;35,FZ28+FY29-GH28,IF(A29&lt;'Données projet'!$A$244,$FW$205^A29,IF(A29='Données projet'!$A$244,'Données projet'!$B$244,FZ28+FY29-GH28)))</f>
        <v>97.2</v>
      </c>
      <c r="GA29" s="18">
        <f>FZ29*VLOOKUP('Données projet'!$B$17,Paramètres!$A$1:$I$89,3,0)*VLOOKUP('Données projet'!$B$17,Paramètres!$A$1:$I$89,5,0)</f>
        <v>83.397600000000011</v>
      </c>
      <c r="GB29" s="14">
        <f t="shared" si="49"/>
        <v>22.965893371329315</v>
      </c>
      <c r="GC29" s="22">
        <f t="shared" si="25"/>
        <v>185.24975095506522</v>
      </c>
      <c r="GD29" s="60">
        <f t="shared" si="26"/>
        <v>415.53646500425543</v>
      </c>
      <c r="GE29" s="60">
        <f ca="1">AVERAGE(OFFSET($GD$3,0,0,'Données projet'!$E$17+1,1))-AVERAGE(OFFSET($H$3,0,0,'Données projet'!$E$17+1,1))</f>
        <v>701.44583662096022</v>
      </c>
      <c r="GF29" s="60">
        <f t="shared" si="50"/>
        <v>331.25104323342907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8.8000000000000007</v>
      </c>
      <c r="GU29" s="13">
        <f>IF('Données projet'!$A$270&gt;35,GU28+GT29-HC28,IF(A29&lt;'Données projet'!$A$270,$GR$205^A29,IF(A29='Données projet'!$A$270,'Données projet'!$B$270,GU28+GT29-HC28)))</f>
        <v>110.79999999999997</v>
      </c>
      <c r="GV29" s="18">
        <f>GU29*VLOOKUP('Données projet'!$B$18,Paramètres!$A$1:$I$89,3,0)*VLOOKUP('Données projet'!$B$18,Paramètres!$A$1:$I$89,5,0)</f>
        <v>89.880959999999973</v>
      </c>
      <c r="GW29" s="14">
        <f t="shared" si="51"/>
        <v>24.536513201257339</v>
      </c>
      <c r="GX29" s="22">
        <f t="shared" si="28"/>
        <v>199.27709915885649</v>
      </c>
      <c r="GY29" s="60">
        <f t="shared" si="29"/>
        <v>429.56381320804667</v>
      </c>
      <c r="GZ29" s="60">
        <f ca="1">AVERAGE(OFFSET($GY$3,0,0,'Données projet'!$E$18+1,1))-AVERAGE(OFFSET($H$3,0,0,'Données projet'!$E$18+1,1))</f>
        <v>272.69564942740931</v>
      </c>
      <c r="HA29" s="60">
        <f t="shared" si="52"/>
        <v>316.57989180609252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25">
      <c r="A30" s="11">
        <f t="shared" si="31"/>
        <v>27</v>
      </c>
      <c r="B30" s="75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8">
        <f t="shared" si="1"/>
        <v>183.33333333333334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0">
        <f t="shared" si="0"/>
        <v>420.17244660972904</v>
      </c>
      <c r="S30" s="60">
        <f ca="1">AVERAGE(OFFSET($R$3,0,0,'Données projet'!$E$9+1,1))-AVERAGE(OFFSET($H$3,0,0,'Données projet'!$E$9+1,1))</f>
        <v>570.08763950759544</v>
      </c>
      <c r="T30" s="60">
        <f t="shared" si="34"/>
        <v>297.32483725004136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14.260000000000002</v>
      </c>
      <c r="AI30" s="14">
        <f>IF('Données projet'!$A$62&gt;35,AI29+AH30-AQ29,IF(A30&lt;'Données projet'!$A$62,$AF$205^A30,IF(A30='Données projet'!$A$62,'Données projet'!$B$62,AI29+AH30-AQ29)))</f>
        <v>169.01999999999998</v>
      </c>
      <c r="AJ30" s="14">
        <f>AI30*VLOOKUP('Données projet'!$B$10,Paramètres!$A$1:$I$89,3,0)*VLOOKUP('Données projet'!$B$10,Paramètres!$A$1:$I$89,5,0)</f>
        <v>134.47231199999999</v>
      </c>
      <c r="AK30" s="14">
        <f t="shared" si="35"/>
        <v>35.027736208949172</v>
      </c>
      <c r="AL30" s="22">
        <f t="shared" si="4"/>
        <v>295.21258396391971</v>
      </c>
      <c r="AM30" s="60">
        <f t="shared" si="5"/>
        <v>527.73042683648328</v>
      </c>
      <c r="AN30" s="60">
        <f ca="1">AVERAGE(OFFSET($AM$3,0,0,'Données projet'!$E$10+1,1))-AVERAGE(OFFSET($H$3,0,0,'Données projet'!$E$10+1,1))</f>
        <v>394.49874384716014</v>
      </c>
      <c r="AO30" s="60">
        <f t="shared" si="36"/>
        <v>423.72519584013378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7.4358974358974361</v>
      </c>
      <c r="BD30" s="13">
        <f>IF('Données projet'!$A$88&gt;35,BD29+BC30-BL29,IF(A30&lt;'Données projet'!$A$88,$BA$205^A30,IF(A30='Données projet'!$A$88,'Données projet'!$B$88,BD29+BC30-BL29)))</f>
        <v>101.41025641025642</v>
      </c>
      <c r="BE30" s="14">
        <f>BD30*VLOOKUP('Données projet'!$B$11,Paramètres!$A$1:$I$89,3,0)*VLOOKUP('Données projet'!$B$11,Paramètres!$A$1:$I$89,5,0)</f>
        <v>96.50200000000001</v>
      </c>
      <c r="BF30" s="14">
        <f t="shared" si="37"/>
        <v>26.126928217693919</v>
      </c>
      <c r="BG30" s="22">
        <f t="shared" si="7"/>
        <v>213.57871664581691</v>
      </c>
      <c r="BH30" s="60">
        <f t="shared" si="8"/>
        <v>446.09655951838045</v>
      </c>
      <c r="BI30" s="60">
        <f ca="1">AVERAGE(OFFSET($BH$3,0,0,'Données projet'!$E$11+1,1))-AVERAGE(OFFSET($H$3,0,0,'Données projet'!$E$11+1,1))</f>
        <v>441.15969139782891</v>
      </c>
      <c r="BJ30" s="60">
        <f t="shared" si="38"/>
        <v>315.06466790224783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11.5</v>
      </c>
      <c r="BY30" s="13">
        <f>IF('Données projet'!$A$114&gt;35,BY29+BX30-CG29,IF(A30&lt;'Données projet'!$A$114,$BV$205^A30,IF(A30='Données projet'!$A$114,'Données projet'!$B$114,BY29+BX30-CG29)))</f>
        <v>108.99999999999997</v>
      </c>
      <c r="BZ30" s="14">
        <f>BY30*VLOOKUP('Données projet'!$B$12,Paramètres!$A$1:$I$89,3,0)*VLOOKUP('Données projet'!$B$12,Paramètres!$A$1:$I$89,5,0)</f>
        <v>85.019999999999982</v>
      </c>
      <c r="CA30" s="14">
        <f t="shared" si="39"/>
        <v>23.360218970693108</v>
      </c>
      <c r="CB30" s="22">
        <f t="shared" si="10"/>
        <v>188.76221470729047</v>
      </c>
      <c r="CC30" s="60">
        <f t="shared" si="11"/>
        <v>421.28005757985397</v>
      </c>
      <c r="CD30" s="60">
        <f ca="1">AVERAGE(OFFSET($CC$3,0,0,'Données projet'!$E$12+1,1))-AVERAGE(OFFSET($H$3,0,0,'Données projet'!$E$12+1,1))</f>
        <v>312.59632808777332</v>
      </c>
      <c r="CE30" s="60">
        <f t="shared" si="40"/>
        <v>302.59481222418219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9.1999999999999993</v>
      </c>
      <c r="CT30" s="13">
        <f>IF('Données projet'!$A$140&gt;35,CT29+CS30-DB29,IF(A30&lt;'Données projet'!$A$140,$CQ$205^A30,IF(A30='Données projet'!$A$140,'Données projet'!$B$140,CT29+CS30-DB29)))</f>
        <v>93.40000000000002</v>
      </c>
      <c r="CU30" s="18">
        <f>CT30*VLOOKUP('Données projet'!$B$13,Paramètres!$A$1:$I$89,3,0)*VLOOKUP('Données projet'!$B$13,Paramètres!$A$1:$I$89,5,0)</f>
        <v>90.336480000000023</v>
      </c>
      <c r="CV30" s="14">
        <f t="shared" si="41"/>
        <v>24.646358234355564</v>
      </c>
      <c r="CW30" s="22">
        <f t="shared" si="13"/>
        <v>200.26177659150264</v>
      </c>
      <c r="CX30" s="60">
        <f t="shared" si="14"/>
        <v>432.77961946406617</v>
      </c>
      <c r="CY30" s="60">
        <f ca="1">AVERAGE(OFFSET($CX$3,0,0,'Données projet'!$E$13+1,1))-AVERAGE(OFFSET($H$3,0,0,'Données projet'!$E$13+1,1))</f>
        <v>603.52431522262032</v>
      </c>
      <c r="CZ30" s="60">
        <f t="shared" si="42"/>
        <v>313.56299786481338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9.1999999999999993</v>
      </c>
      <c r="DO30" s="13">
        <f>IF('Données projet'!$A$166&gt;35,DO29+DN30-DW29,IF(A30&lt;'Données projet'!$A$166,$DL$205^A30,IF(A30='Données projet'!$A$166,'Données projet'!$B$166,DO29+DN30-DW29)))</f>
        <v>93.40000000000002</v>
      </c>
      <c r="DP30" s="18">
        <f>DO30*VLOOKUP('Données projet'!$B$14,Paramètres!$A$1:$I$89,3,0)*VLOOKUP('Données projet'!$B$14,Paramètres!$A$1:$I$89,5,0)</f>
        <v>100.53576000000002</v>
      </c>
      <c r="DQ30" s="14">
        <f t="shared" si="43"/>
        <v>27.08959526060206</v>
      </c>
      <c r="DR30" s="22">
        <f t="shared" si="16"/>
        <v>222.28082707888197</v>
      </c>
      <c r="DS30" s="60">
        <f t="shared" si="17"/>
        <v>454.7986699514455</v>
      </c>
      <c r="DT30" s="60">
        <f ca="1">AVERAGE(OFFSET($DS$3,0,0,'Données projet'!$E$14+1,1))-AVERAGE(OFFSET($H$3,0,0,'Données projet'!$E$14+1,1))</f>
        <v>661.93515988633499</v>
      </c>
      <c r="DU30" s="60">
        <f t="shared" si="44"/>
        <v>341.9250949809848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9.2307692307692317</v>
      </c>
      <c r="EJ30" s="13">
        <f>IF('Données projet'!$A$192&gt;35,EJ29+EI30-ER29,IF(A30&lt;'Données projet'!$A$192,$EG$205^A30,IF(A30='Données projet'!$A$192,'Données projet'!$B$192,EJ29+EI30-ER29)))</f>
        <v>156.28205128205127</v>
      </c>
      <c r="EK30" s="18">
        <f>EJ30*VLOOKUP('Données projet'!$B$15,Paramètres!$A$1:$I$89,3,0)*VLOOKUP('Données projet'!$B$15,Paramètres!$A$1:$I$89,5,0)</f>
        <v>104.834</v>
      </c>
      <c r="EL30" s="14">
        <f t="shared" si="45"/>
        <v>28.110448233045847</v>
      </c>
      <c r="EM30" s="22">
        <f t="shared" si="19"/>
        <v>231.54491400588816</v>
      </c>
      <c r="EN30" s="60">
        <f t="shared" si="20"/>
        <v>464.06275687845164</v>
      </c>
      <c r="EO30" s="60">
        <f ca="1">AVERAGE(OFFSET($EN$3,0,0,'Données projet'!$E$15+1,1))-AVERAGE(OFFSET($H$3,0,0,'Données projet'!$E$15+1,1))</f>
        <v>396.0878652679051</v>
      </c>
      <c r="EP30" s="60">
        <f t="shared" si="46"/>
        <v>327.26339199235406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14.260000000000002</v>
      </c>
      <c r="FE30" s="13">
        <f>IF('Données projet'!$A$218&gt;35,FE29+FD30-FM29,IF(A30&lt;'Données projet'!$A$218,$FB$205^A30,IF(A30='Données projet'!$A$218,'Données projet'!$B$218,FE29+FD30-FM29)))</f>
        <v>169.01999999999998</v>
      </c>
      <c r="FF30" s="18">
        <f>FE30*VLOOKUP('Données projet'!$B$16,Paramètres!$A$1:$I$89,3,0)*VLOOKUP('Données projet'!$B$16,Paramètres!$A$1:$I$89,5,0)</f>
        <v>123.92546399999999</v>
      </c>
      <c r="FG30" s="14">
        <f t="shared" si="47"/>
        <v>32.58882709773377</v>
      </c>
      <c r="FH30" s="22">
        <f t="shared" si="22"/>
        <v>272.59572366188627</v>
      </c>
      <c r="FI30" s="60">
        <f t="shared" si="23"/>
        <v>505.11356653444977</v>
      </c>
      <c r="FJ30" s="60">
        <f ca="1">AVERAGE(OFFSET($FI$3,0,0,'Données projet'!$E$16+1,1))-AVERAGE(OFFSET($H$3,0,0,'Données projet'!$E$16+1,1))</f>
        <v>368.35775920359396</v>
      </c>
      <c r="FK30" s="60">
        <f t="shared" si="48"/>
        <v>395.5218438652638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12.2</v>
      </c>
      <c r="FZ30" s="13">
        <f>IF('Données projet'!$A$244&gt;35,FZ29+FY30-GH29,IF(A30&lt;'Données projet'!$A$244,$FW$205^A30,IF(A30='Données projet'!$A$244,'Données projet'!$B$244,FZ29+FY30-GH29)))</f>
        <v>109.4</v>
      </c>
      <c r="GA30" s="18">
        <f>FZ30*VLOOKUP('Données projet'!$B$17,Paramètres!$A$1:$I$89,3,0)*VLOOKUP('Données projet'!$B$17,Paramètres!$A$1:$I$89,5,0)</f>
        <v>93.865200000000016</v>
      </c>
      <c r="GB30" s="14">
        <f t="shared" si="49"/>
        <v>25.495124560846406</v>
      </c>
      <c r="GC30" s="22">
        <f t="shared" si="25"/>
        <v>207.88589861014086</v>
      </c>
      <c r="GD30" s="60">
        <f t="shared" si="26"/>
        <v>440.40374148270439</v>
      </c>
      <c r="GE30" s="60">
        <f ca="1">AVERAGE(OFFSET($GD$3,0,0,'Données projet'!$E$17+1,1))-AVERAGE(OFFSET($H$3,0,0,'Données projet'!$E$17+1,1))</f>
        <v>701.44583662096022</v>
      </c>
      <c r="GF30" s="60">
        <f t="shared" si="50"/>
        <v>331.25104323342907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8.8000000000000007</v>
      </c>
      <c r="GU30" s="13">
        <f>IF('Données projet'!$A$270&gt;35,GU29+GT30-HC29,IF(A30&lt;'Données projet'!$A$270,$GR$205^A30,IF(A30='Données projet'!$A$270,'Données projet'!$B$270,GU29+GT30-HC29)))</f>
        <v>119.59999999999997</v>
      </c>
      <c r="GV30" s="18">
        <f>GU30*VLOOKUP('Données projet'!$B$18,Paramètres!$A$1:$I$89,3,0)*VLOOKUP('Données projet'!$B$18,Paramètres!$A$1:$I$89,5,0)</f>
        <v>97.019519999999986</v>
      </c>
      <c r="GW30" s="14">
        <f t="shared" si="51"/>
        <v>26.250693712468323</v>
      </c>
      <c r="GX30" s="22">
        <f t="shared" si="28"/>
        <v>214.69562221588228</v>
      </c>
      <c r="GY30" s="60">
        <f t="shared" si="29"/>
        <v>447.21346508844579</v>
      </c>
      <c r="GZ30" s="60">
        <f ca="1">AVERAGE(OFFSET($GY$3,0,0,'Données projet'!$E$18+1,1))-AVERAGE(OFFSET($H$3,0,0,'Données projet'!$E$18+1,1))</f>
        <v>272.69564942740931</v>
      </c>
      <c r="HA30" s="60">
        <f t="shared" si="52"/>
        <v>316.57989180609252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25">
      <c r="A31" s="11">
        <f t="shared" si="31"/>
        <v>28</v>
      </c>
      <c r="B31" s="75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8">
        <f t="shared" si="1"/>
        <v>183.33333333333334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0">
        <f t="shared" si="0"/>
        <v>440.3867625099287</v>
      </c>
      <c r="S31" s="60">
        <f ca="1">AVERAGE(OFFSET($R$3,0,0,'Données projet'!$E$9+1,1))-AVERAGE(OFFSET($H$3,0,0,'Données projet'!$E$9+1,1))</f>
        <v>570.08763950759544</v>
      </c>
      <c r="T31" s="60">
        <f t="shared" si="34"/>
        <v>297.32483725004136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14.260000000000002</v>
      </c>
      <c r="AI31" s="14">
        <f>IF('Données projet'!$A$62&gt;35,AI30+AH31-AQ30,IF(A31&lt;'Données projet'!$A$62,$AF$205^A31,IF(A31='Données projet'!$A$62,'Données projet'!$B$62,AI30+AH31-AQ30)))</f>
        <v>183.27999999999997</v>
      </c>
      <c r="AJ31" s="14">
        <f>AI31*VLOOKUP('Données projet'!$B$10,Paramètres!$A$1:$I$89,3,0)*VLOOKUP('Données projet'!$B$10,Paramètres!$A$1:$I$89,5,0)</f>
        <v>145.81756799999999</v>
      </c>
      <c r="AK31" s="14">
        <f t="shared" si="35"/>
        <v>37.626554284689291</v>
      </c>
      <c r="AL31" s="22">
        <f t="shared" si="4"/>
        <v>319.49851297916712</v>
      </c>
      <c r="AM31" s="60">
        <f t="shared" si="5"/>
        <v>554.22998240115123</v>
      </c>
      <c r="AN31" s="60">
        <f ca="1">AVERAGE(OFFSET($AM$3,0,0,'Données projet'!$E$10+1,1))-AVERAGE(OFFSET($H$3,0,0,'Données projet'!$E$10+1,1))</f>
        <v>394.49874384716014</v>
      </c>
      <c r="AO31" s="60">
        <f t="shared" si="36"/>
        <v>423.72519584013378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7.4358974358974361</v>
      </c>
      <c r="BD31" s="13">
        <f>IF('Données projet'!$A$88&gt;35,BD30+BC31-BL30,IF(A31&lt;'Données projet'!$A$88,$BA$205^A31,IF(A31='Données projet'!$A$88,'Données projet'!$B$88,BD30+BC31-BL30)))</f>
        <v>108.84615384615385</v>
      </c>
      <c r="BE31" s="14">
        <f>BD31*VLOOKUP('Données projet'!$B$11,Paramètres!$A$1:$I$89,3,0)*VLOOKUP('Données projet'!$B$11,Paramètres!$A$1:$I$89,5,0)</f>
        <v>103.57800000000002</v>
      </c>
      <c r="BF31" s="14">
        <f t="shared" si="37"/>
        <v>27.812654852530578</v>
      </c>
      <c r="BG31" s="22">
        <f t="shared" si="7"/>
        <v>228.83872386815744</v>
      </c>
      <c r="BH31" s="60">
        <f t="shared" si="8"/>
        <v>463.57019329014156</v>
      </c>
      <c r="BI31" s="60">
        <f ca="1">AVERAGE(OFFSET($BH$3,0,0,'Données projet'!$E$11+1,1))-AVERAGE(OFFSET($H$3,0,0,'Données projet'!$E$11+1,1))</f>
        <v>441.15969139782891</v>
      </c>
      <c r="BJ31" s="60">
        <f t="shared" si="38"/>
        <v>315.06466790224783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11.5</v>
      </c>
      <c r="BY31" s="13">
        <f>IF('Données projet'!$A$114&gt;35,BY30+BX31-CG30,IF(A31&lt;'Données projet'!$A$114,$BV$205^A31,IF(A31='Données projet'!$A$114,'Données projet'!$B$114,BY30+BX31-CG30)))</f>
        <v>120.49999999999997</v>
      </c>
      <c r="BZ31" s="14">
        <f>BY31*VLOOKUP('Données projet'!$B$12,Paramètres!$A$1:$I$89,3,0)*VLOOKUP('Données projet'!$B$12,Paramètres!$A$1:$I$89,5,0)</f>
        <v>93.989999999999981</v>
      </c>
      <c r="CA31" s="14">
        <f t="shared" si="39"/>
        <v>25.525074036970079</v>
      </c>
      <c r="CB31" s="22">
        <f t="shared" si="10"/>
        <v>208.15542061438953</v>
      </c>
      <c r="CC31" s="60">
        <f t="shared" si="11"/>
        <v>442.88689003637364</v>
      </c>
      <c r="CD31" s="60">
        <f ca="1">AVERAGE(OFFSET($CC$3,0,0,'Données projet'!$E$12+1,1))-AVERAGE(OFFSET($H$3,0,0,'Données projet'!$E$12+1,1))</f>
        <v>312.59632808777332</v>
      </c>
      <c r="CE31" s="60">
        <f t="shared" si="40"/>
        <v>302.59481222418219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9.1999999999999993</v>
      </c>
      <c r="CT31" s="13">
        <f>IF('Données projet'!$A$140&gt;35,CT30+CS31-DB30,IF(A31&lt;'Données projet'!$A$140,$CQ$205^A31,IF(A31='Données projet'!$A$140,'Données projet'!$B$140,CT30+CS31-DB30)))</f>
        <v>102.60000000000002</v>
      </c>
      <c r="CU31" s="18">
        <f>CT31*VLOOKUP('Données projet'!$B$13,Paramètres!$A$1:$I$89,3,0)*VLOOKUP('Données projet'!$B$13,Paramètres!$A$1:$I$89,5,0)</f>
        <v>99.234720000000024</v>
      </c>
      <c r="CV31" s="14">
        <f t="shared" si="41"/>
        <v>26.779598706219044</v>
      </c>
      <c r="CW31" s="22">
        <f t="shared" si="13"/>
        <v>219.47493841333153</v>
      </c>
      <c r="CX31" s="60">
        <f t="shared" si="14"/>
        <v>454.20640783531564</v>
      </c>
      <c r="CY31" s="60">
        <f ca="1">AVERAGE(OFFSET($CX$3,0,0,'Données projet'!$E$13+1,1))-AVERAGE(OFFSET($H$3,0,0,'Données projet'!$E$13+1,1))</f>
        <v>603.52431522262032</v>
      </c>
      <c r="CZ31" s="60">
        <f t="shared" si="42"/>
        <v>313.56299786481338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9.1999999999999993</v>
      </c>
      <c r="DO31" s="13">
        <f>IF('Données projet'!$A$166&gt;35,DO30+DN31-DW30,IF(A31&lt;'Données projet'!$A$166,$DL$205^A31,IF(A31='Données projet'!$A$166,'Données projet'!$B$166,DO30+DN31-DW30)))</f>
        <v>102.60000000000002</v>
      </c>
      <c r="DP31" s="18">
        <f>DO31*VLOOKUP('Données projet'!$B$14,Paramètres!$A$1:$I$89,3,0)*VLOOKUP('Données projet'!$B$14,Paramètres!$A$1:$I$89,5,0)</f>
        <v>110.43864000000002</v>
      </c>
      <c r="DQ31" s="14">
        <f t="shared" si="43"/>
        <v>29.434307628523538</v>
      </c>
      <c r="DR31" s="22">
        <f t="shared" si="16"/>
        <v>243.61205045301185</v>
      </c>
      <c r="DS31" s="60">
        <f t="shared" si="17"/>
        <v>478.34351987499593</v>
      </c>
      <c r="DT31" s="60">
        <f ca="1">AVERAGE(OFFSET($DS$3,0,0,'Données projet'!$E$14+1,1))-AVERAGE(OFFSET($H$3,0,0,'Données projet'!$E$14+1,1))</f>
        <v>661.93515988633499</v>
      </c>
      <c r="DU31" s="60">
        <f t="shared" si="44"/>
        <v>341.9250949809848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9.2307692307692317</v>
      </c>
      <c r="EJ31" s="13">
        <f>IF('Données projet'!$A$192&gt;35,EJ30+EI31-ER30,IF(A31&lt;'Données projet'!$A$192,$EG$205^A31,IF(A31='Données projet'!$A$192,'Données projet'!$B$192,EJ30+EI31-ER30)))</f>
        <v>165.5128205128205</v>
      </c>
      <c r="EK31" s="18">
        <f>EJ31*VLOOKUP('Données projet'!$B$15,Paramètres!$A$1:$I$89,3,0)*VLOOKUP('Données projet'!$B$15,Paramètres!$A$1:$I$89,5,0)</f>
        <v>111.026</v>
      </c>
      <c r="EL31" s="14">
        <f t="shared" si="45"/>
        <v>29.572587403880362</v>
      </c>
      <c r="EM31" s="22">
        <f t="shared" si="19"/>
        <v>244.87587306175826</v>
      </c>
      <c r="EN31" s="60">
        <f t="shared" si="20"/>
        <v>479.60734248374234</v>
      </c>
      <c r="EO31" s="60">
        <f ca="1">AVERAGE(OFFSET($EN$3,0,0,'Données projet'!$E$15+1,1))-AVERAGE(OFFSET($H$3,0,0,'Données projet'!$E$15+1,1))</f>
        <v>396.0878652679051</v>
      </c>
      <c r="EP31" s="60">
        <f t="shared" si="46"/>
        <v>327.26339199235406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14.260000000000002</v>
      </c>
      <c r="FE31" s="13">
        <f>IF('Données projet'!$A$218&gt;35,FE30+FD31-FM30,IF(A31&lt;'Données projet'!$A$218,$FB$205^A31,IF(A31='Données projet'!$A$218,'Données projet'!$B$218,FE30+FD31-FM30)))</f>
        <v>183.27999999999997</v>
      </c>
      <c r="FF31" s="18">
        <f>FE31*VLOOKUP('Données projet'!$B$16,Paramètres!$A$1:$I$89,3,0)*VLOOKUP('Données projet'!$B$16,Paramètres!$A$1:$I$89,5,0)</f>
        <v>134.38089599999998</v>
      </c>
      <c r="FG31" s="14">
        <f t="shared" si="47"/>
        <v>35.006694824713001</v>
      </c>
      <c r="FH31" s="22">
        <f t="shared" si="22"/>
        <v>295.01672068637509</v>
      </c>
      <c r="FI31" s="60">
        <f t="shared" si="23"/>
        <v>529.74819010835915</v>
      </c>
      <c r="FJ31" s="60">
        <f ca="1">AVERAGE(OFFSET($FI$3,0,0,'Données projet'!$E$16+1,1))-AVERAGE(OFFSET($H$3,0,0,'Données projet'!$E$16+1,1))</f>
        <v>368.35775920359396</v>
      </c>
      <c r="FK31" s="60">
        <f t="shared" si="48"/>
        <v>395.5218438652638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12.2</v>
      </c>
      <c r="FZ31" s="13">
        <f>IF('Données projet'!$A$244&gt;35,FZ30+FY31-GH30,IF(A31&lt;'Données projet'!$A$244,$FW$205^A31,IF(A31='Données projet'!$A$244,'Données projet'!$B$244,FZ30+FY31-GH30)))</f>
        <v>121.60000000000001</v>
      </c>
      <c r="GA31" s="18">
        <f>FZ31*VLOOKUP('Données projet'!$B$17,Paramètres!$A$1:$I$89,3,0)*VLOOKUP('Données projet'!$B$17,Paramètres!$A$1:$I$89,5,0)</f>
        <v>104.33280000000002</v>
      </c>
      <c r="GB31" s="14">
        <f t="shared" si="49"/>
        <v>27.991665469945552</v>
      </c>
      <c r="GC31" s="22">
        <f t="shared" si="25"/>
        <v>230.46511069348855</v>
      </c>
      <c r="GD31" s="60">
        <f t="shared" si="26"/>
        <v>465.19658011547267</v>
      </c>
      <c r="GE31" s="60">
        <f ca="1">AVERAGE(OFFSET($GD$3,0,0,'Données projet'!$E$17+1,1))-AVERAGE(OFFSET($H$3,0,0,'Données projet'!$E$17+1,1))</f>
        <v>701.44583662096022</v>
      </c>
      <c r="GF31" s="60">
        <f t="shared" si="50"/>
        <v>331.25104323342907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8.8000000000000007</v>
      </c>
      <c r="GU31" s="13">
        <f>IF('Données projet'!$A$270&gt;35,GU30+GT31-HC30,IF(A31&lt;'Données projet'!$A$270,$GR$205^A31,IF(A31='Données projet'!$A$270,'Données projet'!$B$270,GU30+GT31-HC30)))</f>
        <v>128.39999999999998</v>
      </c>
      <c r="GV31" s="18">
        <f>GU31*VLOOKUP('Données projet'!$B$18,Paramètres!$A$1:$I$89,3,0)*VLOOKUP('Données projet'!$B$18,Paramètres!$A$1:$I$89,5,0)</f>
        <v>104.15807999999998</v>
      </c>
      <c r="GW31" s="14">
        <f t="shared" si="51"/>
        <v>27.950241801489337</v>
      </c>
      <c r="GX31" s="22">
        <f t="shared" si="28"/>
        <v>230.08866047092724</v>
      </c>
      <c r="GY31" s="60">
        <f t="shared" si="29"/>
        <v>464.82012989291132</v>
      </c>
      <c r="GZ31" s="60">
        <f ca="1">AVERAGE(OFFSET($GY$3,0,0,'Données projet'!$E$18+1,1))-AVERAGE(OFFSET($H$3,0,0,'Données projet'!$E$18+1,1))</f>
        <v>272.69564942740931</v>
      </c>
      <c r="HA31" s="60">
        <f t="shared" si="52"/>
        <v>316.57989180609252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25">
      <c r="A32" s="11">
        <f t="shared" si="31"/>
        <v>29</v>
      </c>
      <c r="B32" s="75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8">
        <f t="shared" si="1"/>
        <v>183.33333333333334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0">
        <f t="shared" si="0"/>
        <v>460.54745843353226</v>
      </c>
      <c r="S32" s="60">
        <f ca="1">AVERAGE(OFFSET($R$3,0,0,'Données projet'!$E$9+1,1))-AVERAGE(OFFSET($H$3,0,0,'Données projet'!$E$9+1,1))</f>
        <v>570.08763950759544</v>
      </c>
      <c r="T32" s="60">
        <f t="shared" si="34"/>
        <v>297.32483725004136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14.260000000000002</v>
      </c>
      <c r="AI32" s="14">
        <f>IF('Données projet'!$A$62&gt;35,AI31+AH32-AQ31,IF(A32&lt;'Données projet'!$A$62,$AF$205^A32,IF(A32='Données projet'!$A$62,'Données projet'!$B$62,AI31+AH32-AQ31)))</f>
        <v>197.53999999999996</v>
      </c>
      <c r="AJ32" s="14">
        <f>AI32*VLOOKUP('Données projet'!$B$10,Paramètres!$A$1:$I$89,3,0)*VLOOKUP('Données projet'!$B$10,Paramètres!$A$1:$I$89,5,0)</f>
        <v>157.162824</v>
      </c>
      <c r="AK32" s="14">
        <f t="shared" si="35"/>
        <v>40.201917615639708</v>
      </c>
      <c r="AL32" s="22">
        <f t="shared" si="4"/>
        <v>343.7435916472391</v>
      </c>
      <c r="AM32" s="60">
        <f t="shared" si="5"/>
        <v>580.67148897001493</v>
      </c>
      <c r="AN32" s="60">
        <f ca="1">AVERAGE(OFFSET($AM$3,0,0,'Données projet'!$E$10+1,1))-AVERAGE(OFFSET($H$3,0,0,'Données projet'!$E$10+1,1))</f>
        <v>394.49874384716014</v>
      </c>
      <c r="AO32" s="60">
        <f t="shared" si="36"/>
        <v>423.72519584013378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7.4358974358974361</v>
      </c>
      <c r="BD32" s="13">
        <f>IF('Données projet'!$A$88&gt;35,BD31+BC32-BL31,IF(A32&lt;'Données projet'!$A$88,$BA$205^A32,IF(A32='Données projet'!$A$88,'Données projet'!$B$88,BD31+BC32-BL31)))</f>
        <v>116.28205128205128</v>
      </c>
      <c r="BE32" s="14">
        <f>BD32*VLOOKUP('Données projet'!$B$11,Paramètres!$A$1:$I$89,3,0)*VLOOKUP('Données projet'!$B$11,Paramètres!$A$1:$I$89,5,0)</f>
        <v>110.654</v>
      </c>
      <c r="BF32" s="14">
        <f t="shared" si="37"/>
        <v>29.48501887296996</v>
      </c>
      <c r="BG32" s="22">
        <f t="shared" si="7"/>
        <v>244.0754578704227</v>
      </c>
      <c r="BH32" s="60">
        <f t="shared" si="8"/>
        <v>481.00335519319856</v>
      </c>
      <c r="BI32" s="60">
        <f ca="1">AVERAGE(OFFSET($BH$3,0,0,'Données projet'!$E$11+1,1))-AVERAGE(OFFSET($H$3,0,0,'Données projet'!$E$11+1,1))</f>
        <v>441.15969139782891</v>
      </c>
      <c r="BJ32" s="60">
        <f t="shared" si="38"/>
        <v>315.06466790224783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11.5</v>
      </c>
      <c r="BY32" s="13">
        <f>IF('Données projet'!$A$114&gt;35,BY31+BX32-CG31,IF(A32&lt;'Données projet'!$A$114,$BV$205^A32,IF(A32='Données projet'!$A$114,'Données projet'!$B$114,BY31+BX32-CG31)))</f>
        <v>131.99999999999997</v>
      </c>
      <c r="BZ32" s="14">
        <f>BY32*VLOOKUP('Données projet'!$B$12,Paramètres!$A$1:$I$89,3,0)*VLOOKUP('Données projet'!$B$12,Paramètres!$A$1:$I$89,5,0)</f>
        <v>102.95999999999998</v>
      </c>
      <c r="CA32" s="14">
        <f t="shared" si="39"/>
        <v>27.665975080374633</v>
      </c>
      <c r="CB32" s="22">
        <f t="shared" si="10"/>
        <v>227.50690659831912</v>
      </c>
      <c r="CC32" s="60">
        <f t="shared" si="11"/>
        <v>464.43480392109495</v>
      </c>
      <c r="CD32" s="60">
        <f ca="1">AVERAGE(OFFSET($CC$3,0,0,'Données projet'!$E$12+1,1))-AVERAGE(OFFSET($H$3,0,0,'Données projet'!$E$12+1,1))</f>
        <v>312.59632808777332</v>
      </c>
      <c r="CE32" s="60">
        <f t="shared" si="40"/>
        <v>302.59481222418219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9.1999999999999993</v>
      </c>
      <c r="CT32" s="13">
        <f>IF('Données projet'!$A$140&gt;35,CT31+CS32-DB31,IF(A32&lt;'Données projet'!$A$140,$CQ$205^A32,IF(A32='Données projet'!$A$140,'Données projet'!$B$140,CT31+CS32-DB31)))</f>
        <v>111.80000000000003</v>
      </c>
      <c r="CU32" s="18">
        <f>CT32*VLOOKUP('Données projet'!$B$13,Paramètres!$A$1:$I$89,3,0)*VLOOKUP('Données projet'!$B$13,Paramètres!$A$1:$I$89,5,0)</f>
        <v>108.13296000000003</v>
      </c>
      <c r="CV32" s="14">
        <f t="shared" si="41"/>
        <v>28.890658079177882</v>
      </c>
      <c r="CW32" s="22">
        <f t="shared" si="13"/>
        <v>238.64946815456821</v>
      </c>
      <c r="CX32" s="60">
        <f t="shared" si="14"/>
        <v>475.57736547734407</v>
      </c>
      <c r="CY32" s="60">
        <f ca="1">AVERAGE(OFFSET($CX$3,0,0,'Données projet'!$E$13+1,1))-AVERAGE(OFFSET($H$3,0,0,'Données projet'!$E$13+1,1))</f>
        <v>603.52431522262032</v>
      </c>
      <c r="CZ32" s="60">
        <f t="shared" si="42"/>
        <v>313.56299786481338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9.1999999999999993</v>
      </c>
      <c r="DO32" s="13">
        <f>IF('Données projet'!$A$166&gt;35,DO31+DN32-DW31,IF(A32&lt;'Données projet'!$A$166,$DL$205^A32,IF(A32='Données projet'!$A$166,'Données projet'!$B$166,DO31+DN32-DW31)))</f>
        <v>111.80000000000003</v>
      </c>
      <c r="DP32" s="18">
        <f>DO32*VLOOKUP('Données projet'!$B$14,Paramètres!$A$1:$I$89,3,0)*VLOOKUP('Données projet'!$B$14,Paramètres!$A$1:$I$89,5,0)</f>
        <v>120.34152000000002</v>
      </c>
      <c r="DQ32" s="14">
        <f t="shared" si="43"/>
        <v>31.754640046026051</v>
      </c>
      <c r="DR32" s="22">
        <f t="shared" si="16"/>
        <v>264.90081208016204</v>
      </c>
      <c r="DS32" s="60">
        <f t="shared" si="17"/>
        <v>501.82870940293787</v>
      </c>
      <c r="DT32" s="60">
        <f ca="1">AVERAGE(OFFSET($DS$3,0,0,'Données projet'!$E$14+1,1))-AVERAGE(OFFSET($H$3,0,0,'Données projet'!$E$14+1,1))</f>
        <v>661.93515988633499</v>
      </c>
      <c r="DU32" s="60">
        <f t="shared" si="44"/>
        <v>341.9250949809848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9.2307692307692317</v>
      </c>
      <c r="EJ32" s="13">
        <f>IF('Données projet'!$A$192&gt;35,EJ31+EI32-ER31,IF(A32&lt;'Données projet'!$A$192,$EG$205^A32,IF(A32='Données projet'!$A$192,'Données projet'!$B$192,EJ31+EI32-ER31)))</f>
        <v>174.74358974358972</v>
      </c>
      <c r="EK32" s="18">
        <f>EJ32*VLOOKUP('Données projet'!$B$15,Paramètres!$A$1:$I$89,3,0)*VLOOKUP('Données projet'!$B$15,Paramètres!$A$1:$I$89,5,0)</f>
        <v>117.21799999999998</v>
      </c>
      <c r="EL32" s="14">
        <f t="shared" si="45"/>
        <v>31.025260351021213</v>
      </c>
      <c r="EM32" s="22">
        <f t="shared" si="19"/>
        <v>258.19034511136186</v>
      </c>
      <c r="EN32" s="60">
        <f t="shared" si="20"/>
        <v>495.1182424341377</v>
      </c>
      <c r="EO32" s="60">
        <f ca="1">AVERAGE(OFFSET($EN$3,0,0,'Données projet'!$E$15+1,1))-AVERAGE(OFFSET($H$3,0,0,'Données projet'!$E$15+1,1))</f>
        <v>396.0878652679051</v>
      </c>
      <c r="EP32" s="60">
        <f t="shared" si="46"/>
        <v>327.26339199235406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14.260000000000002</v>
      </c>
      <c r="FE32" s="13">
        <f>IF('Données projet'!$A$218&gt;35,FE31+FD32-FM31,IF(A32&lt;'Données projet'!$A$218,$FB$205^A32,IF(A32='Données projet'!$A$218,'Données projet'!$B$218,FE31+FD32-FM31)))</f>
        <v>197.53999999999996</v>
      </c>
      <c r="FF32" s="18">
        <f>FE32*VLOOKUP('Données projet'!$B$16,Paramètres!$A$1:$I$89,3,0)*VLOOKUP('Données projet'!$B$16,Paramètres!$A$1:$I$89,5,0)</f>
        <v>144.83632799999995</v>
      </c>
      <c r="FG32" s="14">
        <f t="shared" si="47"/>
        <v>37.402740912462832</v>
      </c>
      <c r="FH32" s="22">
        <f t="shared" si="22"/>
        <v>317.39971168920596</v>
      </c>
      <c r="FI32" s="60">
        <f t="shared" si="23"/>
        <v>554.32760901198185</v>
      </c>
      <c r="FJ32" s="60">
        <f ca="1">AVERAGE(OFFSET($FI$3,0,0,'Données projet'!$E$16+1,1))-AVERAGE(OFFSET($H$3,0,0,'Données projet'!$E$16+1,1))</f>
        <v>368.35775920359396</v>
      </c>
      <c r="FK32" s="60">
        <f t="shared" si="48"/>
        <v>395.5218438652638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12.2</v>
      </c>
      <c r="FZ32" s="13">
        <f>IF('Données projet'!$A$244&gt;35,FZ31+FY32-GH31,IF(A32&lt;'Données projet'!$A$244,$FW$205^A32,IF(A32='Données projet'!$A$244,'Données projet'!$B$244,FZ31+FY32-GH31)))</f>
        <v>133.80000000000001</v>
      </c>
      <c r="GA32" s="18">
        <f>FZ32*VLOOKUP('Données projet'!$B$17,Paramètres!$A$1:$I$89,3,0)*VLOOKUP('Données projet'!$B$17,Paramètres!$A$1:$I$89,5,0)</f>
        <v>114.80040000000002</v>
      </c>
      <c r="GB32" s="14">
        <f t="shared" si="49"/>
        <v>30.459169258522444</v>
      </c>
      <c r="GC32" s="22">
        <f t="shared" si="25"/>
        <v>252.99374979192666</v>
      </c>
      <c r="GD32" s="60">
        <f t="shared" si="26"/>
        <v>489.92164711470252</v>
      </c>
      <c r="GE32" s="60">
        <f ca="1">AVERAGE(OFFSET($GD$3,0,0,'Données projet'!$E$17+1,1))-AVERAGE(OFFSET($H$3,0,0,'Données projet'!$E$17+1,1))</f>
        <v>701.44583662096022</v>
      </c>
      <c r="GF32" s="60">
        <f t="shared" si="50"/>
        <v>331.25104323342907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8.8000000000000007</v>
      </c>
      <c r="GU32" s="13">
        <f>IF('Données projet'!$A$270&gt;35,GU31+GT32-HC31,IF(A32&lt;'Données projet'!$A$270,$GR$205^A32,IF(A32='Données projet'!$A$270,'Données projet'!$B$270,GU31+GT32-HC31)))</f>
        <v>137.19999999999999</v>
      </c>
      <c r="GV32" s="18">
        <f>GU32*VLOOKUP('Données projet'!$B$18,Paramètres!$A$1:$I$89,3,0)*VLOOKUP('Données projet'!$B$18,Paramètres!$A$1:$I$89,5,0)</f>
        <v>111.29664</v>
      </c>
      <c r="GW32" s="14">
        <f t="shared" si="51"/>
        <v>29.636274399319777</v>
      </c>
      <c r="GX32" s="22">
        <f t="shared" si="28"/>
        <v>245.45815924548194</v>
      </c>
      <c r="GY32" s="60">
        <f t="shared" si="29"/>
        <v>482.3860565682578</v>
      </c>
      <c r="GZ32" s="60">
        <f ca="1">AVERAGE(OFFSET($GY$3,0,0,'Données projet'!$E$18+1,1))-AVERAGE(OFFSET($H$3,0,0,'Données projet'!$E$18+1,1))</f>
        <v>272.69564942740931</v>
      </c>
      <c r="HA32" s="60">
        <f t="shared" si="52"/>
        <v>316.57989180609252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25">
      <c r="A33" s="11">
        <f t="shared" si="31"/>
        <v>30</v>
      </c>
      <c r="B33" s="75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8">
        <f t="shared" si="1"/>
        <v>183.33333333333334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0">
        <f t="shared" si="0"/>
        <v>480.65817058337467</v>
      </c>
      <c r="S33" s="60">
        <f ca="1">AVERAGE(OFFSET($R$3,0,0,'Données projet'!$E$9+1,1))-AVERAGE(OFFSET($H$3,0,0,'Données projet'!$E$9+1,1))</f>
        <v>570.08763950759544</v>
      </c>
      <c r="T33" s="60">
        <f t="shared" si="34"/>
        <v>297.32483725004136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211.8</v>
      </c>
      <c r="AG33" s="13">
        <f>VLOOKUP(A33,'Données projet'!$A$61:$I$81,9,0)</f>
        <v>14.260000000000002</v>
      </c>
      <c r="AH33" s="13">
        <f t="array" ref="AH33">INDEX(AG:AG,MIN(IF(ISNUMBER(AG33:AG229),ROW(AG33:AG229),"")))</f>
        <v>14.260000000000002</v>
      </c>
      <c r="AI33" s="14">
        <f>IF('Données projet'!$A$62&gt;35,AI32+AH33-AQ32,IF(A33&lt;'Données projet'!$A$62,$AF$205^A33,IF(A33='Données projet'!$A$62,'Données projet'!$B$62,AI32+AH33-AQ32)))</f>
        <v>211.79999999999995</v>
      </c>
      <c r="AJ33" s="14">
        <f>AI33*VLOOKUP('Données projet'!$B$10,Paramètres!$A$1:$I$89,3,0)*VLOOKUP('Données projet'!$B$10,Paramètres!$A$1:$I$89,5,0)</f>
        <v>168.50807999999995</v>
      </c>
      <c r="AK33" s="14">
        <f t="shared" si="35"/>
        <v>42.755711908378117</v>
      </c>
      <c r="AL33" s="22">
        <f t="shared" si="4"/>
        <v>367.95110424042514</v>
      </c>
      <c r="AM33" s="60">
        <f t="shared" si="5"/>
        <v>607.05852917346715</v>
      </c>
      <c r="AN33" s="60">
        <f ca="1">AVERAGE(OFFSET($AM$3,0,0,'Données projet'!$E$10+1,1))-AVERAGE(OFFSET($H$3,0,0,'Données projet'!$E$10+1,1))</f>
        <v>394.49874384716014</v>
      </c>
      <c r="AO33" s="60">
        <f t="shared" si="36"/>
        <v>423.72519584013378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70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123.71794871794872</v>
      </c>
      <c r="BB33" s="13">
        <f>VLOOKUP(A33,'Données projet'!$A$87:$I$107,9,0)</f>
        <v>7.4358974358974361</v>
      </c>
      <c r="BC33" s="13">
        <f t="array" ref="BC33">INDEX(BB:BB,MIN(IF(ISNUMBER(BB33:BB229),ROW(BB33:BB229),"")))</f>
        <v>7.4358974358974361</v>
      </c>
      <c r="BD33" s="13">
        <f>IF('Données projet'!$A$88&gt;35,BD32+BC33-BL32,IF(A33&lt;'Données projet'!$A$88,$BA$205^A33,IF(A33='Données projet'!$A$88,'Données projet'!$B$88,BD32+BC33-BL32)))</f>
        <v>123.71794871794872</v>
      </c>
      <c r="BE33" s="14">
        <f>BD33*VLOOKUP('Données projet'!$B$11,Paramètres!$A$1:$I$89,3,0)*VLOOKUP('Données projet'!$B$11,Paramètres!$A$1:$I$89,5,0)</f>
        <v>117.73</v>
      </c>
      <c r="BF33" s="14">
        <f t="shared" si="37"/>
        <v>31.144972039735432</v>
      </c>
      <c r="BG33" s="22">
        <f t="shared" si="7"/>
        <v>259.29057630253919</v>
      </c>
      <c r="BH33" s="60">
        <f t="shared" si="8"/>
        <v>498.39800123558121</v>
      </c>
      <c r="BI33" s="60">
        <f ca="1">AVERAGE(OFFSET($BH$3,0,0,'Données projet'!$E$11+1,1))-AVERAGE(OFFSET($H$3,0,0,'Données projet'!$E$11+1,1))</f>
        <v>441.15969139782891</v>
      </c>
      <c r="BJ33" s="60">
        <f t="shared" si="38"/>
        <v>315.06466790224783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11.5</v>
      </c>
      <c r="BY33" s="13">
        <f>IF('Données projet'!$A$114&gt;35,BY32+BX33-CG32,IF(A33&lt;'Données projet'!$A$114,$BV$205^A33,IF(A33='Données projet'!$A$114,'Données projet'!$B$114,BY32+BX33-CG32)))</f>
        <v>143.49999999999997</v>
      </c>
      <c r="BZ33" s="14">
        <f>BY33*VLOOKUP('Données projet'!$B$12,Paramètres!$A$1:$I$89,3,0)*VLOOKUP('Données projet'!$B$12,Paramètres!$A$1:$I$89,5,0)</f>
        <v>111.92999999999998</v>
      </c>
      <c r="CA33" s="14">
        <f t="shared" si="39"/>
        <v>29.785246291563833</v>
      </c>
      <c r="CB33" s="22">
        <f t="shared" si="10"/>
        <v>246.82072062447358</v>
      </c>
      <c r="CC33" s="60">
        <f t="shared" si="11"/>
        <v>485.92814555751556</v>
      </c>
      <c r="CD33" s="60">
        <f ca="1">AVERAGE(OFFSET($CC$3,0,0,'Données projet'!$E$12+1,1))-AVERAGE(OFFSET($H$3,0,0,'Données projet'!$E$12+1,1))</f>
        <v>312.59632808777332</v>
      </c>
      <c r="CE33" s="60">
        <f t="shared" si="40"/>
        <v>302.59481222418219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121</v>
      </c>
      <c r="CR33" s="13">
        <f>VLOOKUP(A33,'Données projet'!$A$139:$I$159,9,0)</f>
        <v>9.1999999999999993</v>
      </c>
      <c r="CS33" s="13">
        <f t="array" ref="CS33">INDEX(CR:CR,MIN(IF(ISNUMBER(CR33:CR229),ROW(CR33:CR229),"")))</f>
        <v>9.1999999999999993</v>
      </c>
      <c r="CT33" s="13">
        <f>IF('Données projet'!$A$140&gt;35,CT32+CS33-DB32,IF(A33&lt;'Données projet'!$A$140,$CQ$205^A33,IF(A33='Données projet'!$A$140,'Données projet'!$B$140,CT32+CS33-DB32)))</f>
        <v>121.00000000000003</v>
      </c>
      <c r="CU33" s="18">
        <f>CT33*VLOOKUP('Données projet'!$B$13,Paramètres!$A$1:$I$89,3,0)*VLOOKUP('Données projet'!$B$13,Paramètres!$A$1:$I$89,5,0)</f>
        <v>117.03120000000003</v>
      </c>
      <c r="CV33" s="14">
        <f t="shared" si="41"/>
        <v>30.981569147428555</v>
      </c>
      <c r="CW33" s="22">
        <f t="shared" si="13"/>
        <v>257.78890626510474</v>
      </c>
      <c r="CX33" s="60">
        <f t="shared" si="14"/>
        <v>496.89633119814675</v>
      </c>
      <c r="CY33" s="60">
        <f ca="1">AVERAGE(OFFSET($CX$3,0,0,'Données projet'!$E$13+1,1))-AVERAGE(OFFSET($H$3,0,0,'Données projet'!$E$13+1,1))</f>
        <v>603.52431522262032</v>
      </c>
      <c r="CZ33" s="60">
        <f t="shared" si="42"/>
        <v>313.56299786481338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121</v>
      </c>
      <c r="DM33" s="13">
        <f>VLOOKUP(A33,'Données projet'!$A$165:$I$185,9,0)</f>
        <v>9.1999999999999993</v>
      </c>
      <c r="DN33" s="13">
        <f t="array" ref="DN33">INDEX(DM:DM,MIN(IF(ISNUMBER(DM33:DM229),ROW(DM33:DM229),"")))</f>
        <v>9.1999999999999993</v>
      </c>
      <c r="DO33" s="13">
        <f>IF('Données projet'!$A$166&gt;35,DO32+DN33-DW32,IF(A33&lt;'Données projet'!$A$166,$DL$205^A33,IF(A33='Données projet'!$A$166,'Données projet'!$B$166,DO32+DN33-DW32)))</f>
        <v>121.00000000000003</v>
      </c>
      <c r="DP33" s="18">
        <f>DO33*VLOOKUP('Données projet'!$B$14,Paramètres!$A$1:$I$89,3,0)*VLOOKUP('Données projet'!$B$14,Paramètres!$A$1:$I$89,5,0)</f>
        <v>130.24440000000001</v>
      </c>
      <c r="DQ33" s="14">
        <f t="shared" si="43"/>
        <v>34.052826821785409</v>
      </c>
      <c r="DR33" s="22">
        <f t="shared" si="16"/>
        <v>286.15100338127621</v>
      </c>
      <c r="DS33" s="60">
        <f t="shared" si="17"/>
        <v>525.25842831431817</v>
      </c>
      <c r="DT33" s="60">
        <f ca="1">AVERAGE(OFFSET($DS$3,0,0,'Données projet'!$E$14+1,1))-AVERAGE(OFFSET($H$3,0,0,'Données projet'!$E$14+1,1))</f>
        <v>661.93515988633499</v>
      </c>
      <c r="DU33" s="60">
        <f t="shared" si="44"/>
        <v>341.9250949809848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183.97435897435898</v>
      </c>
      <c r="EH33" s="13">
        <f>VLOOKUP(A33,'Données projet'!$A$191:$I$211,9,0)</f>
        <v>9.2307692307692317</v>
      </c>
      <c r="EI33" s="13">
        <f t="array" ref="EI33">INDEX(EH:EH,MIN(IF(ISNUMBER(EH33:EH229),ROW(EH33:EH229),"")))</f>
        <v>9.2307692307692317</v>
      </c>
      <c r="EJ33" s="13">
        <f>IF('Données projet'!$A$192&gt;35,EJ32+EI33-ER32,IF(A33&lt;'Données projet'!$A$192,$EG$205^A33,IF(A33='Données projet'!$A$192,'Données projet'!$B$192,EJ32+EI33-ER32)))</f>
        <v>183.97435897435895</v>
      </c>
      <c r="EK33" s="18">
        <f>EJ33*VLOOKUP('Données projet'!$B$15,Paramètres!$A$1:$I$89,3,0)*VLOOKUP('Données projet'!$B$15,Paramètres!$A$1:$I$89,5,0)</f>
        <v>123.41</v>
      </c>
      <c r="EL33" s="14">
        <f t="shared" si="45"/>
        <v>32.469024148887371</v>
      </c>
      <c r="EM33" s="22">
        <f t="shared" si="19"/>
        <v>271.48930039264548</v>
      </c>
      <c r="EN33" s="60">
        <f t="shared" si="20"/>
        <v>510.59672532568743</v>
      </c>
      <c r="EO33" s="60">
        <f ca="1">AVERAGE(OFFSET($EN$3,0,0,'Données projet'!$E$15+1,1))-AVERAGE(OFFSET($H$3,0,0,'Données projet'!$E$15+1,1))</f>
        <v>396.0878652679051</v>
      </c>
      <c r="EP33" s="60">
        <f t="shared" si="46"/>
        <v>327.26339199235406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39.102564102564102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211.8</v>
      </c>
      <c r="FC33" s="13">
        <f>VLOOKUP(A33,'Données projet'!$A$217:$I$237,9,0)</f>
        <v>14.260000000000002</v>
      </c>
      <c r="FD33" s="13">
        <f t="array" ref="FD33">INDEX(FC:FC,MIN(IF(ISNUMBER(FC33:FC229),ROW(FC33:FC229),"")))</f>
        <v>14.260000000000002</v>
      </c>
      <c r="FE33" s="13">
        <f>IF('Données projet'!$A$218&gt;35,FE32+FD33-FM32,IF(A33&lt;'Données projet'!$A$218,$FB$205^A33,IF(A33='Données projet'!$A$218,'Données projet'!$B$218,FE32+FD33-FM32)))</f>
        <v>211.79999999999995</v>
      </c>
      <c r="FF33" s="18">
        <f>FE33*VLOOKUP('Données projet'!$B$16,Paramètres!$A$1:$I$89,3,0)*VLOOKUP('Données projet'!$B$16,Paramètres!$A$1:$I$89,5,0)</f>
        <v>155.29175999999998</v>
      </c>
      <c r="FG33" s="14">
        <f t="shared" si="47"/>
        <v>39.778719769696814</v>
      </c>
      <c r="FH33" s="22">
        <f t="shared" si="22"/>
        <v>339.74775226555522</v>
      </c>
      <c r="FI33" s="60">
        <f t="shared" si="23"/>
        <v>578.85517719859718</v>
      </c>
      <c r="FJ33" s="60">
        <f ca="1">AVERAGE(OFFSET($FI$3,0,0,'Données projet'!$E$16+1,1))-AVERAGE(OFFSET($H$3,0,0,'Données projet'!$E$16+1,1))</f>
        <v>368.35775920359396</v>
      </c>
      <c r="FK33" s="60">
        <f t="shared" si="48"/>
        <v>395.5218438652638</v>
      </c>
      <c r="FL33" s="16">
        <f>IF(ISNA(VLOOKUP(A33,'Données projet'!$A$217:$I$237,3,0)),0,VLOOKUP(A33,'Données projet'!$A$217:$I$237,3,0))</f>
        <v>2</v>
      </c>
      <c r="FM33" s="16">
        <f>IF(ISNA(VLOOKUP(A33,'Données projet'!$A$217:$I$237,4,0)),0,VLOOKUP(A33,'Données projet'!$A$217:$I$237,4,0))</f>
        <v>70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146</v>
      </c>
      <c r="FX33" s="13">
        <f>VLOOKUP(A33,'Données projet'!$A$243:$I$263,9,0)</f>
        <v>12.2</v>
      </c>
      <c r="FY33" s="13">
        <f t="array" ref="FY33">INDEX(FX:FX,MIN(IF(ISNUMBER(FX33:FX229),ROW(FX33:FX229),"")))</f>
        <v>12.2</v>
      </c>
      <c r="FZ33" s="13">
        <f>IF('Données projet'!$A$244&gt;35,FZ32+FY33-GH32,IF(A33&lt;'Données projet'!$A$244,$FW$205^A33,IF(A33='Données projet'!$A$244,'Données projet'!$B$244,FZ32+FY33-GH32)))</f>
        <v>146</v>
      </c>
      <c r="GA33" s="18">
        <f>FZ33*VLOOKUP('Données projet'!$B$17,Paramètres!$A$1:$I$89,3,0)*VLOOKUP('Données projet'!$B$17,Paramètres!$A$1:$I$89,5,0)</f>
        <v>125.26800000000003</v>
      </c>
      <c r="GB33" s="14">
        <f t="shared" si="49"/>
        <v>32.9005846700787</v>
      </c>
      <c r="GC33" s="22">
        <f t="shared" si="25"/>
        <v>275.47695163372049</v>
      </c>
      <c r="GD33" s="60">
        <f t="shared" si="26"/>
        <v>514.58437656676244</v>
      </c>
      <c r="GE33" s="60">
        <f ca="1">AVERAGE(OFFSET($GD$3,0,0,'Données projet'!$E$17+1,1))-AVERAGE(OFFSET($H$3,0,0,'Données projet'!$E$17+1,1))</f>
        <v>701.44583662096022</v>
      </c>
      <c r="GF33" s="60">
        <f t="shared" si="50"/>
        <v>331.25104323342907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146</v>
      </c>
      <c r="GS33" s="13">
        <f>VLOOKUP(A33,'Données projet'!$A$269:$I$289,9,0)</f>
        <v>8.8000000000000007</v>
      </c>
      <c r="GT33" s="13">
        <f t="array" ref="GT33">INDEX(GS:GS,MIN(IF(ISNUMBER(GS33:GS229),ROW(GS33:GS229),"")))</f>
        <v>8.8000000000000007</v>
      </c>
      <c r="GU33" s="13">
        <f>IF('Données projet'!$A$270&gt;35,GU32+GT33-HC32,IF(A33&lt;'Données projet'!$A$270,$GR$205^A33,IF(A33='Données projet'!$A$270,'Données projet'!$B$270,GU32+GT33-HC32)))</f>
        <v>146</v>
      </c>
      <c r="GV33" s="18">
        <f>GU33*VLOOKUP('Données projet'!$B$18,Paramètres!$A$1:$I$89,3,0)*VLOOKUP('Données projet'!$B$18,Paramètres!$A$1:$I$89,5,0)</f>
        <v>118.43520000000001</v>
      </c>
      <c r="GW33" s="14">
        <f t="shared" si="51"/>
        <v>31.309757056296963</v>
      </c>
      <c r="GX33" s="22">
        <f t="shared" si="28"/>
        <v>260.80580020638394</v>
      </c>
      <c r="GY33" s="60">
        <f t="shared" si="29"/>
        <v>499.91322513942589</v>
      </c>
      <c r="GZ33" s="60">
        <f ca="1">AVERAGE(OFFSET($GY$3,0,0,'Données projet'!$E$18+1,1))-AVERAGE(OFFSET($H$3,0,0,'Données projet'!$E$18+1,1))</f>
        <v>272.69564942740931</v>
      </c>
      <c r="HA33" s="60">
        <f t="shared" si="52"/>
        <v>316.57989180609252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25">
      <c r="A34" s="11">
        <f t="shared" si="31"/>
        <v>31</v>
      </c>
      <c r="B34" s="75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8">
        <f t="shared" si="1"/>
        <v>183.33333333333334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projet'!$B$9,Paramètres!$A$1:$I$89,3,0)*VLOOKUP('Données projet'!$B$9,Paramètres!$A$1:$I$89,5,0)</f>
        <v>119.25264000000003</v>
      </c>
      <c r="P34" s="14">
        <f t="shared" si="33"/>
        <v>31.500626518374375</v>
      </c>
      <c r="Q34" s="22">
        <f t="shared" si="2"/>
        <v>262.56193918616879</v>
      </c>
      <c r="R34" s="60">
        <f t="shared" si="0"/>
        <v>502.61006239898632</v>
      </c>
      <c r="S34" s="60">
        <f ca="1">AVERAGE(OFFSET($R$3,0,0,'Données projet'!$E$9+1,1))-AVERAGE(OFFSET($H$3,0,0,'Données projet'!$E$9+1,1))</f>
        <v>570.08763950759544</v>
      </c>
      <c r="T34" s="60">
        <f t="shared" si="34"/>
        <v>297.32483725004136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12.919999999999998</v>
      </c>
      <c r="AI34" s="14">
        <f>IF('Données projet'!$A$62&gt;35,AI33+AH34-AQ33,IF(A34&lt;'Données projet'!$A$62,$AF$205^A34,IF(A34='Données projet'!$A$62,'Données projet'!$B$62,AI33+AH34-AQ33)))</f>
        <v>154.71999999999994</v>
      </c>
      <c r="AJ34" s="14">
        <f>AI34*VLOOKUP('Données projet'!$B$10,Paramètres!$A$1:$I$89,3,0)*VLOOKUP('Données projet'!$B$10,Paramètres!$A$1:$I$89,5,0)</f>
        <v>123.09523199999997</v>
      </c>
      <c r="AK34" s="14">
        <f t="shared" si="35"/>
        <v>32.395837865893974</v>
      </c>
      <c r="AL34" s="22">
        <f t="shared" si="4"/>
        <v>270.81361334976526</v>
      </c>
      <c r="AM34" s="60">
        <f t="shared" si="5"/>
        <v>510.86173656258279</v>
      </c>
      <c r="AN34" s="60">
        <f ca="1">AVERAGE(OFFSET($AM$3,0,0,'Données projet'!$E$10+1,1))-AVERAGE(OFFSET($H$3,0,0,'Données projet'!$E$10+1,1))</f>
        <v>394.49874384716014</v>
      </c>
      <c r="AO34" s="60">
        <f t="shared" si="36"/>
        <v>423.72519584013378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7.1794871794871797</v>
      </c>
      <c r="BD34" s="13">
        <f>IF('Données projet'!$A$88&gt;35,BD33+BC34-BL33,IF(A34&lt;'Données projet'!$A$88,$BA$205^A34,IF(A34='Données projet'!$A$88,'Données projet'!$B$88,BD33+BC34-BL33)))</f>
        <v>130.89743589743588</v>
      </c>
      <c r="BE34" s="14">
        <f>BD34*VLOOKUP('Données projet'!$B$11,Paramètres!$A$1:$I$89,3,0)*VLOOKUP('Données projet'!$B$11,Paramètres!$A$1:$I$89,5,0)</f>
        <v>124.56199999999998</v>
      </c>
      <c r="BF34" s="14">
        <f t="shared" si="37"/>
        <v>32.736689328514629</v>
      </c>
      <c r="BG34" s="22">
        <f t="shared" si="7"/>
        <v>273.96188391382958</v>
      </c>
      <c r="BH34" s="60">
        <f t="shared" si="8"/>
        <v>514.01000712664711</v>
      </c>
      <c r="BI34" s="60">
        <f ca="1">AVERAGE(OFFSET($BH$3,0,0,'Données projet'!$E$11+1,1))-AVERAGE(OFFSET($H$3,0,0,'Données projet'!$E$11+1,1))</f>
        <v>441.15969139782891</v>
      </c>
      <c r="BJ34" s="60">
        <f t="shared" si="38"/>
        <v>315.06466790224783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>
        <f>VLOOKUP(A34,'Données projet'!$A$113:$I$133,2,0)</f>
        <v>155</v>
      </c>
      <c r="BW34" s="13">
        <f>VLOOKUP(A34,'Données projet'!$A$113:$I$133,9,0)</f>
        <v>11.5</v>
      </c>
      <c r="BX34" s="13">
        <f t="array" ref="BX34">INDEX(BW:BW,MIN(IF(ISNUMBER(BW34:BW230),ROW(BW34:BW230),"")))</f>
        <v>11.5</v>
      </c>
      <c r="BY34" s="13">
        <f>IF('Données projet'!$A$114&gt;35,BY33+BX34-CG33,IF(A34&lt;'Données projet'!$A$114,$BV$205^A34,IF(A34='Données projet'!$A$114,'Données projet'!$B$114,BY33+BX34-CG33)))</f>
        <v>154.99999999999997</v>
      </c>
      <c r="BZ34" s="14">
        <f>BY34*VLOOKUP('Données projet'!$B$12,Paramètres!$A$1:$I$89,3,0)*VLOOKUP('Données projet'!$B$12,Paramètres!$A$1:$I$89,5,0)</f>
        <v>120.89999999999998</v>
      </c>
      <c r="CA34" s="14">
        <f t="shared" si="39"/>
        <v>31.884818143351602</v>
      </c>
      <c r="CB34" s="22">
        <f t="shared" si="10"/>
        <v>266.10022493300397</v>
      </c>
      <c r="CC34" s="60">
        <f t="shared" si="11"/>
        <v>506.1483481458215</v>
      </c>
      <c r="CD34" s="60">
        <f ca="1">AVERAGE(OFFSET($CC$3,0,0,'Données projet'!$E$12+1,1))-AVERAGE(OFFSET($H$3,0,0,'Données projet'!$E$12+1,1))</f>
        <v>312.59632808777332</v>
      </c>
      <c r="CE34" s="60">
        <f t="shared" si="40"/>
        <v>302.59481222418219</v>
      </c>
      <c r="CF34" s="16">
        <f>IF(ISNA(VLOOKUP(A34,'Données projet'!$A$113:$I$133,3,0)),0,VLOOKUP(A34,'Données projet'!$A$113:$I$133,3,0))</f>
        <v>2</v>
      </c>
      <c r="CG34" s="16">
        <f>IF(ISNA(VLOOKUP(A34,'Données projet'!$A$113:$I$133,4,0)),0,VLOOKUP(A34,'Données projet'!$A$113:$I$133,4,0))</f>
        <v>36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10.8</v>
      </c>
      <c r="CT34" s="13">
        <f>IF('Données projet'!$A$140&gt;35,CT33+CS34-DB33,IF(A34&lt;'Données projet'!$A$140,$CQ$205^A34,IF(A34='Données projet'!$A$140,'Données projet'!$B$140,CT33+CS34-DB33)))</f>
        <v>131.80000000000004</v>
      </c>
      <c r="CU34" s="18">
        <f>CT34*VLOOKUP('Données projet'!$B$13,Paramètres!$A$1:$I$89,3,0)*VLOOKUP('Données projet'!$B$13,Paramètres!$A$1:$I$89,5,0)</f>
        <v>127.47696000000003</v>
      </c>
      <c r="CV34" s="14">
        <f t="shared" si="41"/>
        <v>33.412695535466739</v>
      </c>
      <c r="CW34" s="22">
        <f t="shared" si="13"/>
        <v>280.21615005760458</v>
      </c>
      <c r="CX34" s="60">
        <f t="shared" si="14"/>
        <v>520.26427327042211</v>
      </c>
      <c r="CY34" s="60">
        <f ca="1">AVERAGE(OFFSET($CX$3,0,0,'Données projet'!$E$13+1,1))-AVERAGE(OFFSET($H$3,0,0,'Données projet'!$E$13+1,1))</f>
        <v>603.52431522262032</v>
      </c>
      <c r="CZ34" s="60">
        <f t="shared" si="42"/>
        <v>313.56299786481338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10.8</v>
      </c>
      <c r="DO34" s="13">
        <f>IF('Données projet'!$A$166&gt;35,DO33+DN34-DW33,IF(A34&lt;'Données projet'!$A$166,$DL$205^A34,IF(A34='Données projet'!$A$166,'Données projet'!$B$166,DO33+DN34-DW33)))</f>
        <v>131.80000000000004</v>
      </c>
      <c r="DP34" s="18">
        <f>DO34*VLOOKUP('Données projet'!$B$14,Paramètres!$A$1:$I$89,3,0)*VLOOKUP('Données projet'!$B$14,Paramètres!$A$1:$I$89,5,0)</f>
        <v>141.86952000000005</v>
      </c>
      <c r="DQ34" s="14">
        <f t="shared" si="43"/>
        <v>36.724955062927386</v>
      </c>
      <c r="DR34" s="22">
        <f t="shared" si="16"/>
        <v>311.05204406793194</v>
      </c>
      <c r="DS34" s="60">
        <f t="shared" si="17"/>
        <v>551.10016728074947</v>
      </c>
      <c r="DT34" s="60">
        <f ca="1">AVERAGE(OFFSET($DS$3,0,0,'Données projet'!$E$14+1,1))-AVERAGE(OFFSET($H$3,0,0,'Données projet'!$E$14+1,1))</f>
        <v>661.93515988633499</v>
      </c>
      <c r="DU34" s="60">
        <f t="shared" si="44"/>
        <v>341.9250949809848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8.717948717948719</v>
      </c>
      <c r="EJ34" s="13">
        <f>IF('Données projet'!$A$192&gt;35,EJ33+EI34-ER33,IF(A34&lt;'Données projet'!$A$192,$EG$205^A34,IF(A34='Données projet'!$A$192,'Données projet'!$B$192,EJ33+EI34-ER33)))</f>
        <v>153.58974358974359</v>
      </c>
      <c r="EK34" s="18">
        <f>EJ34*VLOOKUP('Données projet'!$B$15,Paramètres!$A$1:$I$89,3,0)*VLOOKUP('Données projet'!$B$15,Paramètres!$A$1:$I$89,5,0)</f>
        <v>103.02800000000001</v>
      </c>
      <c r="EL34" s="14">
        <f t="shared" si="45"/>
        <v>27.682119609309797</v>
      </c>
      <c r="EM34" s="22">
        <f t="shared" si="19"/>
        <v>227.65345831954789</v>
      </c>
      <c r="EN34" s="60">
        <f t="shared" si="20"/>
        <v>467.70158153236548</v>
      </c>
      <c r="EO34" s="60">
        <f ca="1">AVERAGE(OFFSET($EN$3,0,0,'Données projet'!$E$15+1,1))-AVERAGE(OFFSET($H$3,0,0,'Données projet'!$E$15+1,1))</f>
        <v>396.0878652679051</v>
      </c>
      <c r="EP34" s="60">
        <f t="shared" si="46"/>
        <v>327.26339199235406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12.919999999999998</v>
      </c>
      <c r="FE34" s="13">
        <f>IF('Données projet'!$A$218&gt;35,FE33+FD34-FM33,IF(A34&lt;'Données projet'!$A$218,$FB$205^A34,IF(A34='Données projet'!$A$218,'Données projet'!$B$218,FE33+FD34-FM33)))</f>
        <v>154.71999999999994</v>
      </c>
      <c r="FF34" s="18">
        <f>FE34*VLOOKUP('Données projet'!$B$16,Paramètres!$A$1:$I$89,3,0)*VLOOKUP('Données projet'!$B$16,Paramètres!$A$1:$I$89,5,0)</f>
        <v>113.44070399999997</v>
      </c>
      <c r="FG34" s="14">
        <f t="shared" si="47"/>
        <v>30.140182414303599</v>
      </c>
      <c r="FH34" s="22">
        <f t="shared" si="22"/>
        <v>250.07004383824537</v>
      </c>
      <c r="FI34" s="60">
        <f t="shared" si="23"/>
        <v>490.11816705106293</v>
      </c>
      <c r="FJ34" s="60">
        <f ca="1">AVERAGE(OFFSET($FI$3,0,0,'Données projet'!$E$16+1,1))-AVERAGE(OFFSET($H$3,0,0,'Données projet'!$E$16+1,1))</f>
        <v>368.35775920359396</v>
      </c>
      <c r="FK34" s="60">
        <f t="shared" si="48"/>
        <v>395.5218438652638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12.8</v>
      </c>
      <c r="FZ34" s="13">
        <f>IF('Données projet'!$A$244&gt;35,FZ33+FY34-GH33,IF(A34&lt;'Données projet'!$A$244,$FW$205^A34,IF(A34='Données projet'!$A$244,'Données projet'!$B$244,FZ33+FY34-GH33)))</f>
        <v>158.80000000000001</v>
      </c>
      <c r="GA34" s="18">
        <f>FZ34*VLOOKUP('Données projet'!$B$17,Paramètres!$A$1:$I$89,3,0)*VLOOKUP('Données projet'!$B$17,Paramètres!$A$1:$I$89,5,0)</f>
        <v>136.25040000000004</v>
      </c>
      <c r="GB34" s="14">
        <f t="shared" si="49"/>
        <v>35.436672304560773</v>
      </c>
      <c r="GC34" s="22">
        <f t="shared" si="25"/>
        <v>299.0216509304434</v>
      </c>
      <c r="GD34" s="60">
        <f t="shared" si="26"/>
        <v>539.06977414326093</v>
      </c>
      <c r="GE34" s="60">
        <f ca="1">AVERAGE(OFFSET($GD$3,0,0,'Données projet'!$E$17+1,1))-AVERAGE(OFFSET($H$3,0,0,'Données projet'!$E$17+1,1))</f>
        <v>701.44583662096022</v>
      </c>
      <c r="GF34" s="60">
        <f t="shared" si="50"/>
        <v>331.25104323342907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8.8000000000000007</v>
      </c>
      <c r="GU34" s="13">
        <f>IF('Données projet'!$A$270&gt;35,GU33+GT34-HC33,IF(A34&lt;'Données projet'!$A$270,$GR$205^A34,IF(A34='Données projet'!$A$270,'Données projet'!$B$270,GU33+GT34-HC33)))</f>
        <v>154.80000000000001</v>
      </c>
      <c r="GV34" s="18">
        <f>GU34*VLOOKUP('Données projet'!$B$18,Paramètres!$A$1:$I$89,3,0)*VLOOKUP('Données projet'!$B$18,Paramètres!$A$1:$I$89,5,0)</f>
        <v>125.57376000000002</v>
      </c>
      <c r="GW34" s="14">
        <f t="shared" si="51"/>
        <v>32.97153235129214</v>
      </c>
      <c r="GX34" s="22">
        <f t="shared" si="28"/>
        <v>276.13305084516719</v>
      </c>
      <c r="GY34" s="60">
        <f t="shared" si="29"/>
        <v>516.18117405798478</v>
      </c>
      <c r="GZ34" s="60">
        <f ca="1">AVERAGE(OFFSET($GY$3,0,0,'Données projet'!$E$18+1,1))-AVERAGE(OFFSET($H$3,0,0,'Données projet'!$E$18+1,1))</f>
        <v>272.69564942740931</v>
      </c>
      <c r="HA34" s="60">
        <f t="shared" si="52"/>
        <v>316.57989180609252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25">
      <c r="A35" s="11">
        <f t="shared" si="31"/>
        <v>32</v>
      </c>
      <c r="B35" s="75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8">
        <f t="shared" si="1"/>
        <v>183.33333333333334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projet'!$B$9,Paramètres!$A$1:$I$89,3,0)*VLOOKUP('Données projet'!$B$9,Paramètres!$A$1:$I$89,5,0)</f>
        <v>129.02448000000004</v>
      </c>
      <c r="P35" s="14">
        <f t="shared" si="33"/>
        <v>33.770846580616279</v>
      </c>
      <c r="Q35" s="22">
        <f t="shared" ref="Q35:Q66" si="53">(O35+P35)*0.475*44/12</f>
        <v>283.53519379457339</v>
      </c>
      <c r="R35" s="60">
        <f t="shared" si="0"/>
        <v>524.50769627509874</v>
      </c>
      <c r="S35" s="60">
        <f ca="1">AVERAGE(OFFSET($R$3,0,0,'Données projet'!$E$9+1,1))-AVERAGE(OFFSET($H$3,0,0,'Données projet'!$E$9+1,1))</f>
        <v>570.08763950759544</v>
      </c>
      <c r="T35" s="60">
        <f t="shared" si="34"/>
        <v>297.32483725004136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12.919999999999998</v>
      </c>
      <c r="AI35" s="14">
        <f>IF('Données projet'!$A$62&gt;35,AI34+AH35-AQ34,IF(A35&lt;'Données projet'!$A$62,$AF$205^A35,IF(A35='Données projet'!$A$62,'Données projet'!$B$62,AI34+AH35-AQ34)))</f>
        <v>167.63999999999993</v>
      </c>
      <c r="AJ35" s="14">
        <f>AI35*VLOOKUP('Données projet'!$B$10,Paramètres!$A$1:$I$89,3,0)*VLOOKUP('Données projet'!$B$10,Paramètres!$A$1:$I$89,5,0)</f>
        <v>133.37438399999996</v>
      </c>
      <c r="AK35" s="14">
        <f t="shared" si="35"/>
        <v>34.774913711031935</v>
      </c>
      <c r="AL35" s="22">
        <f t="shared" si="4"/>
        <v>292.86002684671388</v>
      </c>
      <c r="AM35" s="60">
        <f t="shared" si="5"/>
        <v>533.83252932723917</v>
      </c>
      <c r="AN35" s="60">
        <f ca="1">AVERAGE(OFFSET($AM$3,0,0,'Données projet'!$E$10+1,1))-AVERAGE(OFFSET($H$3,0,0,'Données projet'!$E$10+1,1))</f>
        <v>394.49874384716014</v>
      </c>
      <c r="AO35" s="60">
        <f t="shared" si="36"/>
        <v>423.72519584013378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7.1794871794871797</v>
      </c>
      <c r="BD35" s="13">
        <f>IF('Données projet'!$A$88&gt;35,BD34+BC35-BL34,IF(A35&lt;'Données projet'!$A$88,$BA$205^A35,IF(A35='Données projet'!$A$88,'Données projet'!$B$88,BD34+BC35-BL34)))</f>
        <v>138.07692307692307</v>
      </c>
      <c r="BE35" s="14">
        <f>BD35*VLOOKUP('Données projet'!$B$11,Paramètres!$A$1:$I$89,3,0)*VLOOKUP('Données projet'!$B$11,Paramètres!$A$1:$I$89,5,0)</f>
        <v>131.39400000000001</v>
      </c>
      <c r="BF35" s="14">
        <f t="shared" si="37"/>
        <v>34.318271576212204</v>
      </c>
      <c r="BG35" s="22">
        <f t="shared" si="7"/>
        <v>288.61553966190291</v>
      </c>
      <c r="BH35" s="60">
        <f t="shared" si="8"/>
        <v>529.58804214242821</v>
      </c>
      <c r="BI35" s="60">
        <f ca="1">AVERAGE(OFFSET($BH$3,0,0,'Données projet'!$E$11+1,1))-AVERAGE(OFFSET($H$3,0,0,'Données projet'!$E$11+1,1))</f>
        <v>441.15969139782891</v>
      </c>
      <c r="BJ35" s="60">
        <f t="shared" si="38"/>
        <v>315.06466790224783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11.5</v>
      </c>
      <c r="BY35" s="13">
        <f>IF('Données projet'!$A$114&gt;35,BY34+BX35-CG34,IF(A35&lt;'Données projet'!$A$114,$BV$205^A35,IF(A35='Données projet'!$A$114,'Données projet'!$B$114,BY34+BX35-CG34)))</f>
        <v>130.49999999999997</v>
      </c>
      <c r="BZ35" s="14">
        <f>BY35*VLOOKUP('Données projet'!$B$12,Paramètres!$A$1:$I$89,3,0)*VLOOKUP('Données projet'!$B$12,Paramètres!$A$1:$I$89,5,0)</f>
        <v>101.78999999999998</v>
      </c>
      <c r="CA35" s="14">
        <f t="shared" si="39"/>
        <v>27.38799903683508</v>
      </c>
      <c r="CB35" s="22">
        <f t="shared" si="10"/>
        <v>224.98501498915437</v>
      </c>
      <c r="CC35" s="60">
        <f t="shared" si="11"/>
        <v>465.95751746967971</v>
      </c>
      <c r="CD35" s="60">
        <f ca="1">AVERAGE(OFFSET($CC$3,0,0,'Données projet'!$E$12+1,1))-AVERAGE(OFFSET($H$3,0,0,'Données projet'!$E$12+1,1))</f>
        <v>312.59632808777332</v>
      </c>
      <c r="CE35" s="60">
        <f t="shared" si="40"/>
        <v>302.59481222418219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10.8</v>
      </c>
      <c r="CT35" s="13">
        <f>IF('Données projet'!$A$140&gt;35,CT34+CS35-DB34,IF(A35&lt;'Données projet'!$A$140,$CQ$205^A35,IF(A35='Données projet'!$A$140,'Données projet'!$B$140,CT34+CS35-DB34)))</f>
        <v>142.60000000000005</v>
      </c>
      <c r="CU35" s="18">
        <f>CT35*VLOOKUP('Données projet'!$B$13,Paramètres!$A$1:$I$89,3,0)*VLOOKUP('Données projet'!$B$13,Paramètres!$A$1:$I$89,5,0)</f>
        <v>137.92272000000006</v>
      </c>
      <c r="CV35" s="14">
        <f t="shared" si="41"/>
        <v>35.82071658526872</v>
      </c>
      <c r="CW35" s="22">
        <f t="shared" si="13"/>
        <v>302.60315205267642</v>
      </c>
      <c r="CX35" s="60">
        <f t="shared" si="14"/>
        <v>543.57565453320171</v>
      </c>
      <c r="CY35" s="60">
        <f ca="1">AVERAGE(OFFSET($CX$3,0,0,'Données projet'!$E$13+1,1))-AVERAGE(OFFSET($H$3,0,0,'Données projet'!$E$13+1,1))</f>
        <v>603.52431522262032</v>
      </c>
      <c r="CZ35" s="60">
        <f t="shared" si="42"/>
        <v>313.56299786481338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10.8</v>
      </c>
      <c r="DO35" s="13">
        <f>IF('Données projet'!$A$166&gt;35,DO34+DN35-DW34,IF(A35&lt;'Données projet'!$A$166,$DL$205^A35,IF(A35='Données projet'!$A$166,'Données projet'!$B$166,DO34+DN35-DW34)))</f>
        <v>142.60000000000005</v>
      </c>
      <c r="DP35" s="18">
        <f>DO35*VLOOKUP('Données projet'!$B$14,Paramètres!$A$1:$I$89,3,0)*VLOOKUP('Données projet'!$B$14,Paramètres!$A$1:$I$89,5,0)</f>
        <v>153.49464000000006</v>
      </c>
      <c r="DQ35" s="14">
        <f t="shared" si="43"/>
        <v>39.371687492841382</v>
      </c>
      <c r="DR35" s="22">
        <f t="shared" si="16"/>
        <v>335.90885371669884</v>
      </c>
      <c r="DS35" s="60">
        <f t="shared" si="17"/>
        <v>576.88135619722414</v>
      </c>
      <c r="DT35" s="60">
        <f ca="1">AVERAGE(OFFSET($DS$3,0,0,'Données projet'!$E$14+1,1))-AVERAGE(OFFSET($H$3,0,0,'Données projet'!$E$14+1,1))</f>
        <v>661.93515988633499</v>
      </c>
      <c r="DU35" s="60">
        <f t="shared" si="44"/>
        <v>341.9250949809848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8.717948717948719</v>
      </c>
      <c r="EJ35" s="13">
        <f>IF('Données projet'!$A$192&gt;35,EJ34+EI35-ER34,IF(A35&lt;'Données projet'!$A$192,$EG$205^A35,IF(A35='Données projet'!$A$192,'Données projet'!$B$192,EJ34+EI35-ER34)))</f>
        <v>162.30769230769232</v>
      </c>
      <c r="EK35" s="18">
        <f>EJ35*VLOOKUP('Données projet'!$B$15,Paramètres!$A$1:$I$89,3,0)*VLOOKUP('Données projet'!$B$15,Paramètres!$A$1:$I$89,5,0)</f>
        <v>108.87600000000002</v>
      </c>
      <c r="EL35" s="14">
        <f t="shared" si="45"/>
        <v>29.066003313709242</v>
      </c>
      <c r="EM35" s="22">
        <f t="shared" si="19"/>
        <v>240.24898910471029</v>
      </c>
      <c r="EN35" s="60">
        <f t="shared" si="20"/>
        <v>481.22149158523564</v>
      </c>
      <c r="EO35" s="60">
        <f ca="1">AVERAGE(OFFSET($EN$3,0,0,'Données projet'!$E$15+1,1))-AVERAGE(OFFSET($H$3,0,0,'Données projet'!$E$15+1,1))</f>
        <v>396.0878652679051</v>
      </c>
      <c r="EP35" s="60">
        <f t="shared" si="46"/>
        <v>327.26339199235406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12.919999999999998</v>
      </c>
      <c r="FE35" s="13">
        <f>IF('Données projet'!$A$218&gt;35,FE34+FD35-FM34,IF(A35&lt;'Données projet'!$A$218,$FB$205^A35,IF(A35='Données projet'!$A$218,'Données projet'!$B$218,FE34+FD35-FM34)))</f>
        <v>167.63999999999993</v>
      </c>
      <c r="FF35" s="18">
        <f>FE35*VLOOKUP('Données projet'!$B$16,Paramètres!$A$1:$I$89,3,0)*VLOOKUP('Données projet'!$B$16,Paramètres!$A$1:$I$89,5,0)</f>
        <v>122.91364799999994</v>
      </c>
      <c r="FG35" s="14">
        <f t="shared" si="47"/>
        <v>32.353608109504151</v>
      </c>
      <c r="FH35" s="22">
        <f t="shared" si="22"/>
        <v>270.42380439071962</v>
      </c>
      <c r="FI35" s="60">
        <f t="shared" si="23"/>
        <v>511.39630687124497</v>
      </c>
      <c r="FJ35" s="60">
        <f ca="1">AVERAGE(OFFSET($FI$3,0,0,'Données projet'!$E$16+1,1))-AVERAGE(OFFSET($H$3,0,0,'Données projet'!$E$16+1,1))</f>
        <v>368.35775920359396</v>
      </c>
      <c r="FK35" s="60">
        <f t="shared" si="48"/>
        <v>395.5218438652638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12.8</v>
      </c>
      <c r="FZ35" s="13">
        <f>IF('Données projet'!$A$244&gt;35,FZ34+FY35-GH34,IF(A35&lt;'Données projet'!$A$244,$FW$205^A35,IF(A35='Données projet'!$A$244,'Données projet'!$B$244,FZ34+FY35-GH34)))</f>
        <v>171.60000000000002</v>
      </c>
      <c r="GA35" s="18">
        <f>FZ35*VLOOKUP('Données projet'!$B$17,Paramètres!$A$1:$I$89,3,0)*VLOOKUP('Données projet'!$B$17,Paramètres!$A$1:$I$89,5,0)</f>
        <v>147.23280000000005</v>
      </c>
      <c r="GB35" s="14">
        <f t="shared" si="49"/>
        <v>37.949049623906205</v>
      </c>
      <c r="GC35" s="22">
        <f t="shared" si="25"/>
        <v>322.52505476163668</v>
      </c>
      <c r="GD35" s="60">
        <f t="shared" si="26"/>
        <v>563.49755724216197</v>
      </c>
      <c r="GE35" s="60">
        <f ca="1">AVERAGE(OFFSET($GD$3,0,0,'Données projet'!$E$17+1,1))-AVERAGE(OFFSET($H$3,0,0,'Données projet'!$E$17+1,1))</f>
        <v>701.44583662096022</v>
      </c>
      <c r="GF35" s="60">
        <f t="shared" si="50"/>
        <v>331.25104323342907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8.8000000000000007</v>
      </c>
      <c r="GU35" s="13">
        <f>IF('Données projet'!$A$270&gt;35,GU34+GT35-HC34,IF(A35&lt;'Données projet'!$A$270,$GR$205^A35,IF(A35='Données projet'!$A$270,'Données projet'!$B$270,GU34+GT35-HC34)))</f>
        <v>163.60000000000002</v>
      </c>
      <c r="GV35" s="18">
        <f>GU35*VLOOKUP('Données projet'!$B$18,Paramètres!$A$1:$I$89,3,0)*VLOOKUP('Données projet'!$B$18,Paramètres!$A$1:$I$89,5,0)</f>
        <v>132.71232000000003</v>
      </c>
      <c r="GW35" s="14">
        <f t="shared" si="51"/>
        <v>34.622341655285041</v>
      </c>
      <c r="GX35" s="22">
        <f t="shared" si="28"/>
        <v>291.44120238295483</v>
      </c>
      <c r="GY35" s="60">
        <f t="shared" si="29"/>
        <v>532.41370486348012</v>
      </c>
      <c r="GZ35" s="60">
        <f ca="1">AVERAGE(OFFSET($GY$3,0,0,'Données projet'!$E$18+1,1))-AVERAGE(OFFSET($H$3,0,0,'Données projet'!$E$18+1,1))</f>
        <v>272.69564942740931</v>
      </c>
      <c r="HA35" s="60">
        <f t="shared" si="52"/>
        <v>316.57989180609252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25">
      <c r="A36" s="11">
        <f t="shared" si="31"/>
        <v>33</v>
      </c>
      <c r="B36" s="75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8">
        <f t="shared" si="1"/>
        <v>183.33333333333334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projet'!$B$9,Paramètres!$A$1:$I$89,3,0)*VLOOKUP('Données projet'!$B$9,Paramètres!$A$1:$I$89,5,0)</f>
        <v>138.79632000000007</v>
      </c>
      <c r="P36" s="14">
        <f t="shared" si="33"/>
        <v>36.021120886354588</v>
      </c>
      <c r="Q36" s="22">
        <f t="shared" si="53"/>
        <v>304.47370954373434</v>
      </c>
      <c r="R36" s="60">
        <f t="shared" si="0"/>
        <v>546.35455537827511</v>
      </c>
      <c r="S36" s="60">
        <f ca="1">AVERAGE(OFFSET($R$3,0,0,'Données projet'!$E$9+1,1))-AVERAGE(OFFSET($H$3,0,0,'Données projet'!$E$9+1,1))</f>
        <v>570.08763950759544</v>
      </c>
      <c r="T36" s="60">
        <f t="shared" si="34"/>
        <v>297.32483725004136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12.919999999999998</v>
      </c>
      <c r="AI36" s="14">
        <f>IF('Données projet'!$A$62&gt;35,AI35+AH36-AQ35,IF(A36&lt;'Données projet'!$A$62,$AF$205^A36,IF(A36='Données projet'!$A$62,'Données projet'!$B$62,AI35+AH36-AQ35)))</f>
        <v>180.55999999999992</v>
      </c>
      <c r="AJ36" s="14">
        <f>AI36*VLOOKUP('Données projet'!$B$10,Paramètres!$A$1:$I$89,3,0)*VLOOKUP('Données projet'!$B$10,Paramètres!$A$1:$I$89,5,0)</f>
        <v>143.65353599999995</v>
      </c>
      <c r="AK36" s="14">
        <f t="shared" si="35"/>
        <v>37.132720247116019</v>
      </c>
      <c r="AL36" s="22">
        <f t="shared" si="4"/>
        <v>314.86939629706029</v>
      </c>
      <c r="AM36" s="60">
        <f t="shared" si="5"/>
        <v>556.750242131601</v>
      </c>
      <c r="AN36" s="60">
        <f ca="1">AVERAGE(OFFSET($AM$3,0,0,'Données projet'!$E$10+1,1))-AVERAGE(OFFSET($H$3,0,0,'Données projet'!$E$10+1,1))</f>
        <v>394.49874384716014</v>
      </c>
      <c r="AO36" s="60">
        <f t="shared" si="36"/>
        <v>423.72519584013378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7.1794871794871797</v>
      </c>
      <c r="BD36" s="13">
        <f>IF('Données projet'!$A$88&gt;35,BD35+BC36-BL35,IF(A36&lt;'Données projet'!$A$88,$BA$205^A36,IF(A36='Données projet'!$A$88,'Données projet'!$B$88,BD35+BC36-BL35)))</f>
        <v>145.25641025641025</v>
      </c>
      <c r="BE36" s="14">
        <f>BD36*VLOOKUP('Données projet'!$B$11,Paramètres!$A$1:$I$89,3,0)*VLOOKUP('Données projet'!$B$11,Paramètres!$A$1:$I$89,5,0)</f>
        <v>138.22599999999997</v>
      </c>
      <c r="BF36" s="14">
        <f t="shared" si="37"/>
        <v>35.890305873918834</v>
      </c>
      <c r="BG36" s="22">
        <f t="shared" si="7"/>
        <v>303.25256606374194</v>
      </c>
      <c r="BH36" s="60">
        <f t="shared" si="8"/>
        <v>545.1334118982827</v>
      </c>
      <c r="BI36" s="60">
        <f ca="1">AVERAGE(OFFSET($BH$3,0,0,'Données projet'!$E$11+1,1))-AVERAGE(OFFSET($H$3,0,0,'Données projet'!$E$11+1,1))</f>
        <v>441.15969139782891</v>
      </c>
      <c r="BJ36" s="60">
        <f t="shared" si="38"/>
        <v>315.06466790224783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11.5</v>
      </c>
      <c r="BY36" s="13">
        <f>IF('Données projet'!$A$114&gt;35,BY35+BX36-CG35,IF(A36&lt;'Données projet'!$A$114,$BV$205^A36,IF(A36='Données projet'!$A$114,'Données projet'!$B$114,BY35+BX36-CG35)))</f>
        <v>141.99999999999997</v>
      </c>
      <c r="BZ36" s="14">
        <f>BY36*VLOOKUP('Données projet'!$B$12,Paramètres!$A$1:$I$89,3,0)*VLOOKUP('Données projet'!$B$12,Paramètres!$A$1:$I$89,5,0)</f>
        <v>110.75999999999998</v>
      </c>
      <c r="CA36" s="14">
        <f t="shared" si="39"/>
        <v>29.509974682362923</v>
      </c>
      <c r="CB36" s="22">
        <f t="shared" si="10"/>
        <v>244.30353923844871</v>
      </c>
      <c r="CC36" s="60">
        <f t="shared" si="11"/>
        <v>486.18438507298947</v>
      </c>
      <c r="CD36" s="60">
        <f ca="1">AVERAGE(OFFSET($CC$3,0,0,'Données projet'!$E$12+1,1))-AVERAGE(OFFSET($H$3,0,0,'Données projet'!$E$12+1,1))</f>
        <v>312.59632808777332</v>
      </c>
      <c r="CE36" s="60">
        <f t="shared" si="40"/>
        <v>302.59481222418219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10.8</v>
      </c>
      <c r="CT36" s="13">
        <f>IF('Données projet'!$A$140&gt;35,CT35+CS36-DB35,IF(A36&lt;'Données projet'!$A$140,$CQ$205^A36,IF(A36='Données projet'!$A$140,'Données projet'!$B$140,CT35+CS36-DB35)))</f>
        <v>153.40000000000006</v>
      </c>
      <c r="CU36" s="18">
        <f>CT36*VLOOKUP('Données projet'!$B$13,Paramètres!$A$1:$I$89,3,0)*VLOOKUP('Données projet'!$B$13,Paramètres!$A$1:$I$89,5,0)</f>
        <v>148.36848000000006</v>
      </c>
      <c r="CV36" s="14">
        <f t="shared" si="41"/>
        <v>38.207581183185937</v>
      </c>
      <c r="CW36" s="22">
        <f t="shared" si="13"/>
        <v>324.95330656071559</v>
      </c>
      <c r="CX36" s="60">
        <f t="shared" si="14"/>
        <v>566.8341523952563</v>
      </c>
      <c r="CY36" s="60">
        <f ca="1">AVERAGE(OFFSET($CX$3,0,0,'Données projet'!$E$13+1,1))-AVERAGE(OFFSET($H$3,0,0,'Données projet'!$E$13+1,1))</f>
        <v>603.52431522262032</v>
      </c>
      <c r="CZ36" s="60">
        <f t="shared" si="42"/>
        <v>313.56299786481338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10.8</v>
      </c>
      <c r="DO36" s="13">
        <f>IF('Données projet'!$A$166&gt;35,DO35+DN36-DW35,IF(A36&lt;'Données projet'!$A$166,$DL$205^A36,IF(A36='Données projet'!$A$166,'Données projet'!$B$166,DO35+DN36-DW35)))</f>
        <v>153.40000000000006</v>
      </c>
      <c r="DP36" s="18">
        <f>DO36*VLOOKUP('Données projet'!$B$14,Paramètres!$A$1:$I$89,3,0)*VLOOKUP('Données projet'!$B$14,Paramètres!$A$1:$I$89,5,0)</f>
        <v>165.11976000000004</v>
      </c>
      <c r="DQ36" s="14">
        <f t="shared" si="43"/>
        <v>41.995166194425131</v>
      </c>
      <c r="DR36" s="22">
        <f t="shared" si="16"/>
        <v>360.72516312195717</v>
      </c>
      <c r="DS36" s="60">
        <f t="shared" si="17"/>
        <v>602.60600895649793</v>
      </c>
      <c r="DT36" s="60">
        <f ca="1">AVERAGE(OFFSET($DS$3,0,0,'Données projet'!$E$14+1,1))-AVERAGE(OFFSET($H$3,0,0,'Données projet'!$E$14+1,1))</f>
        <v>661.93515988633499</v>
      </c>
      <c r="DU36" s="60">
        <f t="shared" si="44"/>
        <v>341.9250949809848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8.717948717948719</v>
      </c>
      <c r="EJ36" s="13">
        <f>IF('Données projet'!$A$192&gt;35,EJ35+EI36-ER35,IF(A36&lt;'Données projet'!$A$192,$EG$205^A36,IF(A36='Données projet'!$A$192,'Données projet'!$B$192,EJ35+EI36-ER35)))</f>
        <v>171.02564102564105</v>
      </c>
      <c r="EK36" s="18">
        <f>EJ36*VLOOKUP('Données projet'!$B$15,Paramètres!$A$1:$I$89,3,0)*VLOOKUP('Données projet'!$B$15,Paramètres!$A$1:$I$89,5,0)</f>
        <v>114.72400000000003</v>
      </c>
      <c r="EL36" s="14">
        <f t="shared" si="45"/>
        <v>30.441257404392591</v>
      </c>
      <c r="EM36" s="22">
        <f t="shared" si="19"/>
        <v>252.82948997931717</v>
      </c>
      <c r="EN36" s="60">
        <f t="shared" si="20"/>
        <v>494.71033581385791</v>
      </c>
      <c r="EO36" s="60">
        <f ca="1">AVERAGE(OFFSET($EN$3,0,0,'Données projet'!$E$15+1,1))-AVERAGE(OFFSET($H$3,0,0,'Données projet'!$E$15+1,1))</f>
        <v>396.0878652679051</v>
      </c>
      <c r="EP36" s="60">
        <f t="shared" si="46"/>
        <v>327.26339199235406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12.919999999999998</v>
      </c>
      <c r="FE36" s="13">
        <f>IF('Données projet'!$A$218&gt;35,FE35+FD36-FM35,IF(A36&lt;'Données projet'!$A$218,$FB$205^A36,IF(A36='Données projet'!$A$218,'Données projet'!$B$218,FE35+FD36-FM35)))</f>
        <v>180.55999999999992</v>
      </c>
      <c r="FF36" s="18">
        <f>FE36*VLOOKUP('Données projet'!$B$16,Paramètres!$A$1:$I$89,3,0)*VLOOKUP('Données projet'!$B$16,Paramètres!$A$1:$I$89,5,0)</f>
        <v>132.38659199999992</v>
      </c>
      <c r="FG36" s="14">
        <f t="shared" si="47"/>
        <v>34.547245433823143</v>
      </c>
      <c r="FH36" s="22">
        <f t="shared" si="22"/>
        <v>290.74310019724186</v>
      </c>
      <c r="FI36" s="60">
        <f t="shared" si="23"/>
        <v>532.62394603178257</v>
      </c>
      <c r="FJ36" s="60">
        <f ca="1">AVERAGE(OFFSET($FI$3,0,0,'Données projet'!$E$16+1,1))-AVERAGE(OFFSET($H$3,0,0,'Données projet'!$E$16+1,1))</f>
        <v>368.35775920359396</v>
      </c>
      <c r="FK36" s="60">
        <f t="shared" si="48"/>
        <v>395.5218438652638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12.8</v>
      </c>
      <c r="FZ36" s="13">
        <f>IF('Données projet'!$A$244&gt;35,FZ35+FY36-GH35,IF(A36&lt;'Données projet'!$A$244,$FW$205^A36,IF(A36='Données projet'!$A$244,'Données projet'!$B$244,FZ35+FY36-GH35)))</f>
        <v>184.40000000000003</v>
      </c>
      <c r="GA36" s="18">
        <f>FZ36*VLOOKUP('Données projet'!$B$17,Paramètres!$A$1:$I$89,3,0)*VLOOKUP('Données projet'!$B$17,Paramètres!$A$1:$I$89,5,0)</f>
        <v>158.21520000000004</v>
      </c>
      <c r="GB36" s="14">
        <f t="shared" si="49"/>
        <v>40.439686338648897</v>
      </c>
      <c r="GC36" s="22">
        <f t="shared" si="25"/>
        <v>345.99059370648024</v>
      </c>
      <c r="GD36" s="60">
        <f t="shared" si="26"/>
        <v>587.871439541021</v>
      </c>
      <c r="GE36" s="60">
        <f ca="1">AVERAGE(OFFSET($GD$3,0,0,'Données projet'!$E$17+1,1))-AVERAGE(OFFSET($H$3,0,0,'Données projet'!$E$17+1,1))</f>
        <v>701.44583662096022</v>
      </c>
      <c r="GF36" s="60">
        <f t="shared" si="50"/>
        <v>331.25104323342907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8.8000000000000007</v>
      </c>
      <c r="GU36" s="13">
        <f>IF('Données projet'!$A$270&gt;35,GU35+GT36-HC35,IF(A36&lt;'Données projet'!$A$270,$GR$205^A36,IF(A36='Données projet'!$A$270,'Données projet'!$B$270,GU35+GT36-HC35)))</f>
        <v>172.40000000000003</v>
      </c>
      <c r="GV36" s="18">
        <f>GU36*VLOOKUP('Données projet'!$B$18,Paramètres!$A$1:$I$89,3,0)*VLOOKUP('Données projet'!$B$18,Paramètres!$A$1:$I$89,5,0)</f>
        <v>139.85088000000005</v>
      </c>
      <c r="GW36" s="14">
        <f t="shared" si="51"/>
        <v>36.262842078476233</v>
      </c>
      <c r="GX36" s="22">
        <f t="shared" si="28"/>
        <v>306.7313992866795</v>
      </c>
      <c r="GY36" s="60">
        <f t="shared" si="29"/>
        <v>548.61224512122021</v>
      </c>
      <c r="GZ36" s="60">
        <f ca="1">AVERAGE(OFFSET($GY$3,0,0,'Données projet'!$E$18+1,1))-AVERAGE(OFFSET($H$3,0,0,'Données projet'!$E$18+1,1))</f>
        <v>272.69564942740931</v>
      </c>
      <c r="HA36" s="60">
        <f t="shared" si="52"/>
        <v>316.57989180609252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25">
      <c r="A37" s="11">
        <f t="shared" si="31"/>
        <v>34</v>
      </c>
      <c r="B37" s="75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8">
        <f t="shared" si="1"/>
        <v>183.33333333333334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projet'!$B$9,Paramètres!$A$1:$I$89,3,0)*VLOOKUP('Données projet'!$B$9,Paramètres!$A$1:$I$89,5,0)</f>
        <v>148.56816000000006</v>
      </c>
      <c r="P37" s="14">
        <f t="shared" si="33"/>
        <v>38.253013425360628</v>
      </c>
      <c r="Q37" s="22">
        <f t="shared" si="53"/>
        <v>325.38021038250321</v>
      </c>
      <c r="R37" s="60">
        <f t="shared" si="0"/>
        <v>568.15364184461873</v>
      </c>
      <c r="S37" s="60">
        <f ca="1">AVERAGE(OFFSET($R$3,0,0,'Données projet'!$E$9+1,1))-AVERAGE(OFFSET($H$3,0,0,'Données projet'!$E$9+1,1))</f>
        <v>570.08763950759544</v>
      </c>
      <c r="T37" s="60">
        <f t="shared" si="34"/>
        <v>297.32483725004136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12.919999999999998</v>
      </c>
      <c r="AI37" s="14">
        <f>IF('Données projet'!$A$62&gt;35,AI36+AH37-AQ36,IF(A37&lt;'Données projet'!$A$62,$AF$205^A37,IF(A37='Données projet'!$A$62,'Données projet'!$B$62,AI36+AH37-AQ36)))</f>
        <v>193.4799999999999</v>
      </c>
      <c r="AJ37" s="14">
        <f>AI37*VLOOKUP('Données projet'!$B$10,Paramètres!$A$1:$I$89,3,0)*VLOOKUP('Données projet'!$B$10,Paramètres!$A$1:$I$89,5,0)</f>
        <v>153.93268799999993</v>
      </c>
      <c r="AK37" s="14">
        <f t="shared" si="35"/>
        <v>39.470952496040077</v>
      </c>
      <c r="AL37" s="22">
        <f t="shared" si="4"/>
        <v>336.84467386393629</v>
      </c>
      <c r="AM37" s="60">
        <f t="shared" si="5"/>
        <v>579.61810532605182</v>
      </c>
      <c r="AN37" s="60">
        <f ca="1">AVERAGE(OFFSET($AM$3,0,0,'Données projet'!$E$10+1,1))-AVERAGE(OFFSET($H$3,0,0,'Données projet'!$E$10+1,1))</f>
        <v>394.49874384716014</v>
      </c>
      <c r="AO37" s="60">
        <f t="shared" si="36"/>
        <v>423.72519584013378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7.1794871794871797</v>
      </c>
      <c r="BD37" s="13">
        <f>IF('Données projet'!$A$88&gt;35,BD36+BC37-BL36,IF(A37&lt;'Données projet'!$A$88,$BA$205^A37,IF(A37='Données projet'!$A$88,'Données projet'!$B$88,BD36+BC37-BL36)))</f>
        <v>152.43589743589743</v>
      </c>
      <c r="BE37" s="14">
        <f>BD37*VLOOKUP('Données projet'!$B$11,Paramètres!$A$1:$I$89,3,0)*VLOOKUP('Données projet'!$B$11,Paramètres!$A$1:$I$89,5,0)</f>
        <v>145.05799999999999</v>
      </c>
      <c r="BF37" s="14">
        <f t="shared" si="37"/>
        <v>37.453317998658314</v>
      </c>
      <c r="BG37" s="22">
        <f t="shared" si="7"/>
        <v>317.87387884766321</v>
      </c>
      <c r="BH37" s="60">
        <f t="shared" si="8"/>
        <v>560.64731030977873</v>
      </c>
      <c r="BI37" s="60">
        <f ca="1">AVERAGE(OFFSET($BH$3,0,0,'Données projet'!$E$11+1,1))-AVERAGE(OFFSET($H$3,0,0,'Données projet'!$E$11+1,1))</f>
        <v>441.15969139782891</v>
      </c>
      <c r="BJ37" s="60">
        <f t="shared" si="38"/>
        <v>315.06466790224783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11.5</v>
      </c>
      <c r="BY37" s="13">
        <f>IF('Données projet'!$A$114&gt;35,BY36+BX37-CG36,IF(A37&lt;'Données projet'!$A$114,$BV$205^A37,IF(A37='Données projet'!$A$114,'Données projet'!$B$114,BY36+BX37-CG36)))</f>
        <v>153.49999999999997</v>
      </c>
      <c r="BZ37" s="14">
        <f>BY37*VLOOKUP('Données projet'!$B$12,Paramètres!$A$1:$I$89,3,0)*VLOOKUP('Données projet'!$B$12,Paramètres!$A$1:$I$89,5,0)</f>
        <v>119.72999999999998</v>
      </c>
      <c r="CA37" s="14">
        <f t="shared" si="39"/>
        <v>31.612017974790529</v>
      </c>
      <c r="CB37" s="22">
        <f t="shared" si="10"/>
        <v>263.58734797276014</v>
      </c>
      <c r="CC37" s="60">
        <f t="shared" si="11"/>
        <v>506.36077943487572</v>
      </c>
      <c r="CD37" s="60">
        <f ca="1">AVERAGE(OFFSET($CC$3,0,0,'Données projet'!$E$12+1,1))-AVERAGE(OFFSET($H$3,0,0,'Données projet'!$E$12+1,1))</f>
        <v>312.59632808777332</v>
      </c>
      <c r="CE37" s="60">
        <f t="shared" si="40"/>
        <v>302.59481222418219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10.8</v>
      </c>
      <c r="CT37" s="13">
        <f>IF('Données projet'!$A$140&gt;35,CT36+CS37-DB36,IF(A37&lt;'Données projet'!$A$140,$CQ$205^A37,IF(A37='Données projet'!$A$140,'Données projet'!$B$140,CT36+CS37-DB36)))</f>
        <v>164.20000000000007</v>
      </c>
      <c r="CU37" s="18">
        <f>CT37*VLOOKUP('Données projet'!$B$13,Paramètres!$A$1:$I$89,3,0)*VLOOKUP('Données projet'!$B$13,Paramètres!$A$1:$I$89,5,0)</f>
        <v>158.81424000000007</v>
      </c>
      <c r="CV37" s="14">
        <f t="shared" si="41"/>
        <v>40.574948252224658</v>
      </c>
      <c r="CW37" s="22">
        <f t="shared" si="13"/>
        <v>347.26950287262474</v>
      </c>
      <c r="CX37" s="60">
        <f t="shared" si="14"/>
        <v>590.04293433474027</v>
      </c>
      <c r="CY37" s="60">
        <f ca="1">AVERAGE(OFFSET($CX$3,0,0,'Données projet'!$E$13+1,1))-AVERAGE(OFFSET($H$3,0,0,'Données projet'!$E$13+1,1))</f>
        <v>603.52431522262032</v>
      </c>
      <c r="CZ37" s="60">
        <f t="shared" si="42"/>
        <v>313.56299786481338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10.8</v>
      </c>
      <c r="DO37" s="13">
        <f>IF('Données projet'!$A$166&gt;35,DO36+DN37-DW36,IF(A37&lt;'Données projet'!$A$166,$DL$205^A37,IF(A37='Données projet'!$A$166,'Données projet'!$B$166,DO36+DN37-DW36)))</f>
        <v>164.20000000000007</v>
      </c>
      <c r="DP37" s="18">
        <f>DO37*VLOOKUP('Données projet'!$B$14,Paramètres!$A$1:$I$89,3,0)*VLOOKUP('Données projet'!$B$14,Paramètres!$A$1:$I$89,5,0)</f>
        <v>176.74488000000008</v>
      </c>
      <c r="DQ37" s="14">
        <f t="shared" si="43"/>
        <v>44.597214542653063</v>
      </c>
      <c r="DR37" s="22">
        <f t="shared" si="16"/>
        <v>385.50414799512083</v>
      </c>
      <c r="DS37" s="60">
        <f t="shared" si="17"/>
        <v>628.27757945723647</v>
      </c>
      <c r="DT37" s="60">
        <f ca="1">AVERAGE(OFFSET($DS$3,0,0,'Données projet'!$E$14+1,1))-AVERAGE(OFFSET($H$3,0,0,'Données projet'!$E$14+1,1))</f>
        <v>661.93515988633499</v>
      </c>
      <c r="DU37" s="60">
        <f t="shared" si="44"/>
        <v>341.9250949809848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8.717948717948719</v>
      </c>
      <c r="EJ37" s="13">
        <f>IF('Données projet'!$A$192&gt;35,EJ36+EI37-ER36,IF(A37&lt;'Données projet'!$A$192,$EG$205^A37,IF(A37='Données projet'!$A$192,'Données projet'!$B$192,EJ36+EI37-ER36)))</f>
        <v>179.74358974358978</v>
      </c>
      <c r="EK37" s="18">
        <f>EJ37*VLOOKUP('Données projet'!$B$15,Paramètres!$A$1:$I$89,3,0)*VLOOKUP('Données projet'!$B$15,Paramètres!$A$1:$I$89,5,0)</f>
        <v>120.57200000000003</v>
      </c>
      <c r="EL37" s="14">
        <f t="shared" si="45"/>
        <v>31.808371955809051</v>
      </c>
      <c r="EM37" s="22">
        <f t="shared" si="19"/>
        <v>265.3958144897008</v>
      </c>
      <c r="EN37" s="60">
        <f t="shared" si="20"/>
        <v>508.16924595181638</v>
      </c>
      <c r="EO37" s="60">
        <f ca="1">AVERAGE(OFFSET($EN$3,0,0,'Données projet'!$E$15+1,1))-AVERAGE(OFFSET($H$3,0,0,'Données projet'!$E$15+1,1))</f>
        <v>396.0878652679051</v>
      </c>
      <c r="EP37" s="60">
        <f t="shared" si="46"/>
        <v>327.26339199235406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12.919999999999998</v>
      </c>
      <c r="FE37" s="13">
        <f>IF('Données projet'!$A$218&gt;35,FE36+FD37-FM36,IF(A37&lt;'Données projet'!$A$218,$FB$205^A37,IF(A37='Données projet'!$A$218,'Données projet'!$B$218,FE36+FD37-FM36)))</f>
        <v>193.4799999999999</v>
      </c>
      <c r="FF37" s="18">
        <f>FE37*VLOOKUP('Données projet'!$B$16,Paramètres!$A$1:$I$89,3,0)*VLOOKUP('Données projet'!$B$16,Paramètres!$A$1:$I$89,5,0)</f>
        <v>141.85953599999993</v>
      </c>
      <c r="FG37" s="14">
        <f t="shared" si="47"/>
        <v>36.722671388271863</v>
      </c>
      <c r="FH37" s="22">
        <f t="shared" si="22"/>
        <v>311.03067786790672</v>
      </c>
      <c r="FI37" s="60">
        <f t="shared" si="23"/>
        <v>553.80410933002236</v>
      </c>
      <c r="FJ37" s="60">
        <f ca="1">AVERAGE(OFFSET($FI$3,0,0,'Données projet'!$E$16+1,1))-AVERAGE(OFFSET($H$3,0,0,'Données projet'!$E$16+1,1))</f>
        <v>368.35775920359396</v>
      </c>
      <c r="FK37" s="60">
        <f t="shared" si="48"/>
        <v>395.5218438652638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12.8</v>
      </c>
      <c r="FZ37" s="13">
        <f>IF('Données projet'!$A$244&gt;35,FZ36+FY37-GH36,IF(A37&lt;'Données projet'!$A$244,$FW$205^A37,IF(A37='Données projet'!$A$244,'Données projet'!$B$244,FZ36+FY37-GH36)))</f>
        <v>197.20000000000005</v>
      </c>
      <c r="GA37" s="18">
        <f>FZ37*VLOOKUP('Données projet'!$B$17,Paramètres!$A$1:$I$89,3,0)*VLOOKUP('Données projet'!$B$17,Paramètres!$A$1:$I$89,5,0)</f>
        <v>169.19760000000005</v>
      </c>
      <c r="GB37" s="14">
        <f t="shared" si="49"/>
        <v>42.910263223432885</v>
      </c>
      <c r="GC37" s="22">
        <f t="shared" si="25"/>
        <v>369.42119511414563</v>
      </c>
      <c r="GD37" s="60">
        <f t="shared" si="26"/>
        <v>612.19462657626127</v>
      </c>
      <c r="GE37" s="60">
        <f ca="1">AVERAGE(OFFSET($GD$3,0,0,'Données projet'!$E$17+1,1))-AVERAGE(OFFSET($H$3,0,0,'Données projet'!$E$17+1,1))</f>
        <v>701.44583662096022</v>
      </c>
      <c r="GF37" s="60">
        <f t="shared" si="50"/>
        <v>331.25104323342907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8.8000000000000007</v>
      </c>
      <c r="GU37" s="13">
        <f>IF('Données projet'!$A$270&gt;35,GU36+GT37-HC36,IF(A37&lt;'Données projet'!$A$270,$GR$205^A37,IF(A37='Données projet'!$A$270,'Données projet'!$B$270,GU36+GT37-HC36)))</f>
        <v>181.20000000000005</v>
      </c>
      <c r="GV37" s="18">
        <f>GU37*VLOOKUP('Données projet'!$B$18,Paramètres!$A$1:$I$89,3,0)*VLOOKUP('Données projet'!$B$18,Paramètres!$A$1:$I$89,5,0)</f>
        <v>146.98944000000006</v>
      </c>
      <c r="GW37" s="14">
        <f t="shared" si="51"/>
        <v>37.893619858723746</v>
      </c>
      <c r="GX37" s="22">
        <f t="shared" si="28"/>
        <v>322.00466258727732</v>
      </c>
      <c r="GY37" s="60">
        <f t="shared" si="29"/>
        <v>564.77809404939285</v>
      </c>
      <c r="GZ37" s="60">
        <f ca="1">AVERAGE(OFFSET($GY$3,0,0,'Données projet'!$E$18+1,1))-AVERAGE(OFFSET($H$3,0,0,'Données projet'!$E$18+1,1))</f>
        <v>272.69564942740931</v>
      </c>
      <c r="HA37" s="60">
        <f t="shared" si="52"/>
        <v>316.57989180609252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25">
      <c r="A38" s="11">
        <f t="shared" si="31"/>
        <v>35</v>
      </c>
      <c r="B38" s="75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8">
        <f t="shared" si="1"/>
        <v>183.33333333333334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projet'!$B$9,Paramètres!$A$1:$I$89,3,0)*VLOOKUP('Données projet'!$B$9,Paramètres!$A$1:$I$89,5,0)</f>
        <v>158.34000000000006</v>
      </c>
      <c r="P38" s="14">
        <f t="shared" si="33"/>
        <v>40.467870812652819</v>
      </c>
      <c r="Q38" s="22">
        <f t="shared" si="53"/>
        <v>346.25704166537042</v>
      </c>
      <c r="R38" s="60">
        <f t="shared" si="0"/>
        <v>589.9075743899449</v>
      </c>
      <c r="S38" s="60">
        <f ca="1">AVERAGE(OFFSET($R$3,0,0,'Données projet'!$E$9+1,1))-AVERAGE(OFFSET($H$3,0,0,'Données projet'!$E$9+1,1))</f>
        <v>570.08763950759544</v>
      </c>
      <c r="T38" s="60">
        <f t="shared" si="34"/>
        <v>297.32483725004136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206.4</v>
      </c>
      <c r="AG38" s="13">
        <f>VLOOKUP(A38,'Données projet'!$A$61:$I$81,9,0)</f>
        <v>12.919999999999998</v>
      </c>
      <c r="AH38" s="13">
        <f t="array" ref="AH38">INDEX(AG:AG,MIN(IF(ISNUMBER(AG38:AG234),ROW(AG38:AG234),"")))</f>
        <v>12.919999999999998</v>
      </c>
      <c r="AI38" s="14">
        <f>IF('Données projet'!$A$62&gt;35,AI37+AH38-AQ37,IF(A38&lt;'Données projet'!$A$62,$AF$205^A38,IF(A38='Données projet'!$A$62,'Données projet'!$B$62,AI37+AH38-AQ37)))</f>
        <v>206.39999999999989</v>
      </c>
      <c r="AJ38" s="14">
        <f>AI38*VLOOKUP('Données projet'!$B$10,Paramètres!$A$1:$I$89,3,0)*VLOOKUP('Données projet'!$B$10,Paramètres!$A$1:$I$89,5,0)</f>
        <v>164.21183999999994</v>
      </c>
      <c r="AK38" s="14">
        <f t="shared" si="35"/>
        <v>41.79106629541738</v>
      </c>
      <c r="AL38" s="22">
        <f t="shared" si="4"/>
        <v>358.78839513118515</v>
      </c>
      <c r="AM38" s="60">
        <f t="shared" si="5"/>
        <v>602.43892785575963</v>
      </c>
      <c r="AN38" s="60">
        <f ca="1">AVERAGE(OFFSET($AM$3,0,0,'Données projet'!$E$10+1,1))-AVERAGE(OFFSET($H$3,0,0,'Données projet'!$E$10+1,1))</f>
        <v>394.49874384716014</v>
      </c>
      <c r="AO38" s="60">
        <f t="shared" si="36"/>
        <v>423.72519584013378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159.61538461538461</v>
      </c>
      <c r="BB38" s="13">
        <f>VLOOKUP(A38,'Données projet'!$A$87:$I$107,9,0)</f>
        <v>7.1794871794871797</v>
      </c>
      <c r="BC38" s="13">
        <f t="array" ref="BC38">INDEX(BB:BB,MIN(IF(ISNUMBER(BB38:BB234),ROW(BB38:BB234),"")))</f>
        <v>7.1794871794871797</v>
      </c>
      <c r="BD38" s="13">
        <f>IF('Données projet'!$A$88&gt;35,BD37+BC38-BL37,IF(A38&lt;'Données projet'!$A$88,$BA$205^A38,IF(A38='Données projet'!$A$88,'Données projet'!$B$88,BD37+BC38-BL37)))</f>
        <v>159.61538461538461</v>
      </c>
      <c r="BE38" s="14">
        <f>BD38*VLOOKUP('Données projet'!$B$11,Paramètres!$A$1:$I$89,3,0)*VLOOKUP('Données projet'!$B$11,Paramètres!$A$1:$I$89,5,0)</f>
        <v>151.89000000000001</v>
      </c>
      <c r="BF38" s="14">
        <f t="shared" si="37"/>
        <v>39.007781402191782</v>
      </c>
      <c r="BG38" s="22">
        <f t="shared" si="7"/>
        <v>332.48030260881734</v>
      </c>
      <c r="BH38" s="60">
        <f t="shared" si="8"/>
        <v>576.13083533339181</v>
      </c>
      <c r="BI38" s="60">
        <f ca="1">AVERAGE(OFFSET($BH$3,0,0,'Données projet'!$E$11+1,1))-AVERAGE(OFFSET($H$3,0,0,'Données projet'!$E$11+1,1))</f>
        <v>441.15969139782891</v>
      </c>
      <c r="BJ38" s="60">
        <f t="shared" si="38"/>
        <v>315.06466790224783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33.333333333333336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11.5</v>
      </c>
      <c r="BY38" s="13">
        <f>IF('Données projet'!$A$114&gt;35,BY37+BX38-CG37,IF(A38&lt;'Données projet'!$A$114,$BV$205^A38,IF(A38='Données projet'!$A$114,'Données projet'!$B$114,BY37+BX38-CG37)))</f>
        <v>164.99999999999997</v>
      </c>
      <c r="BZ38" s="14">
        <f>BY38*VLOOKUP('Données projet'!$B$12,Paramètres!$A$1:$I$89,3,0)*VLOOKUP('Données projet'!$B$12,Paramètres!$A$1:$I$89,5,0)</f>
        <v>128.69999999999999</v>
      </c>
      <c r="CA38" s="14">
        <f t="shared" si="39"/>
        <v>33.695792019186115</v>
      </c>
      <c r="CB38" s="22">
        <f t="shared" si="10"/>
        <v>282.83933776674911</v>
      </c>
      <c r="CC38" s="60">
        <f t="shared" si="11"/>
        <v>526.48987049132359</v>
      </c>
      <c r="CD38" s="60">
        <f ca="1">AVERAGE(OFFSET($CC$3,0,0,'Données projet'!$E$12+1,1))-AVERAGE(OFFSET($H$3,0,0,'Données projet'!$E$12+1,1))</f>
        <v>312.59632808777332</v>
      </c>
      <c r="CE38" s="60">
        <f t="shared" si="40"/>
        <v>302.59481222418219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175</v>
      </c>
      <c r="CR38" s="13">
        <f>VLOOKUP(A38,'Données projet'!$A$139:$I$159,9,0)</f>
        <v>10.8</v>
      </c>
      <c r="CS38" s="13">
        <f t="array" ref="CS38">INDEX(CR:CR,MIN(IF(ISNUMBER(CR38:CR234),ROW(CR38:CR234),"")))</f>
        <v>10.8</v>
      </c>
      <c r="CT38" s="13">
        <f>IF('Données projet'!$A$140&gt;35,CT37+CS38-DB37,IF(A38&lt;'Données projet'!$A$140,$CQ$205^A38,IF(A38='Données projet'!$A$140,'Données projet'!$B$140,CT37+CS38-DB37)))</f>
        <v>175.00000000000009</v>
      </c>
      <c r="CU38" s="18">
        <f>CT38*VLOOKUP('Données projet'!$B$13,Paramètres!$A$1:$I$89,3,0)*VLOOKUP('Données projet'!$B$13,Paramètres!$A$1:$I$89,5,0)</f>
        <v>169.2600000000001</v>
      </c>
      <c r="CV38" s="14">
        <f t="shared" si="41"/>
        <v>42.924246146122314</v>
      </c>
      <c r="CW38" s="22">
        <f t="shared" si="13"/>
        <v>369.55422870449644</v>
      </c>
      <c r="CX38" s="60">
        <f t="shared" si="14"/>
        <v>613.20476142907091</v>
      </c>
      <c r="CY38" s="60">
        <f ca="1">AVERAGE(OFFSET($CX$3,0,0,'Données projet'!$E$13+1,1))-AVERAGE(OFFSET($H$3,0,0,'Données projet'!$E$13+1,1))</f>
        <v>603.52431522262032</v>
      </c>
      <c r="CZ38" s="60">
        <f t="shared" si="42"/>
        <v>313.56299786481338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56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175</v>
      </c>
      <c r="DM38" s="13">
        <f>VLOOKUP(A38,'Données projet'!$A$165:$I$185,9,0)</f>
        <v>10.8</v>
      </c>
      <c r="DN38" s="13">
        <f t="array" ref="DN38">INDEX(DM:DM,MIN(IF(ISNUMBER(DM38:DM234),ROW(DM38:DM234),"")))</f>
        <v>10.8</v>
      </c>
      <c r="DO38" s="13">
        <f>IF('Données projet'!$A$166&gt;35,DO37+DN38-DW37,IF(A38&lt;'Données projet'!$A$166,$DL$205^A38,IF(A38='Données projet'!$A$166,'Données projet'!$B$166,DO37+DN38-DW37)))</f>
        <v>175.00000000000009</v>
      </c>
      <c r="DP38" s="18">
        <f>DO38*VLOOKUP('Données projet'!$B$14,Paramètres!$A$1:$I$89,3,0)*VLOOKUP('Données projet'!$B$14,Paramètres!$A$1:$I$89,5,0)</f>
        <v>188.37000000000006</v>
      </c>
      <c r="DQ38" s="14">
        <f t="shared" si="43"/>
        <v>47.179402486491298</v>
      </c>
      <c r="DR38" s="22">
        <f t="shared" si="16"/>
        <v>410.2485426639725</v>
      </c>
      <c r="DS38" s="60">
        <f t="shared" si="17"/>
        <v>653.89907538854698</v>
      </c>
      <c r="DT38" s="60">
        <f ca="1">AVERAGE(OFFSET($DS$3,0,0,'Données projet'!$E$14+1,1))-AVERAGE(OFFSET($H$3,0,0,'Données projet'!$E$14+1,1))</f>
        <v>661.93515988633499</v>
      </c>
      <c r="DU38" s="60">
        <f t="shared" si="44"/>
        <v>341.9250949809848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56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188.46153846153845</v>
      </c>
      <c r="EH38" s="13">
        <f>VLOOKUP(A38,'Données projet'!$A$191:$I$211,9,0)</f>
        <v>8.717948717948719</v>
      </c>
      <c r="EI38" s="13">
        <f t="array" ref="EI38">INDEX(EH:EH,MIN(IF(ISNUMBER(EH38:EH234),ROW(EH38:EH234),"")))</f>
        <v>8.717948717948719</v>
      </c>
      <c r="EJ38" s="13">
        <f>IF('Données projet'!$A$192&gt;35,EJ37+EI38-ER37,IF(A38&lt;'Données projet'!$A$192,$EG$205^A38,IF(A38='Données projet'!$A$192,'Données projet'!$B$192,EJ37+EI38-ER37)))</f>
        <v>188.46153846153851</v>
      </c>
      <c r="EK38" s="18">
        <f>EJ38*VLOOKUP('Données projet'!$B$15,Paramètres!$A$1:$I$89,3,0)*VLOOKUP('Données projet'!$B$15,Paramètres!$A$1:$I$89,5,0)</f>
        <v>126.42000000000004</v>
      </c>
      <c r="EL38" s="14">
        <f t="shared" si="45"/>
        <v>33.167786817172477</v>
      </c>
      <c r="EM38" s="22">
        <f t="shared" si="19"/>
        <v>277.94872870657542</v>
      </c>
      <c r="EN38" s="60">
        <f t="shared" si="20"/>
        <v>521.5992614311499</v>
      </c>
      <c r="EO38" s="60">
        <f ca="1">AVERAGE(OFFSET($EN$3,0,0,'Données projet'!$E$15+1,1))-AVERAGE(OFFSET($H$3,0,0,'Données projet'!$E$15+1,1))</f>
        <v>396.0878652679051</v>
      </c>
      <c r="EP38" s="60">
        <f t="shared" si="46"/>
        <v>327.26339199235406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206.4</v>
      </c>
      <c r="FC38" s="13">
        <f>VLOOKUP(A38,'Données projet'!$A$217:$I$237,9,0)</f>
        <v>12.919999999999998</v>
      </c>
      <c r="FD38" s="13">
        <f t="array" ref="FD38">INDEX(FC:FC,MIN(IF(ISNUMBER(FC38:FC234),ROW(FC38:FC234),"")))</f>
        <v>12.919999999999998</v>
      </c>
      <c r="FE38" s="13">
        <f>IF('Données projet'!$A$218&gt;35,FE37+FD38-FM37,IF(A38&lt;'Données projet'!$A$218,$FB$205^A38,IF(A38='Données projet'!$A$218,'Données projet'!$B$218,FE37+FD38-FM37)))</f>
        <v>206.39999999999989</v>
      </c>
      <c r="FF38" s="18">
        <f>FE38*VLOOKUP('Données projet'!$B$16,Paramètres!$A$1:$I$89,3,0)*VLOOKUP('Données projet'!$B$16,Paramètres!$A$1:$I$89,5,0)</f>
        <v>151.33247999999992</v>
      </c>
      <c r="FG38" s="14">
        <f t="shared" si="47"/>
        <v>38.881240443489794</v>
      </c>
      <c r="FH38" s="22">
        <f t="shared" si="22"/>
        <v>331.28889643907786</v>
      </c>
      <c r="FI38" s="60">
        <f t="shared" si="23"/>
        <v>574.93942916365233</v>
      </c>
      <c r="FJ38" s="60">
        <f ca="1">AVERAGE(OFFSET($FI$3,0,0,'Données projet'!$E$16+1,1))-AVERAGE(OFFSET($H$3,0,0,'Données projet'!$E$16+1,1))</f>
        <v>368.35775920359396</v>
      </c>
      <c r="FK38" s="60">
        <f t="shared" si="48"/>
        <v>395.5218438652638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210</v>
      </c>
      <c r="FX38" s="13">
        <f>VLOOKUP(A38,'Données projet'!$A$243:$I$263,9,0)</f>
        <v>12.8</v>
      </c>
      <c r="FY38" s="13">
        <f t="array" ref="FY38">INDEX(FX:FX,MIN(IF(ISNUMBER(FX38:FX234),ROW(FX38:FX234),"")))</f>
        <v>12.8</v>
      </c>
      <c r="FZ38" s="13">
        <f>IF('Données projet'!$A$244&gt;35,FZ37+FY38-GH37,IF(A38&lt;'Données projet'!$A$244,$FW$205^A38,IF(A38='Données projet'!$A$244,'Données projet'!$B$244,FZ37+FY38-GH37)))</f>
        <v>210.00000000000006</v>
      </c>
      <c r="GA38" s="18">
        <f>FZ38*VLOOKUP('Données projet'!$B$17,Paramètres!$A$1:$I$89,3,0)*VLOOKUP('Données projet'!$B$17,Paramètres!$A$1:$I$89,5,0)</f>
        <v>180.18000000000006</v>
      </c>
      <c r="GB38" s="14">
        <f t="shared" si="49"/>
        <v>45.362230520410691</v>
      </c>
      <c r="GC38" s="22">
        <f t="shared" si="25"/>
        <v>392.81938482304872</v>
      </c>
      <c r="GD38" s="60">
        <f t="shared" si="26"/>
        <v>636.46991754762325</v>
      </c>
      <c r="GE38" s="60">
        <f ca="1">AVERAGE(OFFSET($GD$3,0,0,'Données projet'!$E$17+1,1))-AVERAGE(OFFSET($H$3,0,0,'Données projet'!$E$17+1,1))</f>
        <v>701.44583662096022</v>
      </c>
      <c r="GF38" s="60">
        <f t="shared" si="50"/>
        <v>331.25104323342907</v>
      </c>
      <c r="GG38" s="16">
        <f>IF(ISNA(VLOOKUP(A38,'Données projet'!$A$243:$I$263,3,0)),0,VLOOKUP(A38,'Données projet'!$A$243:$I$263,3,0))</f>
        <v>2</v>
      </c>
      <c r="GH38" s="16">
        <f>IF(ISNA(VLOOKUP(A38,'Données projet'!$A$243:$I$263,4,0)),0,VLOOKUP(A38,'Données projet'!$A$243:$I$263,4,0))</f>
        <v>70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190</v>
      </c>
      <c r="GS38" s="13">
        <f>VLOOKUP(A38,'Données projet'!$A$269:$I$289,9,0)</f>
        <v>8.8000000000000007</v>
      </c>
      <c r="GT38" s="13">
        <f t="array" ref="GT38">INDEX(GS:GS,MIN(IF(ISNUMBER(GS38:GS234),ROW(GS38:GS234),"")))</f>
        <v>8.8000000000000007</v>
      </c>
      <c r="GU38" s="13">
        <f>IF('Données projet'!$A$270&gt;35,GU37+GT38-HC37,IF(A38&lt;'Données projet'!$A$270,$GR$205^A38,IF(A38='Données projet'!$A$270,'Données projet'!$B$270,GU37+GT38-HC37)))</f>
        <v>190.00000000000006</v>
      </c>
      <c r="GV38" s="18">
        <f>GU38*VLOOKUP('Données projet'!$B$18,Paramètres!$A$1:$I$89,3,0)*VLOOKUP('Données projet'!$B$18,Paramètres!$A$1:$I$89,5,0)</f>
        <v>154.12800000000007</v>
      </c>
      <c r="GW38" s="14">
        <f t="shared" si="51"/>
        <v>39.51520107536119</v>
      </c>
      <c r="GX38" s="22">
        <f t="shared" si="28"/>
        <v>337.26190853958752</v>
      </c>
      <c r="GY38" s="60">
        <f t="shared" si="29"/>
        <v>580.912441264162</v>
      </c>
      <c r="GZ38" s="60">
        <f ca="1">AVERAGE(OFFSET($GY$3,0,0,'Données projet'!$E$18+1,1))-AVERAGE(OFFSET($H$3,0,0,'Données projet'!$E$18+1,1))</f>
        <v>272.69564942740931</v>
      </c>
      <c r="HA38" s="60">
        <f t="shared" si="52"/>
        <v>316.57989180609252</v>
      </c>
      <c r="HB38" s="16">
        <f>IF(ISNA(VLOOKUP(A38,'Données projet'!$A$269:$I$289,3,0)),0,VLOOKUP(A38,'Données projet'!$A$269:$I$289,3,0))</f>
        <v>2</v>
      </c>
      <c r="HC38" s="16">
        <f>IF(ISNA(VLOOKUP(A38,'Données projet'!$A$269:$I$289,4,0)),0,VLOOKUP(A38,'Données projet'!$A$269:$I$289,4,0))</f>
        <v>76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25">
      <c r="A39" s="11">
        <f t="shared" si="31"/>
        <v>36</v>
      </c>
      <c r="B39" s="75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8">
        <f t="shared" si="1"/>
        <v>183.33333333333334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projet'!$B$9,Paramètres!$A$1:$I$89,3,0)*VLOOKUP('Données projet'!$B$9,Paramètres!$A$1:$I$89,5,0)</f>
        <v>117.80496000000005</v>
      </c>
      <c r="P39" s="14">
        <f t="shared" si="33"/>
        <v>31.162493487829593</v>
      </c>
      <c r="Q39" s="22">
        <f t="shared" si="53"/>
        <v>259.45164815796994</v>
      </c>
      <c r="R39" s="60">
        <f t="shared" si="0"/>
        <v>503.96406639900437</v>
      </c>
      <c r="S39" s="60">
        <f ca="1">AVERAGE(OFFSET($R$3,0,0,'Données projet'!$E$9+1,1))-AVERAGE(OFFSET($H$3,0,0,'Données projet'!$E$9+1,1))</f>
        <v>570.08763950759544</v>
      </c>
      <c r="T39" s="60">
        <f t="shared" si="34"/>
        <v>297.32483725004136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11.340000000000003</v>
      </c>
      <c r="AI39" s="14">
        <f>IF('Données projet'!$A$62&gt;35,AI38+AH39-AQ38,IF(A39&lt;'Données projet'!$A$62,$AF$205^A39,IF(A39='Données projet'!$A$62,'Données projet'!$B$62,AI38+AH39-AQ38)))</f>
        <v>217.7399999999999</v>
      </c>
      <c r="AJ39" s="14">
        <f>AI39*VLOOKUP('Données projet'!$B$10,Paramètres!$A$1:$I$89,3,0)*VLOOKUP('Données projet'!$B$10,Paramètres!$A$1:$I$89,5,0)</f>
        <v>173.23394399999992</v>
      </c>
      <c r="AK39" s="14">
        <f t="shared" si="35"/>
        <v>43.813523178063591</v>
      </c>
      <c r="AL39" s="22">
        <f t="shared" si="4"/>
        <v>378.02433866846064</v>
      </c>
      <c r="AM39" s="60">
        <f t="shared" si="5"/>
        <v>622.53675690949513</v>
      </c>
      <c r="AN39" s="60">
        <f ca="1">AVERAGE(OFFSET($AM$3,0,0,'Données projet'!$E$10+1,1))-AVERAGE(OFFSET($H$3,0,0,'Données projet'!$E$10+1,1))</f>
        <v>394.49874384716014</v>
      </c>
      <c r="AO39" s="60">
        <f t="shared" si="36"/>
        <v>423.72519584013378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6.7948717948717956</v>
      </c>
      <c r="BD39" s="13">
        <f>IF('Données projet'!$A$88&gt;35,BD38+BC39-BL38,IF(A39&lt;'Données projet'!$A$88,$BA$205^A39,IF(A39='Données projet'!$A$88,'Données projet'!$B$88,BD38+BC39-BL38)))</f>
        <v>133.07692307692307</v>
      </c>
      <c r="BE39" s="14">
        <f>BD39*VLOOKUP('Données projet'!$B$11,Paramètres!$A$1:$I$89,3,0)*VLOOKUP('Données projet'!$B$11,Paramètres!$A$1:$I$89,5,0)</f>
        <v>126.636</v>
      </c>
      <c r="BF39" s="14">
        <f t="shared" si="37"/>
        <v>33.217855596652925</v>
      </c>
      <c r="BG39" s="22">
        <f t="shared" si="7"/>
        <v>278.41213183083715</v>
      </c>
      <c r="BH39" s="60">
        <f t="shared" si="8"/>
        <v>522.92455007187164</v>
      </c>
      <c r="BI39" s="60">
        <f ca="1">AVERAGE(OFFSET($BH$3,0,0,'Données projet'!$E$11+1,1))-AVERAGE(OFFSET($H$3,0,0,'Données projet'!$E$11+1,1))</f>
        <v>441.15969139782891</v>
      </c>
      <c r="BJ39" s="60">
        <f t="shared" si="38"/>
        <v>315.06466790224783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11.5</v>
      </c>
      <c r="BY39" s="13">
        <f>IF('Données projet'!$A$114&gt;35,BY38+BX39-CG38,IF(A39&lt;'Données projet'!$A$114,$BV$205^A39,IF(A39='Données projet'!$A$114,'Données projet'!$B$114,BY38+BX39-CG38)))</f>
        <v>176.49999999999997</v>
      </c>
      <c r="BZ39" s="14">
        <f>BY39*VLOOKUP('Données projet'!$B$12,Paramètres!$A$1:$I$89,3,0)*VLOOKUP('Données projet'!$B$12,Paramètres!$A$1:$I$89,5,0)</f>
        <v>137.66999999999999</v>
      </c>
      <c r="CA39" s="14">
        <f t="shared" si="39"/>
        <v>35.762714965854656</v>
      </c>
      <c r="CB39" s="22">
        <f t="shared" si="10"/>
        <v>302.06197856553018</v>
      </c>
      <c r="CC39" s="60">
        <f t="shared" si="11"/>
        <v>546.57439680656466</v>
      </c>
      <c r="CD39" s="60">
        <f ca="1">AVERAGE(OFFSET($CC$3,0,0,'Données projet'!$E$12+1,1))-AVERAGE(OFFSET($H$3,0,0,'Données projet'!$E$12+1,1))</f>
        <v>312.59632808777332</v>
      </c>
      <c r="CE39" s="60">
        <f t="shared" si="40"/>
        <v>302.59481222418219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11.2</v>
      </c>
      <c r="CT39" s="13">
        <f>IF('Données projet'!$A$140&gt;35,CT38+CS39-DB38,IF(A39&lt;'Données projet'!$A$140,$CQ$205^A39,IF(A39='Données projet'!$A$140,'Données projet'!$B$140,CT38+CS39-DB38)))</f>
        <v>130.20000000000007</v>
      </c>
      <c r="CU39" s="18">
        <f>CT39*VLOOKUP('Données projet'!$B$13,Paramètres!$A$1:$I$89,3,0)*VLOOKUP('Données projet'!$B$13,Paramètres!$A$1:$I$89,5,0)</f>
        <v>125.92944000000007</v>
      </c>
      <c r="CV39" s="14">
        <f t="shared" si="41"/>
        <v>33.054038034052077</v>
      </c>
      <c r="CW39" s="22">
        <f t="shared" si="13"/>
        <v>276.89622424264081</v>
      </c>
      <c r="CX39" s="60">
        <f t="shared" si="14"/>
        <v>521.40864248367529</v>
      </c>
      <c r="CY39" s="60">
        <f ca="1">AVERAGE(OFFSET($CX$3,0,0,'Données projet'!$E$13+1,1))-AVERAGE(OFFSET($H$3,0,0,'Données projet'!$E$13+1,1))</f>
        <v>603.52431522262032</v>
      </c>
      <c r="CZ39" s="60">
        <f t="shared" si="42"/>
        <v>313.56299786481338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11.2</v>
      </c>
      <c r="DO39" s="13">
        <f>IF('Données projet'!$A$166&gt;35,DO38+DN39-DW38,IF(A39&lt;'Données projet'!$A$166,$DL$205^A39,IF(A39='Données projet'!$A$166,'Données projet'!$B$166,DO38+DN39-DW38)))</f>
        <v>130.20000000000007</v>
      </c>
      <c r="DP39" s="18">
        <f>DO39*VLOOKUP('Données projet'!$B$14,Paramètres!$A$1:$I$89,3,0)*VLOOKUP('Données projet'!$B$14,Paramètres!$A$1:$I$89,5,0)</f>
        <v>140.14728000000008</v>
      </c>
      <c r="DQ39" s="14">
        <f t="shared" si="43"/>
        <v>36.330743209877284</v>
      </c>
      <c r="DR39" s="22">
        <f t="shared" si="16"/>
        <v>307.36589042386976</v>
      </c>
      <c r="DS39" s="60">
        <f t="shared" si="17"/>
        <v>551.87830866490413</v>
      </c>
      <c r="DT39" s="60">
        <f ca="1">AVERAGE(OFFSET($DS$3,0,0,'Données projet'!$E$14+1,1))-AVERAGE(OFFSET($H$3,0,0,'Données projet'!$E$14+1,1))</f>
        <v>661.93515988633499</v>
      </c>
      <c r="DU39" s="60">
        <f t="shared" si="44"/>
        <v>341.9250949809848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7.9487179487179507</v>
      </c>
      <c r="EJ39" s="13">
        <f>IF('Données projet'!$A$192&gt;35,EJ38+EI39-ER38,IF(A39&lt;'Données projet'!$A$192,$EG$205^A39,IF(A39='Données projet'!$A$192,'Données projet'!$B$192,EJ38+EI39-ER38)))</f>
        <v>196.41025641025647</v>
      </c>
      <c r="EK39" s="18">
        <f>EJ39*VLOOKUP('Données projet'!$B$15,Paramètres!$A$1:$I$89,3,0)*VLOOKUP('Données projet'!$B$15,Paramètres!$A$1:$I$89,5,0)</f>
        <v>131.75200000000004</v>
      </c>
      <c r="EL39" s="14">
        <f t="shared" si="45"/>
        <v>34.400879137880764</v>
      </c>
      <c r="EM39" s="22">
        <f t="shared" si="19"/>
        <v>289.38293116514234</v>
      </c>
      <c r="EN39" s="60">
        <f t="shared" si="20"/>
        <v>533.89534940617682</v>
      </c>
      <c r="EO39" s="60">
        <f ca="1">AVERAGE(OFFSET($EN$3,0,0,'Données projet'!$E$15+1,1))-AVERAGE(OFFSET($H$3,0,0,'Données projet'!$E$15+1,1))</f>
        <v>396.0878652679051</v>
      </c>
      <c r="EP39" s="60">
        <f t="shared" si="46"/>
        <v>327.26339199235406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11.340000000000003</v>
      </c>
      <c r="FE39" s="13">
        <f>IF('Données projet'!$A$218&gt;35,FE38+FD39-FM38,IF(A39&lt;'Données projet'!$A$218,$FB$205^A39,IF(A39='Données projet'!$A$218,'Données projet'!$B$218,FE38+FD39-FM38)))</f>
        <v>217.7399999999999</v>
      </c>
      <c r="FF39" s="18">
        <f>FE39*VLOOKUP('Données projet'!$B$16,Paramètres!$A$1:$I$89,3,0)*VLOOKUP('Données projet'!$B$16,Paramètres!$A$1:$I$89,5,0)</f>
        <v>159.64696799999993</v>
      </c>
      <c r="FG39" s="14">
        <f t="shared" si="47"/>
        <v>40.762877819882384</v>
      </c>
      <c r="FH39" s="22">
        <f t="shared" si="22"/>
        <v>349.04714813629499</v>
      </c>
      <c r="FI39" s="60">
        <f t="shared" si="23"/>
        <v>593.55956637732947</v>
      </c>
      <c r="FJ39" s="60">
        <f ca="1">AVERAGE(OFFSET($FI$3,0,0,'Données projet'!$E$16+1,1))-AVERAGE(OFFSET($H$3,0,0,'Données projet'!$E$16+1,1))</f>
        <v>368.35775920359396</v>
      </c>
      <c r="FK39" s="60">
        <f t="shared" si="48"/>
        <v>395.5218438652638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13.4</v>
      </c>
      <c r="FZ39" s="13">
        <f>IF('Données projet'!$A$244&gt;35,FZ38+FY39-GH38,IF(A39&lt;'Données projet'!$A$244,$FW$205^A39,IF(A39='Données projet'!$A$244,'Données projet'!$B$244,FZ38+FY39-GH38)))</f>
        <v>153.40000000000006</v>
      </c>
      <c r="GA39" s="18">
        <f>FZ39*VLOOKUP('Données projet'!$B$17,Paramètres!$A$1:$I$89,3,0)*VLOOKUP('Données projet'!$B$17,Paramètres!$A$1:$I$89,5,0)</f>
        <v>131.61720000000008</v>
      </c>
      <c r="GB39" s="14">
        <f t="shared" si="49"/>
        <v>34.369777461794328</v>
      </c>
      <c r="GC39" s="22">
        <f t="shared" si="25"/>
        <v>289.09398574595861</v>
      </c>
      <c r="GD39" s="60">
        <f t="shared" si="26"/>
        <v>533.60640398699297</v>
      </c>
      <c r="GE39" s="60">
        <f ca="1">AVERAGE(OFFSET($GD$3,0,0,'Données projet'!$E$17+1,1))-AVERAGE(OFFSET($H$3,0,0,'Données projet'!$E$17+1,1))</f>
        <v>701.44583662096022</v>
      </c>
      <c r="GF39" s="60">
        <f t="shared" si="50"/>
        <v>331.25104323342907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7.6</v>
      </c>
      <c r="GU39" s="13">
        <f>IF('Données projet'!$A$270&gt;35,GU38+GT39-HC38,IF(A39&lt;'Données projet'!$A$270,$GR$205^A39,IF(A39='Données projet'!$A$270,'Données projet'!$B$270,GU38+GT39-HC38)))</f>
        <v>121.60000000000005</v>
      </c>
      <c r="GV39" s="18">
        <f>GU39*VLOOKUP('Données projet'!$B$18,Paramètres!$A$1:$I$89,3,0)*VLOOKUP('Données projet'!$B$18,Paramètres!$A$1:$I$89,5,0)</f>
        <v>98.641920000000042</v>
      </c>
      <c r="GW39" s="14">
        <f t="shared" si="51"/>
        <v>26.638196684151392</v>
      </c>
      <c r="GX39" s="22">
        <f t="shared" si="28"/>
        <v>218.19620322489709</v>
      </c>
      <c r="GY39" s="60">
        <f t="shared" si="29"/>
        <v>462.70862146593151</v>
      </c>
      <c r="GZ39" s="60">
        <f ca="1">AVERAGE(OFFSET($GY$3,0,0,'Données projet'!$E$18+1,1))-AVERAGE(OFFSET($H$3,0,0,'Données projet'!$E$18+1,1))</f>
        <v>272.69564942740931</v>
      </c>
      <c r="HA39" s="60">
        <f t="shared" si="52"/>
        <v>316.57989180609252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25">
      <c r="A40" s="11">
        <f t="shared" si="31"/>
        <v>37</v>
      </c>
      <c r="B40" s="75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8">
        <f t="shared" si="1"/>
        <v>183.33333333333334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projet'!$B$9,Paramètres!$A$1:$I$89,3,0)*VLOOKUP('Données projet'!$B$9,Paramètres!$A$1:$I$89,5,0)</f>
        <v>127.93872000000005</v>
      </c>
      <c r="P40" s="14">
        <f t="shared" si="33"/>
        <v>33.519615889545641</v>
      </c>
      <c r="Q40" s="22">
        <f t="shared" si="53"/>
        <v>281.20660167429202</v>
      </c>
      <c r="R40" s="60">
        <f t="shared" si="0"/>
        <v>526.56595364496309</v>
      </c>
      <c r="S40" s="60">
        <f ca="1">AVERAGE(OFFSET($R$3,0,0,'Données projet'!$E$9+1,1))-AVERAGE(OFFSET($H$3,0,0,'Données projet'!$E$9+1,1))</f>
        <v>570.08763950759544</v>
      </c>
      <c r="T40" s="60">
        <f t="shared" si="34"/>
        <v>297.32483725004136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11.340000000000003</v>
      </c>
      <c r="AI40" s="14">
        <f>IF('Données projet'!$A$62&gt;35,AI39+AH40-AQ39,IF(A40&lt;'Données projet'!$A$62,$AF$205^A40,IF(A40='Données projet'!$A$62,'Données projet'!$B$62,AI39+AH40-AQ39)))</f>
        <v>229.0799999999999</v>
      </c>
      <c r="AJ40" s="14">
        <f>AI40*VLOOKUP('Données projet'!$B$10,Paramètres!$A$1:$I$89,3,0)*VLOOKUP('Données projet'!$B$10,Paramètres!$A$1:$I$89,5,0)</f>
        <v>182.25604799999994</v>
      </c>
      <c r="AK40" s="14">
        <f t="shared" si="35"/>
        <v>45.823750842861273</v>
      </c>
      <c r="AL40" s="22">
        <f t="shared" si="4"/>
        <v>397.23898298464991</v>
      </c>
      <c r="AM40" s="60">
        <f t="shared" si="5"/>
        <v>642.59833495532098</v>
      </c>
      <c r="AN40" s="60">
        <f ca="1">AVERAGE(OFFSET($AM$3,0,0,'Données projet'!$E$10+1,1))-AVERAGE(OFFSET($H$3,0,0,'Données projet'!$E$10+1,1))</f>
        <v>394.49874384716014</v>
      </c>
      <c r="AO40" s="60">
        <f t="shared" si="36"/>
        <v>423.72519584013378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6.7948717948717956</v>
      </c>
      <c r="BD40" s="13">
        <f>IF('Données projet'!$A$88&gt;35,BD39+BC40-BL39,IF(A40&lt;'Données projet'!$A$88,$BA$205^A40,IF(A40='Données projet'!$A$88,'Données projet'!$B$88,BD39+BC40-BL39)))</f>
        <v>139.87179487179486</v>
      </c>
      <c r="BE40" s="14">
        <f>BD40*VLOOKUP('Données projet'!$B$11,Paramètres!$A$1:$I$89,3,0)*VLOOKUP('Données projet'!$B$11,Paramètres!$A$1:$I$89,5,0)</f>
        <v>133.102</v>
      </c>
      <c r="BF40" s="14">
        <f t="shared" si="37"/>
        <v>34.712153760745615</v>
      </c>
      <c r="BG40" s="22">
        <f t="shared" si="7"/>
        <v>292.27631779996528</v>
      </c>
      <c r="BH40" s="60">
        <f t="shared" si="8"/>
        <v>537.63566977063635</v>
      </c>
      <c r="BI40" s="60">
        <f ca="1">AVERAGE(OFFSET($BH$3,0,0,'Données projet'!$E$11+1,1))-AVERAGE(OFFSET($H$3,0,0,'Données projet'!$E$11+1,1))</f>
        <v>441.15969139782891</v>
      </c>
      <c r="BJ40" s="60">
        <f t="shared" si="38"/>
        <v>315.06466790224783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>
        <f>VLOOKUP(A40,'Données projet'!$A$113:$I$133,2,0)</f>
        <v>188</v>
      </c>
      <c r="BW40" s="13">
        <f>VLOOKUP(A40,'Données projet'!$A$113:$I$133,9,0)</f>
        <v>11.5</v>
      </c>
      <c r="BX40" s="13">
        <f t="array" ref="BX40">INDEX(BW:BW,MIN(IF(ISNUMBER(BW40:BW236),ROW(BW40:BW236),"")))</f>
        <v>11.5</v>
      </c>
      <c r="BY40" s="13">
        <f>IF('Données projet'!$A$114&gt;35,BY39+BX40-CG39,IF(A40&lt;'Données projet'!$A$114,$BV$205^A40,IF(A40='Données projet'!$A$114,'Données projet'!$B$114,BY39+BX40-CG39)))</f>
        <v>187.99999999999997</v>
      </c>
      <c r="BZ40" s="14">
        <f>BY40*VLOOKUP('Données projet'!$B$12,Paramètres!$A$1:$I$89,3,0)*VLOOKUP('Données projet'!$B$12,Paramètres!$A$1:$I$89,5,0)</f>
        <v>146.63999999999999</v>
      </c>
      <c r="CA40" s="14">
        <f t="shared" si="39"/>
        <v>37.814009712703026</v>
      </c>
      <c r="CB40" s="22">
        <f t="shared" si="10"/>
        <v>321.25740024962437</v>
      </c>
      <c r="CC40" s="60">
        <f t="shared" si="11"/>
        <v>566.61675222029544</v>
      </c>
      <c r="CD40" s="60">
        <f ca="1">AVERAGE(OFFSET($CC$3,0,0,'Données projet'!$E$12+1,1))-AVERAGE(OFFSET($H$3,0,0,'Données projet'!$E$12+1,1))</f>
        <v>312.59632808777332</v>
      </c>
      <c r="CE40" s="60">
        <f t="shared" si="40"/>
        <v>302.59481222418219</v>
      </c>
      <c r="CF40" s="16">
        <f>IF(ISNA(VLOOKUP(A40,'Données projet'!$A$113:$I$133,3,0)),0,VLOOKUP(A40,'Données projet'!$A$113:$I$133,3,0))</f>
        <v>3</v>
      </c>
      <c r="CG40" s="16">
        <f>IF(ISNA(VLOOKUP(A40,'Données projet'!$A$113:$I$133,4,0)),0,VLOOKUP(A40,'Données projet'!$A$113:$I$133,4,0))</f>
        <v>36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11.2</v>
      </c>
      <c r="CT40" s="13">
        <f>IF('Données projet'!$A$140&gt;35,CT39+CS40-DB39,IF(A40&lt;'Données projet'!$A$140,$CQ$205^A40,IF(A40='Données projet'!$A$140,'Données projet'!$B$140,CT39+CS40-DB39)))</f>
        <v>141.40000000000006</v>
      </c>
      <c r="CU40" s="18">
        <f>CT40*VLOOKUP('Données projet'!$B$13,Paramètres!$A$1:$I$89,3,0)*VLOOKUP('Données projet'!$B$13,Paramètres!$A$1:$I$89,5,0)</f>
        <v>136.76208000000005</v>
      </c>
      <c r="CV40" s="14">
        <f t="shared" si="41"/>
        <v>35.554236342883392</v>
      </c>
      <c r="CW40" s="22">
        <f t="shared" si="13"/>
        <v>300.11758429718867</v>
      </c>
      <c r="CX40" s="60">
        <f t="shared" si="14"/>
        <v>545.47693626785974</v>
      </c>
      <c r="CY40" s="60">
        <f ca="1">AVERAGE(OFFSET($CX$3,0,0,'Données projet'!$E$13+1,1))-AVERAGE(OFFSET($H$3,0,0,'Données projet'!$E$13+1,1))</f>
        <v>603.52431522262032</v>
      </c>
      <c r="CZ40" s="60">
        <f t="shared" si="42"/>
        <v>313.56299786481338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11.2</v>
      </c>
      <c r="DO40" s="13">
        <f>IF('Données projet'!$A$166&gt;35,DO39+DN40-DW39,IF(A40&lt;'Données projet'!$A$166,$DL$205^A40,IF(A40='Données projet'!$A$166,'Données projet'!$B$166,DO39+DN40-DW39)))</f>
        <v>141.40000000000006</v>
      </c>
      <c r="DP40" s="18">
        <f>DO40*VLOOKUP('Données projet'!$B$14,Paramètres!$A$1:$I$89,3,0)*VLOOKUP('Données projet'!$B$14,Paramètres!$A$1:$I$89,5,0)</f>
        <v>152.20296000000005</v>
      </c>
      <c r="DQ40" s="14">
        <f t="shared" si="43"/>
        <v>39.078790593326879</v>
      </c>
      <c r="DR40" s="22">
        <f t="shared" si="16"/>
        <v>333.1490489500444</v>
      </c>
      <c r="DS40" s="60">
        <f t="shared" si="17"/>
        <v>578.50840092071553</v>
      </c>
      <c r="DT40" s="60">
        <f ca="1">AVERAGE(OFFSET($DS$3,0,0,'Données projet'!$E$14+1,1))-AVERAGE(OFFSET($H$3,0,0,'Données projet'!$E$14+1,1))</f>
        <v>661.93515988633499</v>
      </c>
      <c r="DU40" s="60">
        <f t="shared" si="44"/>
        <v>341.9250949809848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7.9487179487179507</v>
      </c>
      <c r="EJ40" s="13">
        <f>IF('Données projet'!$A$192&gt;35,EJ39+EI40-ER39,IF(A40&lt;'Données projet'!$A$192,$EG$205^A40,IF(A40='Données projet'!$A$192,'Données projet'!$B$192,EJ39+EI40-ER39)))</f>
        <v>204.35897435897442</v>
      </c>
      <c r="EK40" s="18">
        <f>EJ40*VLOOKUP('Données projet'!$B$15,Paramètres!$A$1:$I$89,3,0)*VLOOKUP('Données projet'!$B$15,Paramètres!$A$1:$I$89,5,0)</f>
        <v>137.08400000000003</v>
      </c>
      <c r="EL40" s="14">
        <f t="shared" si="45"/>
        <v>35.628174713483716</v>
      </c>
      <c r="EM40" s="22">
        <f t="shared" si="19"/>
        <v>300.80703762598421</v>
      </c>
      <c r="EN40" s="60">
        <f t="shared" si="20"/>
        <v>546.16638959665534</v>
      </c>
      <c r="EO40" s="60">
        <f ca="1">AVERAGE(OFFSET($EN$3,0,0,'Données projet'!$E$15+1,1))-AVERAGE(OFFSET($H$3,0,0,'Données projet'!$E$15+1,1))</f>
        <v>396.0878652679051</v>
      </c>
      <c r="EP40" s="60">
        <f t="shared" si="46"/>
        <v>327.26339199235406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11.340000000000003</v>
      </c>
      <c r="FE40" s="13">
        <f>IF('Données projet'!$A$218&gt;35,FE39+FD40-FM39,IF(A40&lt;'Données projet'!$A$218,$FB$205^A40,IF(A40='Données projet'!$A$218,'Données projet'!$B$218,FE39+FD40-FM39)))</f>
        <v>229.0799999999999</v>
      </c>
      <c r="FF40" s="18">
        <f>FE40*VLOOKUP('Données projet'!$B$16,Paramètres!$A$1:$I$89,3,0)*VLOOKUP('Données projet'!$B$16,Paramètres!$A$1:$I$89,5,0)</f>
        <v>167.96145599999994</v>
      </c>
      <c r="FG40" s="14">
        <f t="shared" si="47"/>
        <v>42.633137473671702</v>
      </c>
      <c r="FH40" s="22">
        <f t="shared" si="22"/>
        <v>366.78558363331143</v>
      </c>
      <c r="FI40" s="60">
        <f t="shared" si="23"/>
        <v>612.1449356039825</v>
      </c>
      <c r="FJ40" s="60">
        <f ca="1">AVERAGE(OFFSET($FI$3,0,0,'Données projet'!$E$16+1,1))-AVERAGE(OFFSET($H$3,0,0,'Données projet'!$E$16+1,1))</f>
        <v>368.35775920359396</v>
      </c>
      <c r="FK40" s="60">
        <f t="shared" si="48"/>
        <v>395.5218438652638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13.4</v>
      </c>
      <c r="FZ40" s="13">
        <f>IF('Données projet'!$A$244&gt;35,FZ39+FY40-GH39,IF(A40&lt;'Données projet'!$A$244,$FW$205^A40,IF(A40='Données projet'!$A$244,'Données projet'!$B$244,FZ39+FY40-GH39)))</f>
        <v>166.80000000000007</v>
      </c>
      <c r="GA40" s="18">
        <f>FZ40*VLOOKUP('Données projet'!$B$17,Paramètres!$A$1:$I$89,3,0)*VLOOKUP('Données projet'!$B$17,Paramètres!$A$1:$I$89,5,0)</f>
        <v>143.11440000000007</v>
      </c>
      <c r="GB40" s="14">
        <f t="shared" si="49"/>
        <v>37.009554635379814</v>
      </c>
      <c r="GC40" s="22">
        <f t="shared" si="25"/>
        <v>313.71588765662</v>
      </c>
      <c r="GD40" s="60">
        <f t="shared" si="26"/>
        <v>559.07523962729113</v>
      </c>
      <c r="GE40" s="60">
        <f ca="1">AVERAGE(OFFSET($GD$3,0,0,'Données projet'!$E$17+1,1))-AVERAGE(OFFSET($H$3,0,0,'Données projet'!$E$17+1,1))</f>
        <v>701.44583662096022</v>
      </c>
      <c r="GF40" s="60">
        <f t="shared" si="50"/>
        <v>331.25104323342907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7.6</v>
      </c>
      <c r="GU40" s="13">
        <f>IF('Données projet'!$A$270&gt;35,GU39+GT40-HC39,IF(A40&lt;'Données projet'!$A$270,$GR$205^A40,IF(A40='Données projet'!$A$270,'Données projet'!$B$270,GU39+GT40-HC39)))</f>
        <v>129.20000000000005</v>
      </c>
      <c r="GV40" s="18">
        <f>GU40*VLOOKUP('Données projet'!$B$18,Paramètres!$A$1:$I$89,3,0)*VLOOKUP('Données projet'!$B$18,Paramètres!$A$1:$I$89,5,0)</f>
        <v>104.80704000000004</v>
      </c>
      <c r="GW40" s="14">
        <f t="shared" si="51"/>
        <v>28.104060486002457</v>
      </c>
      <c r="GX40" s="22">
        <f t="shared" si="28"/>
        <v>231.48683334645435</v>
      </c>
      <c r="GY40" s="60">
        <f t="shared" si="29"/>
        <v>476.84618531712545</v>
      </c>
      <c r="GZ40" s="60">
        <f ca="1">AVERAGE(OFFSET($GY$3,0,0,'Données projet'!$E$18+1,1))-AVERAGE(OFFSET($H$3,0,0,'Données projet'!$E$18+1,1))</f>
        <v>272.69564942740931</v>
      </c>
      <c r="HA40" s="60">
        <f t="shared" si="52"/>
        <v>316.57989180609252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25">
      <c r="A41" s="11">
        <f t="shared" si="31"/>
        <v>38</v>
      </c>
      <c r="B41" s="75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8">
        <f t="shared" si="1"/>
        <v>183.33333333333334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projet'!$B$9,Paramètres!$A$1:$I$89,3,0)*VLOOKUP('Données projet'!$B$9,Paramètres!$A$1:$I$89,5,0)</f>
        <v>138.07248000000004</v>
      </c>
      <c r="P41" s="14">
        <f t="shared" si="33"/>
        <v>35.85508207677799</v>
      </c>
      <c r="Q41" s="22">
        <f t="shared" si="53"/>
        <v>302.92383728372175</v>
      </c>
      <c r="R41" s="60">
        <f t="shared" si="0"/>
        <v>549.11543057728045</v>
      </c>
      <c r="S41" s="60">
        <f ca="1">AVERAGE(OFFSET($R$3,0,0,'Données projet'!$E$9+1,1))-AVERAGE(OFFSET($H$3,0,0,'Données projet'!$E$9+1,1))</f>
        <v>570.08763950759544</v>
      </c>
      <c r="T41" s="60">
        <f t="shared" si="34"/>
        <v>297.32483725004136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11.340000000000003</v>
      </c>
      <c r="AI41" s="14">
        <f>IF('Données projet'!$A$62&gt;35,AI40+AH41-AQ40,IF(A41&lt;'Données projet'!$A$62,$AF$205^A41,IF(A41='Données projet'!$A$62,'Données projet'!$B$62,AI40+AH41-AQ40)))</f>
        <v>240.4199999999999</v>
      </c>
      <c r="AJ41" s="14">
        <f>AI41*VLOOKUP('Données projet'!$B$10,Paramètres!$A$1:$I$89,3,0)*VLOOKUP('Données projet'!$B$10,Paramètres!$A$1:$I$89,5,0)</f>
        <v>191.27815199999995</v>
      </c>
      <c r="AK41" s="14">
        <f t="shared" si="35"/>
        <v>47.822423751245466</v>
      </c>
      <c r="AL41" s="22">
        <f t="shared" si="4"/>
        <v>416.43350276675238</v>
      </c>
      <c r="AM41" s="60">
        <f t="shared" si="5"/>
        <v>662.62509606031108</v>
      </c>
      <c r="AN41" s="60">
        <f ca="1">AVERAGE(OFFSET($AM$3,0,0,'Données projet'!$E$10+1,1))-AVERAGE(OFFSET($H$3,0,0,'Données projet'!$E$10+1,1))</f>
        <v>394.49874384716014</v>
      </c>
      <c r="AO41" s="60">
        <f t="shared" si="36"/>
        <v>423.72519584013378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6.7948717948717956</v>
      </c>
      <c r="BD41" s="13">
        <f>IF('Données projet'!$A$88&gt;35,BD40+BC41-BL40,IF(A41&lt;'Données projet'!$A$88,$BA$205^A41,IF(A41='Données projet'!$A$88,'Données projet'!$B$88,BD40+BC41-BL40)))</f>
        <v>146.66666666666666</v>
      </c>
      <c r="BE41" s="14">
        <f>BD41*VLOOKUP('Données projet'!$B$11,Paramètres!$A$1:$I$89,3,0)*VLOOKUP('Données projet'!$B$11,Paramètres!$A$1:$I$89,5,0)</f>
        <v>139.56799999999998</v>
      </c>
      <c r="BF41" s="14">
        <f t="shared" si="37"/>
        <v>36.198022567902299</v>
      </c>
      <c r="BG41" s="22">
        <f t="shared" si="7"/>
        <v>306.12582263909644</v>
      </c>
      <c r="BH41" s="60">
        <f t="shared" si="8"/>
        <v>552.31741593265519</v>
      </c>
      <c r="BI41" s="60">
        <f ca="1">AVERAGE(OFFSET($BH$3,0,0,'Données projet'!$E$11+1,1))-AVERAGE(OFFSET($H$3,0,0,'Données projet'!$E$11+1,1))</f>
        <v>441.15969139782891</v>
      </c>
      <c r="BJ41" s="60">
        <f t="shared" si="38"/>
        <v>315.06466790224783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11.142857142857142</v>
      </c>
      <c r="BY41" s="13">
        <f>IF('Données projet'!$A$114&gt;35,BY40+BX41-CG40,IF(A41&lt;'Données projet'!$A$114,$BV$205^A41,IF(A41='Données projet'!$A$114,'Données projet'!$B$114,BY40+BX41-CG40)))</f>
        <v>163.14285714285711</v>
      </c>
      <c r="BZ41" s="14">
        <f>BY41*VLOOKUP('Données projet'!$B$12,Paramètres!$A$1:$I$89,3,0)*VLOOKUP('Données projet'!$B$12,Paramètres!$A$1:$I$89,5,0)</f>
        <v>127.25142857142855</v>
      </c>
      <c r="CA41" s="14">
        <f t="shared" si="39"/>
        <v>33.360457439554281</v>
      </c>
      <c r="CB41" s="22">
        <f t="shared" si="10"/>
        <v>279.73236813579507</v>
      </c>
      <c r="CC41" s="60">
        <f t="shared" si="11"/>
        <v>525.92396142935377</v>
      </c>
      <c r="CD41" s="60">
        <f ca="1">AVERAGE(OFFSET($CC$3,0,0,'Données projet'!$E$12+1,1))-AVERAGE(OFFSET($H$3,0,0,'Données projet'!$E$12+1,1))</f>
        <v>312.59632808777332</v>
      </c>
      <c r="CE41" s="60">
        <f t="shared" si="40"/>
        <v>302.59481222418219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11.2</v>
      </c>
      <c r="CT41" s="13">
        <f>IF('Données projet'!$A$140&gt;35,CT40+CS41-DB40,IF(A41&lt;'Données projet'!$A$140,$CQ$205^A41,IF(A41='Données projet'!$A$140,'Données projet'!$B$140,CT40+CS41-DB40)))</f>
        <v>152.60000000000005</v>
      </c>
      <c r="CU41" s="18">
        <f>CT41*VLOOKUP('Données projet'!$B$13,Paramètres!$A$1:$I$89,3,0)*VLOOKUP('Données projet'!$B$13,Paramètres!$A$1:$I$89,5,0)</f>
        <v>147.59472000000005</v>
      </c>
      <c r="CV41" s="14">
        <f t="shared" si="41"/>
        <v>38.031463918082679</v>
      </c>
      <c r="CW41" s="22">
        <f t="shared" si="13"/>
        <v>323.29893699066071</v>
      </c>
      <c r="CX41" s="60">
        <f t="shared" si="14"/>
        <v>569.4905302842194</v>
      </c>
      <c r="CY41" s="60">
        <f ca="1">AVERAGE(OFFSET($CX$3,0,0,'Données projet'!$E$13+1,1))-AVERAGE(OFFSET($H$3,0,0,'Données projet'!$E$13+1,1))</f>
        <v>603.52431522262032</v>
      </c>
      <c r="CZ41" s="60">
        <f t="shared" si="42"/>
        <v>313.56299786481338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11.2</v>
      </c>
      <c r="DO41" s="13">
        <f>IF('Données projet'!$A$166&gt;35,DO40+DN41-DW40,IF(A41&lt;'Données projet'!$A$166,$DL$205^A41,IF(A41='Données projet'!$A$166,'Données projet'!$B$166,DO40+DN41-DW40)))</f>
        <v>152.60000000000005</v>
      </c>
      <c r="DP41" s="18">
        <f>DO41*VLOOKUP('Données projet'!$B$14,Paramètres!$A$1:$I$89,3,0)*VLOOKUP('Données projet'!$B$14,Paramètres!$A$1:$I$89,5,0)</f>
        <v>164.25864000000004</v>
      </c>
      <c r="DQ41" s="14">
        <f t="shared" si="43"/>
        <v>41.80159011374478</v>
      </c>
      <c r="DR41" s="22">
        <f t="shared" si="16"/>
        <v>358.88823411477216</v>
      </c>
      <c r="DS41" s="60">
        <f t="shared" si="17"/>
        <v>605.07982740833086</v>
      </c>
      <c r="DT41" s="60">
        <f ca="1">AVERAGE(OFFSET($DS$3,0,0,'Données projet'!$E$14+1,1))-AVERAGE(OFFSET($H$3,0,0,'Données projet'!$E$14+1,1))</f>
        <v>661.93515988633499</v>
      </c>
      <c r="DU41" s="60">
        <f t="shared" si="44"/>
        <v>341.9250949809848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7.9487179487179507</v>
      </c>
      <c r="EJ41" s="13">
        <f>IF('Données projet'!$A$192&gt;35,EJ40+EI41-ER40,IF(A41&lt;'Données projet'!$A$192,$EG$205^A41,IF(A41='Données projet'!$A$192,'Données projet'!$B$192,EJ40+EI41-ER40)))</f>
        <v>212.30769230769238</v>
      </c>
      <c r="EK41" s="18">
        <f>EJ41*VLOOKUP('Données projet'!$B$15,Paramètres!$A$1:$I$89,3,0)*VLOOKUP('Données projet'!$B$15,Paramètres!$A$1:$I$89,5,0)</f>
        <v>142.41600000000005</v>
      </c>
      <c r="EL41" s="14">
        <f t="shared" si="45"/>
        <v>36.849924818088418</v>
      </c>
      <c r="EM41" s="22">
        <f t="shared" si="19"/>
        <v>312.22148572483741</v>
      </c>
      <c r="EN41" s="60">
        <f t="shared" si="20"/>
        <v>558.41307901839616</v>
      </c>
      <c r="EO41" s="60">
        <f ca="1">AVERAGE(OFFSET($EN$3,0,0,'Données projet'!$E$15+1,1))-AVERAGE(OFFSET($H$3,0,0,'Données projet'!$E$15+1,1))</f>
        <v>396.0878652679051</v>
      </c>
      <c r="EP41" s="60">
        <f t="shared" si="46"/>
        <v>327.26339199235406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11.340000000000003</v>
      </c>
      <c r="FE41" s="13">
        <f>IF('Données projet'!$A$218&gt;35,FE40+FD41-FM40,IF(A41&lt;'Données projet'!$A$218,$FB$205^A41,IF(A41='Données projet'!$A$218,'Données projet'!$B$218,FE40+FD41-FM40)))</f>
        <v>240.4199999999999</v>
      </c>
      <c r="FF41" s="18">
        <f>FE41*VLOOKUP('Données projet'!$B$16,Paramètres!$A$1:$I$89,3,0)*VLOOKUP('Données projet'!$B$16,Paramètres!$A$1:$I$89,5,0)</f>
        <v>176.27594399999992</v>
      </c>
      <c r="FG41" s="14">
        <f t="shared" si="47"/>
        <v>44.492646904932492</v>
      </c>
      <c r="FH41" s="22">
        <f t="shared" si="22"/>
        <v>384.50529582609062</v>
      </c>
      <c r="FI41" s="60">
        <f t="shared" si="23"/>
        <v>630.69688911964931</v>
      </c>
      <c r="FJ41" s="60">
        <f ca="1">AVERAGE(OFFSET($FI$3,0,0,'Données projet'!$E$16+1,1))-AVERAGE(OFFSET($H$3,0,0,'Données projet'!$E$16+1,1))</f>
        <v>368.35775920359396</v>
      </c>
      <c r="FK41" s="60">
        <f t="shared" si="48"/>
        <v>395.5218438652638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13.4</v>
      </c>
      <c r="FZ41" s="13">
        <f>IF('Données projet'!$A$244&gt;35,FZ40+FY41-GH40,IF(A41&lt;'Données projet'!$A$244,$FW$205^A41,IF(A41='Données projet'!$A$244,'Données projet'!$B$244,FZ40+FY41-GH40)))</f>
        <v>180.20000000000007</v>
      </c>
      <c r="GA41" s="18">
        <f>FZ41*VLOOKUP('Données projet'!$B$17,Paramètres!$A$1:$I$89,3,0)*VLOOKUP('Données projet'!$B$17,Paramètres!$A$1:$I$89,5,0)</f>
        <v>154.61160000000007</v>
      </c>
      <c r="GB41" s="14">
        <f t="shared" si="49"/>
        <v>39.624734188365885</v>
      </c>
      <c r="GC41" s="22">
        <f t="shared" si="25"/>
        <v>338.294948711404</v>
      </c>
      <c r="GD41" s="60">
        <f t="shared" si="26"/>
        <v>584.48654200496276</v>
      </c>
      <c r="GE41" s="60">
        <f ca="1">AVERAGE(OFFSET($GD$3,0,0,'Données projet'!$E$17+1,1))-AVERAGE(OFFSET($H$3,0,0,'Données projet'!$E$17+1,1))</f>
        <v>701.44583662096022</v>
      </c>
      <c r="GF41" s="60">
        <f t="shared" si="50"/>
        <v>331.25104323342907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7.6</v>
      </c>
      <c r="GU41" s="13">
        <f>IF('Données projet'!$A$270&gt;35,GU40+GT41-HC40,IF(A41&lt;'Données projet'!$A$270,$GR$205^A41,IF(A41='Données projet'!$A$270,'Données projet'!$B$270,GU40+GT41-HC40)))</f>
        <v>136.80000000000004</v>
      </c>
      <c r="GV41" s="18">
        <f>GU41*VLOOKUP('Données projet'!$B$18,Paramètres!$A$1:$I$89,3,0)*VLOOKUP('Données projet'!$B$18,Paramètres!$A$1:$I$89,5,0)</f>
        <v>110.97216000000004</v>
      </c>
      <c r="GW41" s="14">
        <f t="shared" si="51"/>
        <v>29.559915623187329</v>
      </c>
      <c r="GX41" s="22">
        <f t="shared" si="28"/>
        <v>244.76003171038471</v>
      </c>
      <c r="GY41" s="60">
        <f t="shared" si="29"/>
        <v>490.95162500394343</v>
      </c>
      <c r="GZ41" s="60">
        <f ca="1">AVERAGE(OFFSET($GY$3,0,0,'Données projet'!$E$18+1,1))-AVERAGE(OFFSET($H$3,0,0,'Données projet'!$E$18+1,1))</f>
        <v>272.69564942740931</v>
      </c>
      <c r="HA41" s="60">
        <f t="shared" si="52"/>
        <v>316.57989180609252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25">
      <c r="A42" s="11">
        <f t="shared" si="31"/>
        <v>39</v>
      </c>
      <c r="B42" s="75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8">
        <f t="shared" si="1"/>
        <v>183.33333333333334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projet'!$B$9,Paramètres!$A$1:$I$89,3,0)*VLOOKUP('Données projet'!$B$9,Paramètres!$A$1:$I$89,5,0)</f>
        <v>148.20624000000004</v>
      </c>
      <c r="P42" s="14">
        <f t="shared" si="33"/>
        <v>38.170662245893794</v>
      </c>
      <c r="Q42" s="22">
        <f t="shared" si="53"/>
        <v>324.60643807826506</v>
      </c>
      <c r="R42" s="60">
        <f t="shared" si="0"/>
        <v>571.6158351683722</v>
      </c>
      <c r="S42" s="60">
        <f ca="1">AVERAGE(OFFSET($R$3,0,0,'Données projet'!$E$9+1,1))-AVERAGE(OFFSET($H$3,0,0,'Données projet'!$E$9+1,1))</f>
        <v>570.08763950759544</v>
      </c>
      <c r="T42" s="60">
        <f t="shared" si="34"/>
        <v>297.32483725004136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11.340000000000003</v>
      </c>
      <c r="AI42" s="14">
        <f>IF('Données projet'!$A$62&gt;35,AI41+AH42-AQ41,IF(A42&lt;'Données projet'!$A$62,$AF$205^A42,IF(A42='Données projet'!$A$62,'Données projet'!$B$62,AI41+AH42-AQ41)))</f>
        <v>251.75999999999991</v>
      </c>
      <c r="AJ42" s="14">
        <f>AI42*VLOOKUP('Données projet'!$B$10,Paramètres!$A$1:$I$89,3,0)*VLOOKUP('Données projet'!$B$10,Paramètres!$A$1:$I$89,5,0)</f>
        <v>200.30025599999993</v>
      </c>
      <c r="AK42" s="14">
        <f t="shared" si="35"/>
        <v>49.810149143959919</v>
      </c>
      <c r="AL42" s="22">
        <f t="shared" si="4"/>
        <v>435.60895562573</v>
      </c>
      <c r="AM42" s="60">
        <f t="shared" si="5"/>
        <v>682.61835271583709</v>
      </c>
      <c r="AN42" s="60">
        <f ca="1">AVERAGE(OFFSET($AM$3,0,0,'Données projet'!$E$10+1,1))-AVERAGE(OFFSET($H$3,0,0,'Données projet'!$E$10+1,1))</f>
        <v>394.49874384716014</v>
      </c>
      <c r="AO42" s="60">
        <f t="shared" si="36"/>
        <v>423.72519584013378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6.7948717948717956</v>
      </c>
      <c r="BD42" s="13">
        <f>IF('Données projet'!$A$88&gt;35,BD41+BC42-BL41,IF(A42&lt;'Données projet'!$A$88,$BA$205^A42,IF(A42='Données projet'!$A$88,'Données projet'!$B$88,BD41+BC42-BL41)))</f>
        <v>153.46153846153845</v>
      </c>
      <c r="BE42" s="14">
        <f>BD42*VLOOKUP('Données projet'!$B$11,Paramètres!$A$1:$I$89,3,0)*VLOOKUP('Données projet'!$B$11,Paramètres!$A$1:$I$89,5,0)</f>
        <v>146.03399999999999</v>
      </c>
      <c r="BF42" s="14">
        <f t="shared" si="37"/>
        <v>37.675897140446111</v>
      </c>
      <c r="BG42" s="22">
        <f t="shared" si="7"/>
        <v>319.96140418627698</v>
      </c>
      <c r="BH42" s="60">
        <f t="shared" si="8"/>
        <v>566.97080127638412</v>
      </c>
      <c r="BI42" s="60">
        <f ca="1">AVERAGE(OFFSET($BH$3,0,0,'Données projet'!$E$11+1,1))-AVERAGE(OFFSET($H$3,0,0,'Données projet'!$E$11+1,1))</f>
        <v>441.15969139782891</v>
      </c>
      <c r="BJ42" s="60">
        <f t="shared" si="38"/>
        <v>315.06466790224783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11.142857142857142</v>
      </c>
      <c r="BY42" s="13">
        <f>IF('Données projet'!$A$114&gt;35,BY41+BX42-CG41,IF(A42&lt;'Données projet'!$A$114,$BV$205^A42,IF(A42='Données projet'!$A$114,'Données projet'!$B$114,BY41+BX42-CG41)))</f>
        <v>174.28571428571425</v>
      </c>
      <c r="BZ42" s="14">
        <f>BY42*VLOOKUP('Données projet'!$B$12,Paramètres!$A$1:$I$89,3,0)*VLOOKUP('Données projet'!$B$12,Paramètres!$A$1:$I$89,5,0)</f>
        <v>135.94285714285712</v>
      </c>
      <c r="CA42" s="14">
        <f t="shared" si="39"/>
        <v>35.365986273808367</v>
      </c>
      <c r="CB42" s="22">
        <f t="shared" si="10"/>
        <v>298.36290228402572</v>
      </c>
      <c r="CC42" s="60">
        <f t="shared" si="11"/>
        <v>545.37229937413281</v>
      </c>
      <c r="CD42" s="60">
        <f ca="1">AVERAGE(OFFSET($CC$3,0,0,'Données projet'!$E$12+1,1))-AVERAGE(OFFSET($H$3,0,0,'Données projet'!$E$12+1,1))</f>
        <v>312.59632808777332</v>
      </c>
      <c r="CE42" s="60">
        <f t="shared" si="40"/>
        <v>302.59481222418219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11.2</v>
      </c>
      <c r="CT42" s="13">
        <f>IF('Données projet'!$A$140&gt;35,CT41+CS42-DB41,IF(A42&lt;'Données projet'!$A$140,$CQ$205^A42,IF(A42='Données projet'!$A$140,'Données projet'!$B$140,CT41+CS42-DB41)))</f>
        <v>163.80000000000004</v>
      </c>
      <c r="CU42" s="18">
        <f>CT42*VLOOKUP('Données projet'!$B$13,Paramètres!$A$1:$I$89,3,0)*VLOOKUP('Données projet'!$B$13,Paramètres!$A$1:$I$89,5,0)</f>
        <v>158.42736000000005</v>
      </c>
      <c r="CV42" s="14">
        <f t="shared" si="41"/>
        <v>40.487598405868248</v>
      </c>
      <c r="CW42" s="22">
        <f t="shared" si="13"/>
        <v>346.44355255688725</v>
      </c>
      <c r="CX42" s="60">
        <f t="shared" si="14"/>
        <v>593.4529496469944</v>
      </c>
      <c r="CY42" s="60">
        <f ca="1">AVERAGE(OFFSET($CX$3,0,0,'Données projet'!$E$13+1,1))-AVERAGE(OFFSET($H$3,0,0,'Données projet'!$E$13+1,1))</f>
        <v>603.52431522262032</v>
      </c>
      <c r="CZ42" s="60">
        <f t="shared" si="42"/>
        <v>313.56299786481338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11.2</v>
      </c>
      <c r="DO42" s="13">
        <f>IF('Données projet'!$A$166&gt;35,DO41+DN42-DW41,IF(A42&lt;'Données projet'!$A$166,$DL$205^A42,IF(A42='Données projet'!$A$166,'Données projet'!$B$166,DO41+DN42-DW41)))</f>
        <v>163.80000000000004</v>
      </c>
      <c r="DP42" s="18">
        <f>DO42*VLOOKUP('Données projet'!$B$14,Paramètres!$A$1:$I$89,3,0)*VLOOKUP('Données projet'!$B$14,Paramètres!$A$1:$I$89,5,0)</f>
        <v>176.31432000000004</v>
      </c>
      <c r="DQ42" s="14">
        <f t="shared" si="43"/>
        <v>44.501205551735552</v>
      </c>
      <c r="DR42" s="22">
        <f t="shared" si="16"/>
        <v>384.58704033593949</v>
      </c>
      <c r="DS42" s="60">
        <f t="shared" si="17"/>
        <v>631.59643742604658</v>
      </c>
      <c r="DT42" s="60">
        <f ca="1">AVERAGE(OFFSET($DS$3,0,0,'Données projet'!$E$14+1,1))-AVERAGE(OFFSET($H$3,0,0,'Données projet'!$E$14+1,1))</f>
        <v>661.93515988633499</v>
      </c>
      <c r="DU42" s="60">
        <f t="shared" si="44"/>
        <v>341.9250949809848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7.9487179487179507</v>
      </c>
      <c r="EJ42" s="13">
        <f>IF('Données projet'!$A$192&gt;35,EJ41+EI42-ER41,IF(A42&lt;'Données projet'!$A$192,$EG$205^A42,IF(A42='Données projet'!$A$192,'Données projet'!$B$192,EJ41+EI42-ER41)))</f>
        <v>220.25641025641033</v>
      </c>
      <c r="EK42" s="18">
        <f>EJ42*VLOOKUP('Données projet'!$B$15,Paramètres!$A$1:$I$89,3,0)*VLOOKUP('Données projet'!$B$15,Paramètres!$A$1:$I$89,5,0)</f>
        <v>147.74800000000008</v>
      </c>
      <c r="EL42" s="14">
        <f t="shared" si="45"/>
        <v>38.066360844681896</v>
      </c>
      <c r="EM42" s="22">
        <f t="shared" si="19"/>
        <v>323.62667847115443</v>
      </c>
      <c r="EN42" s="60">
        <f t="shared" si="20"/>
        <v>570.63607556126158</v>
      </c>
      <c r="EO42" s="60">
        <f ca="1">AVERAGE(OFFSET($EN$3,0,0,'Données projet'!$E$15+1,1))-AVERAGE(OFFSET($H$3,0,0,'Données projet'!$E$15+1,1))</f>
        <v>396.0878652679051</v>
      </c>
      <c r="EP42" s="60">
        <f t="shared" si="46"/>
        <v>327.26339199235406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11.340000000000003</v>
      </c>
      <c r="FE42" s="13">
        <f>IF('Données projet'!$A$218&gt;35,FE41+FD42-FM41,IF(A42&lt;'Données projet'!$A$218,$FB$205^A42,IF(A42='Données projet'!$A$218,'Données projet'!$B$218,FE41+FD42-FM41)))</f>
        <v>251.75999999999991</v>
      </c>
      <c r="FF42" s="18">
        <f>FE42*VLOOKUP('Données projet'!$B$16,Paramètres!$A$1:$I$89,3,0)*VLOOKUP('Données projet'!$B$16,Paramètres!$A$1:$I$89,5,0)</f>
        <v>184.59043199999994</v>
      </c>
      <c r="FG42" s="14">
        <f t="shared" si="47"/>
        <v>46.341971073486597</v>
      </c>
      <c r="FH42" s="22">
        <f t="shared" si="22"/>
        <v>402.20726868632238</v>
      </c>
      <c r="FI42" s="60">
        <f t="shared" si="23"/>
        <v>649.21666577642952</v>
      </c>
      <c r="FJ42" s="60">
        <f ca="1">AVERAGE(OFFSET($FI$3,0,0,'Données projet'!$E$16+1,1))-AVERAGE(OFFSET($H$3,0,0,'Données projet'!$E$16+1,1))</f>
        <v>368.35775920359396</v>
      </c>
      <c r="FK42" s="60">
        <f t="shared" si="48"/>
        <v>395.5218438652638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13.4</v>
      </c>
      <c r="FZ42" s="13">
        <f>IF('Données projet'!$A$244&gt;35,FZ41+FY42-GH41,IF(A42&lt;'Données projet'!$A$244,$FW$205^A42,IF(A42='Données projet'!$A$244,'Données projet'!$B$244,FZ41+FY42-GH41)))</f>
        <v>193.60000000000008</v>
      </c>
      <c r="GA42" s="18">
        <f>FZ42*VLOOKUP('Données projet'!$B$17,Paramètres!$A$1:$I$89,3,0)*VLOOKUP('Données projet'!$B$17,Paramètres!$A$1:$I$89,5,0)</f>
        <v>166.10880000000009</v>
      </c>
      <c r="GB42" s="14">
        <f t="shared" si="49"/>
        <v>42.217353238107833</v>
      </c>
      <c r="GC42" s="22">
        <f t="shared" si="25"/>
        <v>362.83471688970462</v>
      </c>
      <c r="GD42" s="60">
        <f t="shared" si="26"/>
        <v>609.84411397981171</v>
      </c>
      <c r="GE42" s="60">
        <f ca="1">AVERAGE(OFFSET($GD$3,0,0,'Données projet'!$E$17+1,1))-AVERAGE(OFFSET($H$3,0,0,'Données projet'!$E$17+1,1))</f>
        <v>701.44583662096022</v>
      </c>
      <c r="GF42" s="60">
        <f t="shared" si="50"/>
        <v>331.25104323342907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7.6</v>
      </c>
      <c r="GU42" s="13">
        <f>IF('Données projet'!$A$270&gt;35,GU41+GT42-HC41,IF(A42&lt;'Données projet'!$A$270,$GR$205^A42,IF(A42='Données projet'!$A$270,'Données projet'!$B$270,GU41+GT42-HC41)))</f>
        <v>144.40000000000003</v>
      </c>
      <c r="GV42" s="18">
        <f>GU42*VLOOKUP('Données projet'!$B$18,Paramètres!$A$1:$I$89,3,0)*VLOOKUP('Données projet'!$B$18,Paramètres!$A$1:$I$89,5,0)</f>
        <v>117.13728000000003</v>
      </c>
      <c r="GW42" s="14">
        <f t="shared" si="51"/>
        <v>31.006381507018595</v>
      </c>
      <c r="GX42" s="22">
        <f t="shared" si="28"/>
        <v>258.01687712472409</v>
      </c>
      <c r="GY42" s="60">
        <f t="shared" si="29"/>
        <v>505.02627421483123</v>
      </c>
      <c r="GZ42" s="60">
        <f ca="1">AVERAGE(OFFSET($GY$3,0,0,'Données projet'!$E$18+1,1))-AVERAGE(OFFSET($H$3,0,0,'Données projet'!$E$18+1,1))</f>
        <v>272.69564942740931</v>
      </c>
      <c r="HA42" s="60">
        <f t="shared" si="52"/>
        <v>316.57989180609252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25">
      <c r="A43" s="11">
        <f t="shared" si="31"/>
        <v>40</v>
      </c>
      <c r="B43" s="75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8">
        <f t="shared" si="1"/>
        <v>183.33333333333334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projet'!$B$9,Paramètres!$A$1:$I$89,3,0)*VLOOKUP('Données projet'!$B$9,Paramètres!$A$1:$I$89,5,0)</f>
        <v>158.34000000000003</v>
      </c>
      <c r="P43" s="14">
        <f t="shared" si="33"/>
        <v>40.467870812652819</v>
      </c>
      <c r="Q43" s="22">
        <f t="shared" si="53"/>
        <v>346.25704166537042</v>
      </c>
      <c r="R43" s="60">
        <f t="shared" si="0"/>
        <v>594.07005548449126</v>
      </c>
      <c r="S43" s="60">
        <f ca="1">AVERAGE(OFFSET($R$3,0,0,'Données projet'!$E$9+1,1))-AVERAGE(OFFSET($H$3,0,0,'Données projet'!$E$9+1,1))</f>
        <v>570.08763950759544</v>
      </c>
      <c r="T43" s="60">
        <f t="shared" si="34"/>
        <v>297.32483725004136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263.10000000000002</v>
      </c>
      <c r="AG43" s="13">
        <f>VLOOKUP(A43,'Données projet'!$A$61:$I$81,9,0)</f>
        <v>11.340000000000003</v>
      </c>
      <c r="AH43" s="13">
        <f t="array" ref="AH43">INDEX(AG:AG,MIN(IF(ISNUMBER(AG43:AG239),ROW(AG43:AG239),"")))</f>
        <v>11.340000000000003</v>
      </c>
      <c r="AI43" s="14">
        <f>IF('Données projet'!$A$62&gt;35,AI42+AH43-AQ42,IF(A43&lt;'Données projet'!$A$62,$AF$205^A43,IF(A43='Données projet'!$A$62,'Données projet'!$B$62,AI42+AH43-AQ42)))</f>
        <v>263.09999999999991</v>
      </c>
      <c r="AJ43" s="14">
        <f>AI43*VLOOKUP('Données projet'!$B$10,Paramètres!$A$1:$I$89,3,0)*VLOOKUP('Données projet'!$B$10,Paramètres!$A$1:$I$89,5,0)</f>
        <v>209.32235999999995</v>
      </c>
      <c r="AK43" s="14">
        <f t="shared" si="35"/>
        <v>51.78747646553299</v>
      </c>
      <c r="AL43" s="22">
        <f t="shared" si="4"/>
        <v>454.7662985108031</v>
      </c>
      <c r="AM43" s="60">
        <f t="shared" si="5"/>
        <v>702.57931232992394</v>
      </c>
      <c r="AN43" s="60">
        <f ca="1">AVERAGE(OFFSET($AM$3,0,0,'Données projet'!$E$10+1,1))-AVERAGE(OFFSET($H$3,0,0,'Données projet'!$E$10+1,1))</f>
        <v>394.49874384716014</v>
      </c>
      <c r="AO43" s="60">
        <f t="shared" si="36"/>
        <v>423.72519584013378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70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160.25641025641025</v>
      </c>
      <c r="BB43" s="13">
        <f>VLOOKUP(A43,'Données projet'!$A$87:$I$107,9,0)</f>
        <v>6.7948717948717956</v>
      </c>
      <c r="BC43" s="13">
        <f t="array" ref="BC43">INDEX(BB:BB,MIN(IF(ISNUMBER(BB43:BB239),ROW(BB43:BB239),"")))</f>
        <v>6.7948717948717956</v>
      </c>
      <c r="BD43" s="13">
        <f>IF('Données projet'!$A$88&gt;35,BD42+BC43-BL42,IF(A43&lt;'Données projet'!$A$88,$BA$205^A43,IF(A43='Données projet'!$A$88,'Données projet'!$B$88,BD42+BC43-BL42)))</f>
        <v>160.25641025641025</v>
      </c>
      <c r="BE43" s="14">
        <f>BD43*VLOOKUP('Données projet'!$B$11,Paramètres!$A$1:$I$89,3,0)*VLOOKUP('Données projet'!$B$11,Paramètres!$A$1:$I$89,5,0)</f>
        <v>152.5</v>
      </c>
      <c r="BF43" s="14">
        <f t="shared" si="37"/>
        <v>39.146171889962673</v>
      </c>
      <c r="BG43" s="22">
        <f t="shared" si="7"/>
        <v>333.78374937501832</v>
      </c>
      <c r="BH43" s="60">
        <f t="shared" si="8"/>
        <v>581.59676319413916</v>
      </c>
      <c r="BI43" s="60">
        <f ca="1">AVERAGE(OFFSET($BH$3,0,0,'Données projet'!$E$11+1,1))-AVERAGE(OFFSET($H$3,0,0,'Données projet'!$E$11+1,1))</f>
        <v>441.15969139782891</v>
      </c>
      <c r="BJ43" s="60">
        <f t="shared" si="38"/>
        <v>315.06466790224783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11.142857142857142</v>
      </c>
      <c r="BY43" s="13">
        <f>IF('Données projet'!$A$114&gt;35,BY42+BX43-CG42,IF(A43&lt;'Données projet'!$A$114,$BV$205^A43,IF(A43='Données projet'!$A$114,'Données projet'!$B$114,BY42+BX43-CG42)))</f>
        <v>185.42857142857139</v>
      </c>
      <c r="BZ43" s="14">
        <f>BY43*VLOOKUP('Données projet'!$B$12,Paramètres!$A$1:$I$89,3,0)*VLOOKUP('Données projet'!$B$12,Paramètres!$A$1:$I$89,5,0)</f>
        <v>144.63428571428568</v>
      </c>
      <c r="CA43" s="14">
        <f t="shared" si="39"/>
        <v>37.356634728420524</v>
      </c>
      <c r="CB43" s="22">
        <f t="shared" si="10"/>
        <v>316.96751977104663</v>
      </c>
      <c r="CC43" s="60">
        <f t="shared" si="11"/>
        <v>564.78053359016747</v>
      </c>
      <c r="CD43" s="60">
        <f ca="1">AVERAGE(OFFSET($CC$3,0,0,'Données projet'!$E$12+1,1))-AVERAGE(OFFSET($H$3,0,0,'Données projet'!$E$12+1,1))</f>
        <v>312.59632808777332</v>
      </c>
      <c r="CE43" s="60">
        <f t="shared" si="40"/>
        <v>302.59481222418219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175</v>
      </c>
      <c r="CR43" s="13">
        <f>VLOOKUP(A43,'Données projet'!$A$139:$I$159,9,0)</f>
        <v>11.2</v>
      </c>
      <c r="CS43" s="13">
        <f t="array" ref="CS43">INDEX(CR:CR,MIN(IF(ISNUMBER(CR43:CR239),ROW(CR43:CR239),"")))</f>
        <v>11.2</v>
      </c>
      <c r="CT43" s="13">
        <f>IF('Données projet'!$A$140&gt;35,CT42+CS43-DB42,IF(A43&lt;'Données projet'!$A$140,$CQ$205^A43,IF(A43='Données projet'!$A$140,'Données projet'!$B$140,CT42+CS43-DB42)))</f>
        <v>175.00000000000003</v>
      </c>
      <c r="CU43" s="18">
        <f>CT43*VLOOKUP('Données projet'!$B$13,Paramètres!$A$1:$I$89,3,0)*VLOOKUP('Données projet'!$B$13,Paramètres!$A$1:$I$89,5,0)</f>
        <v>169.26000000000002</v>
      </c>
      <c r="CV43" s="14">
        <f t="shared" si="41"/>
        <v>42.924246146122272</v>
      </c>
      <c r="CW43" s="22">
        <f t="shared" si="13"/>
        <v>369.55422870449632</v>
      </c>
      <c r="CX43" s="60">
        <f t="shared" si="14"/>
        <v>617.36724252361716</v>
      </c>
      <c r="CY43" s="60">
        <f ca="1">AVERAGE(OFFSET($CX$3,0,0,'Données projet'!$E$13+1,1))-AVERAGE(OFFSET($H$3,0,0,'Données projet'!$E$13+1,1))</f>
        <v>603.52431522262032</v>
      </c>
      <c r="CZ43" s="60">
        <f t="shared" si="42"/>
        <v>313.56299786481338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175</v>
      </c>
      <c r="DM43" s="13">
        <f>VLOOKUP(A43,'Données projet'!$A$165:$I$185,9,0)</f>
        <v>11.2</v>
      </c>
      <c r="DN43" s="13">
        <f t="array" ref="DN43">INDEX(DM:DM,MIN(IF(ISNUMBER(DM43:DM239),ROW(DM43:DM239),"")))</f>
        <v>11.2</v>
      </c>
      <c r="DO43" s="13">
        <f>IF('Données projet'!$A$166&gt;35,DO42+DN43-DW42,IF(A43&lt;'Données projet'!$A$166,$DL$205^A43,IF(A43='Données projet'!$A$166,'Données projet'!$B$166,DO42+DN43-DW42)))</f>
        <v>175.00000000000003</v>
      </c>
      <c r="DP43" s="18">
        <f>DO43*VLOOKUP('Données projet'!$B$14,Paramètres!$A$1:$I$89,3,0)*VLOOKUP('Données projet'!$B$14,Paramètres!$A$1:$I$89,5,0)</f>
        <v>188.37000000000003</v>
      </c>
      <c r="DQ43" s="14">
        <f t="shared" si="43"/>
        <v>47.179402486491298</v>
      </c>
      <c r="DR43" s="22">
        <f t="shared" si="16"/>
        <v>410.24854266397239</v>
      </c>
      <c r="DS43" s="60">
        <f t="shared" si="17"/>
        <v>658.06155648309323</v>
      </c>
      <c r="DT43" s="60">
        <f ca="1">AVERAGE(OFFSET($DS$3,0,0,'Données projet'!$E$14+1,1))-AVERAGE(OFFSET($H$3,0,0,'Données projet'!$E$14+1,1))</f>
        <v>661.93515988633499</v>
      </c>
      <c r="DU43" s="60">
        <f t="shared" si="44"/>
        <v>341.9250949809848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228.2051282051282</v>
      </c>
      <c r="EH43" s="13">
        <f>VLOOKUP(A43,'Données projet'!$A$191:$I$211,9,0)</f>
        <v>7.9487179487179507</v>
      </c>
      <c r="EI43" s="13">
        <f t="array" ref="EI43">INDEX(EH:EH,MIN(IF(ISNUMBER(EH43:EH239),ROW(EH43:EH239),"")))</f>
        <v>7.9487179487179507</v>
      </c>
      <c r="EJ43" s="13">
        <f>IF('Données projet'!$A$192&gt;35,EJ42+EI43-ER42,IF(A43&lt;'Données projet'!$A$192,$EG$205^A43,IF(A43='Données projet'!$A$192,'Données projet'!$B$192,EJ42+EI43-ER42)))</f>
        <v>228.20512820512829</v>
      </c>
      <c r="EK43" s="18">
        <f>EJ43*VLOOKUP('Données projet'!$B$15,Paramètres!$A$1:$I$89,3,0)*VLOOKUP('Données projet'!$B$15,Paramètres!$A$1:$I$89,5,0)</f>
        <v>153.08000000000007</v>
      </c>
      <c r="EL43" s="14">
        <f t="shared" si="45"/>
        <v>39.277696538385037</v>
      </c>
      <c r="EM43" s="22">
        <f t="shared" si="19"/>
        <v>335.02298813768738</v>
      </c>
      <c r="EN43" s="60">
        <f t="shared" si="20"/>
        <v>582.83600195680822</v>
      </c>
      <c r="EO43" s="60">
        <f ca="1">AVERAGE(OFFSET($EN$3,0,0,'Données projet'!$E$15+1,1))-AVERAGE(OFFSET($H$3,0,0,'Données projet'!$E$15+1,1))</f>
        <v>396.0878652679051</v>
      </c>
      <c r="EP43" s="60">
        <f t="shared" si="46"/>
        <v>327.26339199235406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39.743589743589745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263.10000000000002</v>
      </c>
      <c r="FC43" s="13">
        <f>VLOOKUP(A43,'Données projet'!$A$217:$I$237,9,0)</f>
        <v>11.340000000000003</v>
      </c>
      <c r="FD43" s="13">
        <f t="array" ref="FD43">INDEX(FC:FC,MIN(IF(ISNUMBER(FC43:FC239),ROW(FC43:FC239),"")))</f>
        <v>11.340000000000003</v>
      </c>
      <c r="FE43" s="13">
        <f>IF('Données projet'!$A$218&gt;35,FE42+FD43-FM42,IF(A43&lt;'Données projet'!$A$218,$FB$205^A43,IF(A43='Données projet'!$A$218,'Données projet'!$B$218,FE42+FD43-FM42)))</f>
        <v>263.09999999999991</v>
      </c>
      <c r="FF43" s="18">
        <f>FE43*VLOOKUP('Données projet'!$B$16,Paramètres!$A$1:$I$89,3,0)*VLOOKUP('Données projet'!$B$16,Paramètres!$A$1:$I$89,5,0)</f>
        <v>192.90491999999995</v>
      </c>
      <c r="FG43" s="14">
        <f t="shared" si="47"/>
        <v>48.181621167171684</v>
      </c>
      <c r="FH43" s="22">
        <f t="shared" si="22"/>
        <v>419.89239253282386</v>
      </c>
      <c r="FI43" s="60">
        <f t="shared" si="23"/>
        <v>667.7054063519447</v>
      </c>
      <c r="FJ43" s="60">
        <f ca="1">AVERAGE(OFFSET($FI$3,0,0,'Données projet'!$E$16+1,1))-AVERAGE(OFFSET($H$3,0,0,'Données projet'!$E$16+1,1))</f>
        <v>368.35775920359396</v>
      </c>
      <c r="FK43" s="60">
        <f t="shared" si="48"/>
        <v>395.5218438652638</v>
      </c>
      <c r="FL43" s="16">
        <f>IF(ISNA(VLOOKUP(A43,'Données projet'!$A$217:$I$237,3,0)),0,VLOOKUP(A43,'Données projet'!$A$217:$I$237,3,0))</f>
        <v>3</v>
      </c>
      <c r="FM43" s="16">
        <f>IF(ISNA(VLOOKUP(A43,'Données projet'!$A$217:$I$237,4,0)),0,VLOOKUP(A43,'Données projet'!$A$217:$I$237,4,0))</f>
        <v>70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207</v>
      </c>
      <c r="FX43" s="13">
        <f>VLOOKUP(A43,'Données projet'!$A$243:$I$263,9,0)</f>
        <v>13.4</v>
      </c>
      <c r="FY43" s="13">
        <f t="array" ref="FY43">INDEX(FX:FX,MIN(IF(ISNUMBER(FX43:FX239),ROW(FX43:FX239),"")))</f>
        <v>13.4</v>
      </c>
      <c r="FZ43" s="13">
        <f>IF('Données projet'!$A$244&gt;35,FZ42+FY43-GH42,IF(A43&lt;'Données projet'!$A$244,$FW$205^A43,IF(A43='Données projet'!$A$244,'Données projet'!$B$244,FZ42+FY43-GH42)))</f>
        <v>207.00000000000009</v>
      </c>
      <c r="GA43" s="18">
        <f>FZ43*VLOOKUP('Données projet'!$B$17,Paramètres!$A$1:$I$89,3,0)*VLOOKUP('Données projet'!$B$17,Paramètres!$A$1:$I$89,5,0)</f>
        <v>177.60600000000008</v>
      </c>
      <c r="GB43" s="14">
        <f t="shared" si="49"/>
        <v>44.789150937858665</v>
      </c>
      <c r="GC43" s="22">
        <f t="shared" si="25"/>
        <v>387.33822121677059</v>
      </c>
      <c r="GD43" s="60">
        <f t="shared" si="26"/>
        <v>635.15123503589143</v>
      </c>
      <c r="GE43" s="60">
        <f ca="1">AVERAGE(OFFSET($GD$3,0,0,'Données projet'!$E$17+1,1))-AVERAGE(OFFSET($H$3,0,0,'Données projet'!$E$17+1,1))</f>
        <v>701.44583662096022</v>
      </c>
      <c r="GF43" s="60">
        <f t="shared" si="50"/>
        <v>331.25104323342907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152</v>
      </c>
      <c r="GS43" s="13">
        <f>VLOOKUP(A43,'Données projet'!$A$269:$I$289,9,0)</f>
        <v>7.6</v>
      </c>
      <c r="GT43" s="13">
        <f t="array" ref="GT43">INDEX(GS:GS,MIN(IF(ISNUMBER(GS43:GS239),ROW(GS43:GS239),"")))</f>
        <v>7.6</v>
      </c>
      <c r="GU43" s="13">
        <f>IF('Données projet'!$A$270&gt;35,GU42+GT43-HC42,IF(A43&lt;'Données projet'!$A$270,$GR$205^A43,IF(A43='Données projet'!$A$270,'Données projet'!$B$270,GU42+GT43-HC42)))</f>
        <v>152.00000000000003</v>
      </c>
      <c r="GV43" s="18">
        <f>GU43*VLOOKUP('Données projet'!$B$18,Paramètres!$A$1:$I$89,3,0)*VLOOKUP('Données projet'!$B$18,Paramètres!$A$1:$I$89,5,0)</f>
        <v>123.30240000000003</v>
      </c>
      <c r="GW43" s="14">
        <f t="shared" si="51"/>
        <v>32.444008665071891</v>
      </c>
      <c r="GX43" s="22">
        <f t="shared" si="28"/>
        <v>271.25832842500023</v>
      </c>
      <c r="GY43" s="60">
        <f t="shared" si="29"/>
        <v>519.07134224412107</v>
      </c>
      <c r="GZ43" s="60">
        <f ca="1">AVERAGE(OFFSET($GY$3,0,0,'Données projet'!$E$18+1,1))-AVERAGE(OFFSET($H$3,0,0,'Données projet'!$E$18+1,1))</f>
        <v>272.69564942740931</v>
      </c>
      <c r="HA43" s="60">
        <f t="shared" si="52"/>
        <v>316.57989180609252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25">
      <c r="A44" s="11">
        <f t="shared" si="31"/>
        <v>41</v>
      </c>
      <c r="B44" s="75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8">
        <f t="shared" si="1"/>
        <v>183.33333333333334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168.65472000000003</v>
      </c>
      <c r="P44" s="14">
        <f t="shared" si="33"/>
        <v>42.78858644059585</v>
      </c>
      <c r="Q44" s="22">
        <f t="shared" si="53"/>
        <v>368.2637587173711</v>
      </c>
      <c r="R44" s="60">
        <f t="shared" si="0"/>
        <v>616.86644831187505</v>
      </c>
      <c r="S44" s="60">
        <f ca="1">AVERAGE(OFFSET($R$3,0,0,'Données projet'!$E$9+1,1))-AVERAGE(OFFSET($H$3,0,0,'Données projet'!$E$9+1,1))</f>
        <v>570.08763950759544</v>
      </c>
      <c r="T44" s="60">
        <f t="shared" si="34"/>
        <v>297.32483725004136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9.8199999999999932</v>
      </c>
      <c r="AI44" s="14">
        <f>IF('Données projet'!$A$62&gt;35,AI43+AH44-AQ43,IF(A44&lt;'Données projet'!$A$62,$AF$205^A44,IF(A44='Données projet'!$A$62,'Données projet'!$B$62,AI43+AH44-AQ43)))</f>
        <v>202.9199999999999</v>
      </c>
      <c r="AJ44" s="14">
        <f>AI44*VLOOKUP('Données projet'!$B$10,Paramètres!$A$1:$I$89,3,0)*VLOOKUP('Données projet'!$B$10,Paramètres!$A$1:$I$89,5,0)</f>
        <v>161.44315199999994</v>
      </c>
      <c r="AK44" s="14">
        <f t="shared" si="35"/>
        <v>41.167852065682119</v>
      </c>
      <c r="AL44" s="22">
        <f t="shared" si="4"/>
        <v>352.88083208106292</v>
      </c>
      <c r="AM44" s="60">
        <f t="shared" si="5"/>
        <v>601.48352167556686</v>
      </c>
      <c r="AN44" s="60">
        <f ca="1">AVERAGE(OFFSET($AM$3,0,0,'Données projet'!$E$10+1,1))-AVERAGE(OFFSET($H$3,0,0,'Données projet'!$E$10+1,1))</f>
        <v>394.49874384716014</v>
      </c>
      <c r="AO44" s="60">
        <f t="shared" si="36"/>
        <v>423.72519584013378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6.2820512820512819</v>
      </c>
      <c r="BD44" s="13">
        <f>IF('Données projet'!$A$88&gt;35,BD43+BC44-BL43,IF(A44&lt;'Données projet'!$A$88,$BA$205^A44,IF(A44='Données projet'!$A$88,'Données projet'!$B$88,BD43+BC44-BL43)))</f>
        <v>166.53846153846152</v>
      </c>
      <c r="BE44" s="14">
        <f>BD44*VLOOKUP('Données projet'!$B$11,Paramètres!$A$1:$I$89,3,0)*VLOOKUP('Données projet'!$B$11,Paramètres!$A$1:$I$89,5,0)</f>
        <v>158.47799999999998</v>
      </c>
      <c r="BF44" s="14">
        <f t="shared" si="37"/>
        <v>40.499033326567876</v>
      </c>
      <c r="BG44" s="22">
        <f t="shared" si="7"/>
        <v>346.55166637710568</v>
      </c>
      <c r="BH44" s="60">
        <f t="shared" si="8"/>
        <v>595.15435597160968</v>
      </c>
      <c r="BI44" s="60">
        <f ca="1">AVERAGE(OFFSET($BH$3,0,0,'Données projet'!$E$11+1,1))-AVERAGE(OFFSET($H$3,0,0,'Données projet'!$E$11+1,1))</f>
        <v>441.15969139782891</v>
      </c>
      <c r="BJ44" s="60">
        <f t="shared" si="38"/>
        <v>315.06466790224783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11.142857142857142</v>
      </c>
      <c r="BY44" s="13">
        <f>IF('Données projet'!$A$114&gt;35,BY43+BX44-CG43,IF(A44&lt;'Données projet'!$A$114,$BV$205^A44,IF(A44='Données projet'!$A$114,'Données projet'!$B$114,BY43+BX44-CG43)))</f>
        <v>196.57142857142853</v>
      </c>
      <c r="BZ44" s="14">
        <f>BY44*VLOOKUP('Données projet'!$B$12,Paramètres!$A$1:$I$89,3,0)*VLOOKUP('Données projet'!$B$12,Paramètres!$A$1:$I$89,5,0)</f>
        <v>153.32571428571427</v>
      </c>
      <c r="CA44" s="14">
        <f t="shared" si="39"/>
        <v>39.33339883761419</v>
      </c>
      <c r="CB44" s="22">
        <f t="shared" si="10"/>
        <v>335.54795535646372</v>
      </c>
      <c r="CC44" s="60">
        <f t="shared" si="11"/>
        <v>584.15064495096772</v>
      </c>
      <c r="CD44" s="60">
        <f ca="1">AVERAGE(OFFSET($CC$3,0,0,'Données projet'!$E$12+1,1))-AVERAGE(OFFSET($H$3,0,0,'Données projet'!$E$12+1,1))</f>
        <v>312.59632808777332</v>
      </c>
      <c r="CE44" s="60">
        <f t="shared" si="40"/>
        <v>302.59481222418219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11.4</v>
      </c>
      <c r="CT44" s="13">
        <f>IF('Données projet'!$A$140&gt;35,CT43+CS44-DB43,IF(A44&lt;'Données projet'!$A$140,$CQ$205^A44,IF(A44='Données projet'!$A$140,'Données projet'!$B$140,CT43+CS44-DB43)))</f>
        <v>186.40000000000003</v>
      </c>
      <c r="CU44" s="18">
        <f>CT44*VLOOKUP('Données projet'!$B$13,Paramètres!$A$1:$I$89,3,0)*VLOOKUP('Données projet'!$B$13,Paramètres!$A$1:$I$89,5,0)</f>
        <v>180.28608000000006</v>
      </c>
      <c r="CV44" s="14">
        <f t="shared" si="41"/>
        <v>45.38582781198636</v>
      </c>
      <c r="CW44" s="22">
        <f t="shared" si="13"/>
        <v>393.04523943920964</v>
      </c>
      <c r="CX44" s="60">
        <f t="shared" si="14"/>
        <v>641.64792903371358</v>
      </c>
      <c r="CY44" s="60">
        <f ca="1">AVERAGE(OFFSET($CX$3,0,0,'Données projet'!$E$13+1,1))-AVERAGE(OFFSET($H$3,0,0,'Données projet'!$E$13+1,1))</f>
        <v>603.52431522262032</v>
      </c>
      <c r="CZ44" s="60">
        <f t="shared" si="42"/>
        <v>313.56299786481338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11.4</v>
      </c>
      <c r="DO44" s="13">
        <f>IF('Données projet'!$A$166&gt;35,DO43+DN44-DW43,IF(A44&lt;'Données projet'!$A$166,$DL$205^A44,IF(A44='Données projet'!$A$166,'Données projet'!$B$166,DO43+DN44-DW43)))</f>
        <v>186.40000000000003</v>
      </c>
      <c r="DP44" s="18">
        <f>DO44*VLOOKUP('Données projet'!$B$14,Paramètres!$A$1:$I$89,3,0)*VLOOKUP('Données projet'!$B$14,Paramètres!$A$1:$I$89,5,0)</f>
        <v>200.64096000000004</v>
      </c>
      <c r="DQ44" s="14">
        <f t="shared" si="43"/>
        <v>49.885005090945128</v>
      </c>
      <c r="DR44" s="22">
        <f t="shared" si="16"/>
        <v>436.33272253339618</v>
      </c>
      <c r="DS44" s="60">
        <f t="shared" si="17"/>
        <v>684.93541212790012</v>
      </c>
      <c r="DT44" s="60">
        <f ca="1">AVERAGE(OFFSET($DS$3,0,0,'Données projet'!$E$14+1,1))-AVERAGE(OFFSET($H$3,0,0,'Données projet'!$E$14+1,1))</f>
        <v>661.93515988633499</v>
      </c>
      <c r="DU44" s="60">
        <f t="shared" si="44"/>
        <v>341.9250949809848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7.5641025641025639</v>
      </c>
      <c r="EJ44" s="13">
        <f>IF('Données projet'!$A$192&gt;35,EJ43+EI44-ER43,IF(A44&lt;'Données projet'!$A$192,$EG$205^A44,IF(A44='Données projet'!$A$192,'Données projet'!$B$192,EJ43+EI44-ER43)))</f>
        <v>196.02564102564111</v>
      </c>
      <c r="EK44" s="18">
        <f>EJ44*VLOOKUP('Données projet'!$B$15,Paramètres!$A$1:$I$89,3,0)*VLOOKUP('Données projet'!$B$15,Paramètres!$A$1:$I$89,5,0)</f>
        <v>131.49400000000006</v>
      </c>
      <c r="EL44" s="14">
        <f t="shared" si="45"/>
        <v>34.341348948072792</v>
      </c>
      <c r="EM44" s="22">
        <f t="shared" si="19"/>
        <v>288.82989941789356</v>
      </c>
      <c r="EN44" s="60">
        <f t="shared" si="20"/>
        <v>537.43258901239756</v>
      </c>
      <c r="EO44" s="60">
        <f ca="1">AVERAGE(OFFSET($EN$3,0,0,'Données projet'!$E$15+1,1))-AVERAGE(OFFSET($H$3,0,0,'Données projet'!$E$15+1,1))</f>
        <v>396.0878652679051</v>
      </c>
      <c r="EP44" s="60">
        <f t="shared" si="46"/>
        <v>327.26339199235406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9.8199999999999932</v>
      </c>
      <c r="FE44" s="13">
        <f>IF('Données projet'!$A$218&gt;35,FE43+FD44-FM43,IF(A44&lt;'Données projet'!$A$218,$FB$205^A44,IF(A44='Données projet'!$A$218,'Données projet'!$B$218,FE43+FD44-FM43)))</f>
        <v>202.9199999999999</v>
      </c>
      <c r="FF44" s="18">
        <f>FE44*VLOOKUP('Données projet'!$B$16,Paramètres!$A$1:$I$89,3,0)*VLOOKUP('Données projet'!$B$16,Paramètres!$A$1:$I$89,5,0)</f>
        <v>148.78094399999992</v>
      </c>
      <c r="FG44" s="14">
        <f t="shared" si="47"/>
        <v>38.301419336680702</v>
      </c>
      <c r="FH44" s="22">
        <f t="shared" si="22"/>
        <v>325.83511614471871</v>
      </c>
      <c r="FI44" s="60">
        <f t="shared" si="23"/>
        <v>574.43780573922265</v>
      </c>
      <c r="FJ44" s="60">
        <f ca="1">AVERAGE(OFFSET($FI$3,0,0,'Données projet'!$E$16+1,1))-AVERAGE(OFFSET($H$3,0,0,'Données projet'!$E$16+1,1))</f>
        <v>368.35775920359396</v>
      </c>
      <c r="FK44" s="60">
        <f t="shared" si="48"/>
        <v>395.5218438652638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13.8</v>
      </c>
      <c r="FZ44" s="13">
        <f>IF('Données projet'!$A$244&gt;35,FZ43+FY44-GH43,IF(A44&lt;'Données projet'!$A$244,$FW$205^A44,IF(A44='Données projet'!$A$244,'Données projet'!$B$244,FZ43+FY44-GH43)))</f>
        <v>220.8000000000001</v>
      </c>
      <c r="GA44" s="18">
        <f>FZ44*VLOOKUP('Données projet'!$B$17,Paramètres!$A$1:$I$89,3,0)*VLOOKUP('Données projet'!$B$17,Paramètres!$A$1:$I$89,5,0)</f>
        <v>189.44640000000012</v>
      </c>
      <c r="GB44" s="14">
        <f t="shared" si="49"/>
        <v>47.417538973836557</v>
      </c>
      <c r="GC44" s="22">
        <f t="shared" si="25"/>
        <v>412.53802704609888</v>
      </c>
      <c r="GD44" s="60">
        <f t="shared" si="26"/>
        <v>661.14071664060282</v>
      </c>
      <c r="GE44" s="60">
        <f ca="1">AVERAGE(OFFSET($GD$3,0,0,'Données projet'!$E$17+1,1))-AVERAGE(OFFSET($H$3,0,0,'Données projet'!$E$17+1,1))</f>
        <v>701.44583662096022</v>
      </c>
      <c r="GF44" s="60">
        <f t="shared" si="50"/>
        <v>331.25104323342907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7.6</v>
      </c>
      <c r="GU44" s="13">
        <f>IF('Données projet'!$A$270&gt;35,GU43+GT44-HC43,IF(A44&lt;'Données projet'!$A$270,$GR$205^A44,IF(A44='Données projet'!$A$270,'Données projet'!$B$270,GU43+GT44-HC43)))</f>
        <v>159.60000000000002</v>
      </c>
      <c r="GV44" s="18">
        <f>GU44*VLOOKUP('Données projet'!$B$18,Paramètres!$A$1:$I$89,3,0)*VLOOKUP('Données projet'!$B$18,Paramètres!$A$1:$I$89,5,0)</f>
        <v>129.46752000000004</v>
      </c>
      <c r="GW44" s="14">
        <f t="shared" si="51"/>
        <v>33.873289462262882</v>
      </c>
      <c r="GX44" s="22">
        <f t="shared" si="28"/>
        <v>284.48524314677451</v>
      </c>
      <c r="GY44" s="60">
        <f t="shared" si="29"/>
        <v>533.08793274127845</v>
      </c>
      <c r="GZ44" s="60">
        <f ca="1">AVERAGE(OFFSET($GY$3,0,0,'Données projet'!$E$18+1,1))-AVERAGE(OFFSET($H$3,0,0,'Données projet'!$E$18+1,1))</f>
        <v>272.69564942740931</v>
      </c>
      <c r="HA44" s="60">
        <f t="shared" si="52"/>
        <v>316.57989180609252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25">
      <c r="A45" s="11">
        <f t="shared" si="31"/>
        <v>42</v>
      </c>
      <c r="B45" s="75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8">
        <f t="shared" si="1"/>
        <v>183.33333333333334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projet'!$B$9,Paramètres!$A$1:$I$89,3,0)*VLOOKUP('Données projet'!$B$9,Paramètres!$A$1:$I$89,5,0)</f>
        <v>178.96944000000002</v>
      </c>
      <c r="P45" s="14">
        <f t="shared" si="33"/>
        <v>45.092828990632619</v>
      </c>
      <c r="Q45" s="22">
        <f t="shared" si="53"/>
        <v>390.24178515868516</v>
      </c>
      <c r="R45" s="60">
        <f t="shared" si="0"/>
        <v>639.62045141931992</v>
      </c>
      <c r="S45" s="60">
        <f ca="1">AVERAGE(OFFSET($R$3,0,0,'Données projet'!$E$9+1,1))-AVERAGE(OFFSET($H$3,0,0,'Données projet'!$E$9+1,1))</f>
        <v>570.08763950759544</v>
      </c>
      <c r="T45" s="60">
        <f t="shared" si="34"/>
        <v>297.32483725004136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9.8199999999999932</v>
      </c>
      <c r="AI45" s="14">
        <f>IF('Données projet'!$A$62&gt;35,AI44+AH45-AQ44,IF(A45&lt;'Données projet'!$A$62,$AF$205^A45,IF(A45='Données projet'!$A$62,'Données projet'!$B$62,AI44+AH45-AQ44)))</f>
        <v>212.7399999999999</v>
      </c>
      <c r="AJ45" s="14">
        <f>AI45*VLOOKUP('Données projet'!$B$10,Paramètres!$A$1:$I$89,3,0)*VLOOKUP('Données projet'!$B$10,Paramètres!$A$1:$I$89,5,0)</f>
        <v>169.25594399999991</v>
      </c>
      <c r="AK45" s="14">
        <f t="shared" si="35"/>
        <v>42.923337274383478</v>
      </c>
      <c r="AL45" s="22">
        <f t="shared" si="4"/>
        <v>369.54558155288436</v>
      </c>
      <c r="AM45" s="60">
        <f t="shared" si="5"/>
        <v>618.92424781351906</v>
      </c>
      <c r="AN45" s="60">
        <f ca="1">AVERAGE(OFFSET($AM$3,0,0,'Données projet'!$E$10+1,1))-AVERAGE(OFFSET($H$3,0,0,'Données projet'!$E$10+1,1))</f>
        <v>394.49874384716014</v>
      </c>
      <c r="AO45" s="60">
        <f t="shared" si="36"/>
        <v>423.72519584013378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6.2820512820512819</v>
      </c>
      <c r="BD45" s="13">
        <f>IF('Données projet'!$A$88&gt;35,BD44+BC45-BL44,IF(A45&lt;'Données projet'!$A$88,$BA$205^A45,IF(A45='Données projet'!$A$88,'Données projet'!$B$88,BD44+BC45-BL44)))</f>
        <v>172.82051282051279</v>
      </c>
      <c r="BE45" s="14">
        <f>BD45*VLOOKUP('Données projet'!$B$11,Paramètres!$A$1:$I$89,3,0)*VLOOKUP('Données projet'!$B$11,Paramètres!$A$1:$I$89,5,0)</f>
        <v>164.45599999999996</v>
      </c>
      <c r="BF45" s="14">
        <f t="shared" si="37"/>
        <v>41.84596620708853</v>
      </c>
      <c r="BG45" s="22">
        <f t="shared" si="7"/>
        <v>359.30925781067913</v>
      </c>
      <c r="BH45" s="60">
        <f t="shared" si="8"/>
        <v>608.68792407131389</v>
      </c>
      <c r="BI45" s="60">
        <f ca="1">AVERAGE(OFFSET($BH$3,0,0,'Données projet'!$E$11+1,1))-AVERAGE(OFFSET($H$3,0,0,'Données projet'!$E$11+1,1))</f>
        <v>441.15969139782891</v>
      </c>
      <c r="BJ45" s="60">
        <f t="shared" si="38"/>
        <v>315.06466790224783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11.142857142857142</v>
      </c>
      <c r="BY45" s="13">
        <f>IF('Données projet'!$A$114&gt;35,BY44+BX45-CG44,IF(A45&lt;'Données projet'!$A$114,$BV$205^A45,IF(A45='Données projet'!$A$114,'Données projet'!$B$114,BY44+BX45-CG44)))</f>
        <v>207.71428571428567</v>
      </c>
      <c r="BZ45" s="14">
        <f>BY45*VLOOKUP('Données projet'!$B$12,Paramètres!$A$1:$I$89,3,0)*VLOOKUP('Données projet'!$B$12,Paramètres!$A$1:$I$89,5,0)</f>
        <v>162.01714285714283</v>
      </c>
      <c r="CA45" s="14">
        <f t="shared" si="39"/>
        <v>41.297155335096676</v>
      </c>
      <c r="CB45" s="22">
        <f t="shared" si="10"/>
        <v>354.10573601815048</v>
      </c>
      <c r="CC45" s="60">
        <f t="shared" si="11"/>
        <v>603.48440227878518</v>
      </c>
      <c r="CD45" s="60">
        <f ca="1">AVERAGE(OFFSET($CC$3,0,0,'Données projet'!$E$12+1,1))-AVERAGE(OFFSET($H$3,0,0,'Données projet'!$E$12+1,1))</f>
        <v>312.59632808777332</v>
      </c>
      <c r="CE45" s="60">
        <f t="shared" si="40"/>
        <v>302.59481222418219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11.4</v>
      </c>
      <c r="CT45" s="13">
        <f>IF('Données projet'!$A$140&gt;35,CT44+CS45-DB44,IF(A45&lt;'Données projet'!$A$140,$CQ$205^A45,IF(A45='Données projet'!$A$140,'Données projet'!$B$140,CT44+CS45-DB44)))</f>
        <v>197.80000000000004</v>
      </c>
      <c r="CU45" s="18">
        <f>CT45*VLOOKUP('Données projet'!$B$13,Paramètres!$A$1:$I$89,3,0)*VLOOKUP('Données projet'!$B$13,Paramètres!$A$1:$I$89,5,0)</f>
        <v>191.31216000000003</v>
      </c>
      <c r="CV45" s="14">
        <f t="shared" si="41"/>
        <v>47.829936494057677</v>
      </c>
      <c r="CW45" s="22">
        <f t="shared" si="13"/>
        <v>416.50581806048382</v>
      </c>
      <c r="CX45" s="60">
        <f t="shared" si="14"/>
        <v>665.88448432111852</v>
      </c>
      <c r="CY45" s="60">
        <f ca="1">AVERAGE(OFFSET($CX$3,0,0,'Données projet'!$E$13+1,1))-AVERAGE(OFFSET($H$3,0,0,'Données projet'!$E$13+1,1))</f>
        <v>603.52431522262032</v>
      </c>
      <c r="CZ45" s="60">
        <f t="shared" si="42"/>
        <v>313.56299786481338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11.4</v>
      </c>
      <c r="DO45" s="13">
        <f>IF('Données projet'!$A$166&gt;35,DO44+DN45-DW44,IF(A45&lt;'Données projet'!$A$166,$DL$205^A45,IF(A45='Données projet'!$A$166,'Données projet'!$B$166,DO44+DN45-DW44)))</f>
        <v>197.80000000000004</v>
      </c>
      <c r="DP45" s="18">
        <f>DO45*VLOOKUP('Données projet'!$B$14,Paramètres!$A$1:$I$89,3,0)*VLOOKUP('Données projet'!$B$14,Paramètres!$A$1:$I$89,5,0)</f>
        <v>212.91192000000004</v>
      </c>
      <c r="DQ45" s="14">
        <f t="shared" si="43"/>
        <v>52.571402583859268</v>
      </c>
      <c r="DR45" s="22">
        <f t="shared" si="16"/>
        <v>462.38345350022161</v>
      </c>
      <c r="DS45" s="60">
        <f t="shared" si="17"/>
        <v>711.76211976085631</v>
      </c>
      <c r="DT45" s="60">
        <f ca="1">AVERAGE(OFFSET($DS$3,0,0,'Données projet'!$E$14+1,1))-AVERAGE(OFFSET($H$3,0,0,'Données projet'!$E$14+1,1))</f>
        <v>661.93515988633499</v>
      </c>
      <c r="DU45" s="60">
        <f t="shared" si="44"/>
        <v>341.9250949809848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7.5641025641025639</v>
      </c>
      <c r="EJ45" s="13">
        <f>IF('Données projet'!$A$192&gt;35,EJ44+EI45-ER44,IF(A45&lt;'Données projet'!$A$192,$EG$205^A45,IF(A45='Données projet'!$A$192,'Données projet'!$B$192,EJ44+EI45-ER44)))</f>
        <v>203.58974358974368</v>
      </c>
      <c r="EK45" s="18">
        <f>EJ45*VLOOKUP('Données projet'!$B$15,Paramètres!$A$1:$I$89,3,0)*VLOOKUP('Données projet'!$B$15,Paramètres!$A$1:$I$89,5,0)</f>
        <v>136.56800000000007</v>
      </c>
      <c r="EL45" s="14">
        <f t="shared" si="45"/>
        <v>35.509650391805792</v>
      </c>
      <c r="EM45" s="22">
        <f t="shared" si="19"/>
        <v>299.70190776572849</v>
      </c>
      <c r="EN45" s="60">
        <f t="shared" si="20"/>
        <v>549.08057402636325</v>
      </c>
      <c r="EO45" s="60">
        <f ca="1">AVERAGE(OFFSET($EN$3,0,0,'Données projet'!$E$15+1,1))-AVERAGE(OFFSET($H$3,0,0,'Données projet'!$E$15+1,1))</f>
        <v>396.0878652679051</v>
      </c>
      <c r="EP45" s="60">
        <f t="shared" si="46"/>
        <v>327.26339199235406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9.8199999999999932</v>
      </c>
      <c r="FE45" s="13">
        <f>IF('Données projet'!$A$218&gt;35,FE44+FD45-FM44,IF(A45&lt;'Données projet'!$A$218,$FB$205^A45,IF(A45='Données projet'!$A$218,'Données projet'!$B$218,FE44+FD45-FM44)))</f>
        <v>212.7399999999999</v>
      </c>
      <c r="FF45" s="18">
        <f>FE45*VLOOKUP('Données projet'!$B$16,Paramètres!$A$1:$I$89,3,0)*VLOOKUP('Données projet'!$B$16,Paramètres!$A$1:$I$89,5,0)</f>
        <v>155.98096799999993</v>
      </c>
      <c r="FG45" s="14">
        <f t="shared" si="47"/>
        <v>39.934673726794031</v>
      </c>
      <c r="FH45" s="22">
        <f t="shared" si="22"/>
        <v>341.21974267416618</v>
      </c>
      <c r="FI45" s="60">
        <f t="shared" si="23"/>
        <v>590.59840893480089</v>
      </c>
      <c r="FJ45" s="60">
        <f ca="1">AVERAGE(OFFSET($FI$3,0,0,'Données projet'!$E$16+1,1))-AVERAGE(OFFSET($H$3,0,0,'Données projet'!$E$16+1,1))</f>
        <v>368.35775920359396</v>
      </c>
      <c r="FK45" s="60">
        <f t="shared" si="48"/>
        <v>395.5218438652638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13.8</v>
      </c>
      <c r="FZ45" s="13">
        <f>IF('Données projet'!$A$244&gt;35,FZ44+FY45-GH44,IF(A45&lt;'Données projet'!$A$244,$FW$205^A45,IF(A45='Données projet'!$A$244,'Données projet'!$B$244,FZ44+FY45-GH44)))</f>
        <v>234.60000000000011</v>
      </c>
      <c r="GA45" s="18">
        <f>FZ45*VLOOKUP('Données projet'!$B$17,Paramètres!$A$1:$I$89,3,0)*VLOOKUP('Données projet'!$B$17,Paramètres!$A$1:$I$89,5,0)</f>
        <v>201.28680000000008</v>
      </c>
      <c r="GB45" s="14">
        <f t="shared" si="49"/>
        <v>50.026861773677666</v>
      </c>
      <c r="GC45" s="22">
        <f t="shared" si="25"/>
        <v>437.70462758915545</v>
      </c>
      <c r="GD45" s="60">
        <f t="shared" si="26"/>
        <v>687.08329384979015</v>
      </c>
      <c r="GE45" s="60">
        <f ca="1">AVERAGE(OFFSET($GD$3,0,0,'Données projet'!$E$17+1,1))-AVERAGE(OFFSET($H$3,0,0,'Données projet'!$E$17+1,1))</f>
        <v>701.44583662096022</v>
      </c>
      <c r="GF45" s="60">
        <f t="shared" si="50"/>
        <v>331.25104323342907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7.6</v>
      </c>
      <c r="GU45" s="13">
        <f>IF('Données projet'!$A$270&gt;35,GU44+GT45-HC44,IF(A45&lt;'Données projet'!$A$270,$GR$205^A45,IF(A45='Données projet'!$A$270,'Données projet'!$B$270,GU44+GT45-HC44)))</f>
        <v>167.20000000000002</v>
      </c>
      <c r="GV45" s="18">
        <f>GU45*VLOOKUP('Données projet'!$B$18,Paramètres!$A$1:$I$89,3,0)*VLOOKUP('Données projet'!$B$18,Paramètres!$A$1:$I$89,5,0)</f>
        <v>135.63264000000004</v>
      </c>
      <c r="GW45" s="14">
        <f t="shared" si="51"/>
        <v>35.294666721954265</v>
      </c>
      <c r="GX45" s="22">
        <f t="shared" si="28"/>
        <v>297.69839254073707</v>
      </c>
      <c r="GY45" s="60">
        <f t="shared" si="29"/>
        <v>547.07705880137178</v>
      </c>
      <c r="GZ45" s="60">
        <f ca="1">AVERAGE(OFFSET($GY$3,0,0,'Données projet'!$E$18+1,1))-AVERAGE(OFFSET($H$3,0,0,'Données projet'!$E$18+1,1))</f>
        <v>272.69564942740931</v>
      </c>
      <c r="HA45" s="60">
        <f t="shared" si="52"/>
        <v>316.57989180609252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25">
      <c r="A46" s="11">
        <f t="shared" si="31"/>
        <v>43</v>
      </c>
      <c r="B46" s="75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8">
        <f t="shared" si="1"/>
        <v>183.33333333333334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projet'!$B$9,Paramètres!$A$1:$I$89,3,0)*VLOOKUP('Données projet'!$B$9,Paramètres!$A$1:$I$89,5,0)</f>
        <v>189.28416000000001</v>
      </c>
      <c r="P46" s="14">
        <f t="shared" si="33"/>
        <v>47.381656039514027</v>
      </c>
      <c r="Q46" s="22">
        <f t="shared" si="53"/>
        <v>412.19296293548695</v>
      </c>
      <c r="R46" s="60">
        <f t="shared" si="0"/>
        <v>662.33414440191905</v>
      </c>
      <c r="S46" s="60">
        <f ca="1">AVERAGE(OFFSET($R$3,0,0,'Données projet'!$E$9+1,1))-AVERAGE(OFFSET($H$3,0,0,'Données projet'!$E$9+1,1))</f>
        <v>570.08763950759544</v>
      </c>
      <c r="T46" s="60">
        <f t="shared" si="34"/>
        <v>297.32483725004136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9.8199999999999932</v>
      </c>
      <c r="AI46" s="14">
        <f>IF('Données projet'!$A$62&gt;35,AI45+AH46-AQ45,IF(A46&lt;'Données projet'!$A$62,$AF$205^A46,IF(A46='Données projet'!$A$62,'Données projet'!$B$62,AI45+AH46-AQ45)))</f>
        <v>222.55999999999989</v>
      </c>
      <c r="AJ46" s="14">
        <f>AI46*VLOOKUP('Données projet'!$B$10,Paramètres!$A$1:$I$89,3,0)*VLOOKUP('Données projet'!$B$10,Paramètres!$A$1:$I$89,5,0)</f>
        <v>177.06873599999992</v>
      </c>
      <c r="AK46" s="14">
        <f t="shared" si="35"/>
        <v>44.669412059753448</v>
      </c>
      <c r="AL46" s="22">
        <f t="shared" si="4"/>
        <v>386.19394120407043</v>
      </c>
      <c r="AM46" s="60">
        <f t="shared" si="5"/>
        <v>636.33512267050241</v>
      </c>
      <c r="AN46" s="60">
        <f ca="1">AVERAGE(OFFSET($AM$3,0,0,'Données projet'!$E$10+1,1))-AVERAGE(OFFSET($H$3,0,0,'Données projet'!$E$10+1,1))</f>
        <v>394.49874384716014</v>
      </c>
      <c r="AO46" s="60">
        <f t="shared" si="36"/>
        <v>423.72519584013378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6.2820512820512819</v>
      </c>
      <c r="BD46" s="13">
        <f>IF('Données projet'!$A$88&gt;35,BD45+BC46-BL45,IF(A46&lt;'Données projet'!$A$88,$BA$205^A46,IF(A46='Données projet'!$A$88,'Données projet'!$B$88,BD45+BC46-BL45)))</f>
        <v>179.10256410256406</v>
      </c>
      <c r="BE46" s="14">
        <f>BD46*VLOOKUP('Données projet'!$B$11,Paramètres!$A$1:$I$89,3,0)*VLOOKUP('Données projet'!$B$11,Paramètres!$A$1:$I$89,5,0)</f>
        <v>170.43399999999997</v>
      </c>
      <c r="BF46" s="14">
        <f t="shared" si="37"/>
        <v>43.187210719400916</v>
      </c>
      <c r="BG46" s="22">
        <f t="shared" si="7"/>
        <v>372.05694200295653</v>
      </c>
      <c r="BH46" s="60">
        <f t="shared" si="8"/>
        <v>622.19812346938852</v>
      </c>
      <c r="BI46" s="60">
        <f ca="1">AVERAGE(OFFSET($BH$3,0,0,'Données projet'!$E$11+1,1))-AVERAGE(OFFSET($H$3,0,0,'Données projet'!$E$11+1,1))</f>
        <v>441.15969139782891</v>
      </c>
      <c r="BJ46" s="60">
        <f t="shared" si="38"/>
        <v>315.06466790224783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11.142857142857142</v>
      </c>
      <c r="BY46" s="13">
        <f>IF('Données projet'!$A$114&gt;35,BY45+BX46-CG45,IF(A46&lt;'Données projet'!$A$114,$BV$205^A46,IF(A46='Données projet'!$A$114,'Données projet'!$B$114,BY45+BX46-CG45)))</f>
        <v>218.8571428571428</v>
      </c>
      <c r="BZ46" s="14">
        <f>BY46*VLOOKUP('Données projet'!$B$12,Paramètres!$A$1:$I$89,3,0)*VLOOKUP('Données projet'!$B$12,Paramètres!$A$1:$I$89,5,0)</f>
        <v>170.70857142857139</v>
      </c>
      <c r="CA46" s="14">
        <f t="shared" si="39"/>
        <v>43.248681576985412</v>
      </c>
      <c r="CB46" s="22">
        <f t="shared" si="10"/>
        <v>372.64221565134471</v>
      </c>
      <c r="CC46" s="60">
        <f t="shared" si="11"/>
        <v>622.78339711777676</v>
      </c>
      <c r="CD46" s="60">
        <f ca="1">AVERAGE(OFFSET($CC$3,0,0,'Données projet'!$E$12+1,1))-AVERAGE(OFFSET($H$3,0,0,'Données projet'!$E$12+1,1))</f>
        <v>312.59632808777332</v>
      </c>
      <c r="CE46" s="60">
        <f t="shared" si="40"/>
        <v>302.59481222418219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11.4</v>
      </c>
      <c r="CT46" s="13">
        <f>IF('Données projet'!$A$140&gt;35,CT45+CS46-DB45,IF(A46&lt;'Données projet'!$A$140,$CQ$205^A46,IF(A46='Données projet'!$A$140,'Données projet'!$B$140,CT45+CS46-DB45)))</f>
        <v>209.20000000000005</v>
      </c>
      <c r="CU46" s="18">
        <f>CT46*VLOOKUP('Données projet'!$B$13,Paramètres!$A$1:$I$89,3,0)*VLOOKUP('Données projet'!$B$13,Paramètres!$A$1:$I$89,5,0)</f>
        <v>202.33824000000007</v>
      </c>
      <c r="CV46" s="14">
        <f t="shared" si="41"/>
        <v>50.257693963357795</v>
      </c>
      <c r="CW46" s="22">
        <f t="shared" si="13"/>
        <v>439.93791831951495</v>
      </c>
      <c r="CX46" s="60">
        <f t="shared" si="14"/>
        <v>690.07909978594694</v>
      </c>
      <c r="CY46" s="60">
        <f ca="1">AVERAGE(OFFSET($CX$3,0,0,'Données projet'!$E$13+1,1))-AVERAGE(OFFSET($H$3,0,0,'Données projet'!$E$13+1,1))</f>
        <v>603.52431522262032</v>
      </c>
      <c r="CZ46" s="60">
        <f t="shared" si="42"/>
        <v>313.56299786481338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11.4</v>
      </c>
      <c r="DO46" s="13">
        <f>IF('Données projet'!$A$166&gt;35,DO45+DN46-DW45,IF(A46&lt;'Données projet'!$A$166,$DL$205^A46,IF(A46='Données projet'!$A$166,'Données projet'!$B$166,DO45+DN46-DW45)))</f>
        <v>209.20000000000005</v>
      </c>
      <c r="DP46" s="18">
        <f>DO46*VLOOKUP('Données projet'!$B$14,Paramètres!$A$1:$I$89,3,0)*VLOOKUP('Données projet'!$B$14,Paramètres!$A$1:$I$89,5,0)</f>
        <v>225.18288000000004</v>
      </c>
      <c r="DQ46" s="14">
        <f t="shared" si="43"/>
        <v>55.239827939397941</v>
      </c>
      <c r="DR46" s="22">
        <f t="shared" si="16"/>
        <v>488.40288299445155</v>
      </c>
      <c r="DS46" s="60">
        <f t="shared" si="17"/>
        <v>738.54406446088365</v>
      </c>
      <c r="DT46" s="60">
        <f ca="1">AVERAGE(OFFSET($DS$3,0,0,'Données projet'!$E$14+1,1))-AVERAGE(OFFSET($H$3,0,0,'Données projet'!$E$14+1,1))</f>
        <v>661.93515988633499</v>
      </c>
      <c r="DU46" s="60">
        <f t="shared" si="44"/>
        <v>341.9250949809848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7.5641025641025639</v>
      </c>
      <c r="EJ46" s="13">
        <f>IF('Données projet'!$A$192&gt;35,EJ45+EI46-ER45,IF(A46&lt;'Données projet'!$A$192,$EG$205^A46,IF(A46='Données projet'!$A$192,'Données projet'!$B$192,EJ45+EI46-ER45)))</f>
        <v>211.15384615384625</v>
      </c>
      <c r="EK46" s="18">
        <f>EJ46*VLOOKUP('Données projet'!$B$15,Paramètres!$A$1:$I$89,3,0)*VLOOKUP('Données projet'!$B$15,Paramètres!$A$1:$I$89,5,0)</f>
        <v>141.64200000000005</v>
      </c>
      <c r="EL46" s="14">
        <f t="shared" si="45"/>
        <v>36.672908983761502</v>
      </c>
      <c r="EM46" s="22">
        <f t="shared" si="19"/>
        <v>310.56513314671798</v>
      </c>
      <c r="EN46" s="60">
        <f t="shared" si="20"/>
        <v>560.70631461314997</v>
      </c>
      <c r="EO46" s="60">
        <f ca="1">AVERAGE(OFFSET($EN$3,0,0,'Données projet'!$E$15+1,1))-AVERAGE(OFFSET($H$3,0,0,'Données projet'!$E$15+1,1))</f>
        <v>396.0878652679051</v>
      </c>
      <c r="EP46" s="60">
        <f t="shared" si="46"/>
        <v>327.26339199235406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9.8199999999999932</v>
      </c>
      <c r="FE46" s="13">
        <f>IF('Données projet'!$A$218&gt;35,FE45+FD46-FM45,IF(A46&lt;'Données projet'!$A$218,$FB$205^A46,IF(A46='Données projet'!$A$218,'Données projet'!$B$218,FE45+FD46-FM45)))</f>
        <v>222.55999999999989</v>
      </c>
      <c r="FF46" s="18">
        <f>FE46*VLOOKUP('Données projet'!$B$16,Paramètres!$A$1:$I$89,3,0)*VLOOKUP('Données projet'!$B$16,Paramètres!$A$1:$I$89,5,0)</f>
        <v>163.18099199999992</v>
      </c>
      <c r="FG46" s="14">
        <f t="shared" si="47"/>
        <v>41.559172921966017</v>
      </c>
      <c r="FH46" s="22">
        <f t="shared" si="22"/>
        <v>356.58912057242401</v>
      </c>
      <c r="FI46" s="60">
        <f t="shared" si="23"/>
        <v>606.73030203885605</v>
      </c>
      <c r="FJ46" s="60">
        <f ca="1">AVERAGE(OFFSET($FI$3,0,0,'Données projet'!$E$16+1,1))-AVERAGE(OFFSET($H$3,0,0,'Données projet'!$E$16+1,1))</f>
        <v>368.35775920359396</v>
      </c>
      <c r="FK46" s="60">
        <f t="shared" si="48"/>
        <v>395.5218438652638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13.8</v>
      </c>
      <c r="FZ46" s="13">
        <f>IF('Données projet'!$A$244&gt;35,FZ45+FY46-GH45,IF(A46&lt;'Données projet'!$A$244,$FW$205^A46,IF(A46='Données projet'!$A$244,'Données projet'!$B$244,FZ45+FY46-GH45)))</f>
        <v>248.40000000000012</v>
      </c>
      <c r="GA46" s="18">
        <f>FZ46*VLOOKUP('Données projet'!$B$17,Paramètres!$A$1:$I$89,3,0)*VLOOKUP('Données projet'!$B$17,Paramètres!$A$1:$I$89,5,0)</f>
        <v>213.12720000000016</v>
      </c>
      <c r="GB46" s="14">
        <f t="shared" si="49"/>
        <v>52.618368568459893</v>
      </c>
      <c r="GC46" s="22">
        <f t="shared" si="25"/>
        <v>462.84019859006793</v>
      </c>
      <c r="GD46" s="60">
        <f t="shared" si="26"/>
        <v>712.98138005650003</v>
      </c>
      <c r="GE46" s="60">
        <f ca="1">AVERAGE(OFFSET($GD$3,0,0,'Données projet'!$E$17+1,1))-AVERAGE(OFFSET($H$3,0,0,'Données projet'!$E$17+1,1))</f>
        <v>701.44583662096022</v>
      </c>
      <c r="GF46" s="60">
        <f t="shared" si="50"/>
        <v>331.25104323342907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7.6</v>
      </c>
      <c r="GU46" s="13">
        <f>IF('Données projet'!$A$270&gt;35,GU45+GT46-HC45,IF(A46&lt;'Données projet'!$A$270,$GR$205^A46,IF(A46='Données projet'!$A$270,'Données projet'!$B$270,GU45+GT46-HC45)))</f>
        <v>174.8</v>
      </c>
      <c r="GV46" s="18">
        <f>GU46*VLOOKUP('Données projet'!$B$18,Paramètres!$A$1:$I$89,3,0)*VLOOKUP('Données projet'!$B$18,Paramètres!$A$1:$I$89,5,0)</f>
        <v>141.79776000000004</v>
      </c>
      <c r="GW46" s="14">
        <f t="shared" si="51"/>
        <v>36.708540735279854</v>
      </c>
      <c r="GX46" s="22">
        <f t="shared" si="28"/>
        <v>310.89847378061245</v>
      </c>
      <c r="GY46" s="60">
        <f t="shared" si="29"/>
        <v>561.03965524704449</v>
      </c>
      <c r="GZ46" s="60">
        <f ca="1">AVERAGE(OFFSET($GY$3,0,0,'Données projet'!$E$18+1,1))-AVERAGE(OFFSET($H$3,0,0,'Données projet'!$E$18+1,1))</f>
        <v>272.69564942740931</v>
      </c>
      <c r="HA46" s="60">
        <f t="shared" si="52"/>
        <v>316.57989180609252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25">
      <c r="A47" s="11">
        <f t="shared" si="31"/>
        <v>44</v>
      </c>
      <c r="B47" s="75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8">
        <f t="shared" si="1"/>
        <v>183.33333333333334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projet'!$B$9,Paramètres!$A$1:$I$89,3,0)*VLOOKUP('Données projet'!$B$9,Paramètres!$A$1:$I$89,5,0)</f>
        <v>199.59888000000004</v>
      </c>
      <c r="P47" s="14">
        <f t="shared" si="33"/>
        <v>49.656003392529037</v>
      </c>
      <c r="Q47" s="22">
        <f t="shared" si="53"/>
        <v>434.11892190865478</v>
      </c>
      <c r="R47" s="60">
        <f t="shared" si="0"/>
        <v>685.00939064679221</v>
      </c>
      <c r="S47" s="60">
        <f ca="1">AVERAGE(OFFSET($R$3,0,0,'Données projet'!$E$9+1,1))-AVERAGE(OFFSET($H$3,0,0,'Données projet'!$E$9+1,1))</f>
        <v>570.08763950759544</v>
      </c>
      <c r="T47" s="60">
        <f t="shared" si="34"/>
        <v>297.32483725004136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9.8199999999999932</v>
      </c>
      <c r="AI47" s="14">
        <f>IF('Données projet'!$A$62&gt;35,AI46+AH47-AQ46,IF(A47&lt;'Données projet'!$A$62,$AF$205^A47,IF(A47='Données projet'!$A$62,'Données projet'!$B$62,AI46+AH47-AQ46)))</f>
        <v>232.37999999999988</v>
      </c>
      <c r="AJ47" s="14">
        <f>AI47*VLOOKUP('Données projet'!$B$10,Paramètres!$A$1:$I$89,3,0)*VLOOKUP('Données projet'!$B$10,Paramètres!$A$1:$I$89,5,0)</f>
        <v>184.88152799999992</v>
      </c>
      <c r="AK47" s="14">
        <f t="shared" si="35"/>
        <v>46.406539086581006</v>
      </c>
      <c r="AL47" s="22">
        <f t="shared" si="4"/>
        <v>402.82671684246179</v>
      </c>
      <c r="AM47" s="60">
        <f t="shared" si="5"/>
        <v>653.71718558059922</v>
      </c>
      <c r="AN47" s="60">
        <f ca="1">AVERAGE(OFFSET($AM$3,0,0,'Données projet'!$E$10+1,1))-AVERAGE(OFFSET($H$3,0,0,'Données projet'!$E$10+1,1))</f>
        <v>394.49874384716014</v>
      </c>
      <c r="AO47" s="60">
        <f t="shared" si="36"/>
        <v>423.72519584013378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6.2820512820512819</v>
      </c>
      <c r="BD47" s="13">
        <f>IF('Données projet'!$A$88&gt;35,BD46+BC47-BL46,IF(A47&lt;'Données projet'!$A$88,$BA$205^A47,IF(A47='Données projet'!$A$88,'Données projet'!$B$88,BD46+BC47-BL46)))</f>
        <v>185.38461538461533</v>
      </c>
      <c r="BE47" s="14">
        <f>BD47*VLOOKUP('Données projet'!$B$11,Paramètres!$A$1:$I$89,3,0)*VLOOKUP('Données projet'!$B$11,Paramètres!$A$1:$I$89,5,0)</f>
        <v>176.41199999999995</v>
      </c>
      <c r="BF47" s="14">
        <f t="shared" si="37"/>
        <v>44.522989246723967</v>
      </c>
      <c r="BG47" s="22">
        <f t="shared" si="7"/>
        <v>384.79510627137751</v>
      </c>
      <c r="BH47" s="60">
        <f t="shared" si="8"/>
        <v>635.68557500951488</v>
      </c>
      <c r="BI47" s="60">
        <f ca="1">AVERAGE(OFFSET($BH$3,0,0,'Données projet'!$E$11+1,1))-AVERAGE(OFFSET($H$3,0,0,'Données projet'!$E$11+1,1))</f>
        <v>441.15969139782891</v>
      </c>
      <c r="BJ47" s="60">
        <f t="shared" si="38"/>
        <v>315.06466790224783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230</v>
      </c>
      <c r="BW47" s="13">
        <f>VLOOKUP(A47,'Données projet'!$A$113:$I$133,9,0)</f>
        <v>11.142857142857142</v>
      </c>
      <c r="BX47" s="13">
        <f t="array" ref="BX47">INDEX(BW:BW,MIN(IF(ISNUMBER(BW47:BW243),ROW(BW47:BW243),"")))</f>
        <v>11.142857142857142</v>
      </c>
      <c r="BY47" s="13">
        <f>IF('Données projet'!$A$114&gt;35,BY46+BX47-CG46,IF(A47&lt;'Données projet'!$A$114,$BV$205^A47,IF(A47='Données projet'!$A$114,'Données projet'!$B$114,BY46+BX47-CG46)))</f>
        <v>229.99999999999994</v>
      </c>
      <c r="BZ47" s="14">
        <f>BY47*VLOOKUP('Données projet'!$B$12,Paramètres!$A$1:$I$89,3,0)*VLOOKUP('Données projet'!$B$12,Paramètres!$A$1:$I$89,5,0)</f>
        <v>179.39999999999995</v>
      </c>
      <c r="CA47" s="14">
        <f t="shared" si="39"/>
        <v>45.188671291872232</v>
      </c>
      <c r="CB47" s="22">
        <f t="shared" si="10"/>
        <v>391.15860250001066</v>
      </c>
      <c r="CC47" s="60">
        <f t="shared" si="11"/>
        <v>642.04907123814814</v>
      </c>
      <c r="CD47" s="60">
        <f ca="1">AVERAGE(OFFSET($CC$3,0,0,'Données projet'!$E$12+1,1))-AVERAGE(OFFSET($H$3,0,0,'Données projet'!$E$12+1,1))</f>
        <v>312.59632808777332</v>
      </c>
      <c r="CE47" s="60">
        <f t="shared" si="40"/>
        <v>302.59481222418219</v>
      </c>
      <c r="CF47" s="16">
        <f>IF(ISNA(VLOOKUP(A47,'Données projet'!$A$113:$I$133,3,0)),0,VLOOKUP(A47,'Données projet'!$A$113:$I$133,3,0))</f>
        <v>4</v>
      </c>
      <c r="CG47" s="16">
        <f>IF(ISNA(VLOOKUP(A47,'Données projet'!$A$113:$I$133,4,0)),0,VLOOKUP(A47,'Données projet'!$A$113:$I$133,4,0))</f>
        <v>43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11.4</v>
      </c>
      <c r="CT47" s="13">
        <f>IF('Données projet'!$A$140&gt;35,CT46+CS47-DB46,IF(A47&lt;'Données projet'!$A$140,$CQ$205^A47,IF(A47='Données projet'!$A$140,'Données projet'!$B$140,CT46+CS47-DB46)))</f>
        <v>220.60000000000005</v>
      </c>
      <c r="CU47" s="18">
        <f>CT47*VLOOKUP('Données projet'!$B$13,Paramètres!$A$1:$I$89,3,0)*VLOOKUP('Données projet'!$B$13,Paramètres!$A$1:$I$89,5,0)</f>
        <v>213.36432000000005</v>
      </c>
      <c r="CV47" s="14">
        <f t="shared" si="41"/>
        <v>52.670092827991724</v>
      </c>
      <c r="CW47" s="22">
        <f t="shared" si="13"/>
        <v>463.34326900875232</v>
      </c>
      <c r="CX47" s="60">
        <f t="shared" si="14"/>
        <v>714.2337377468898</v>
      </c>
      <c r="CY47" s="60">
        <f ca="1">AVERAGE(OFFSET($CX$3,0,0,'Données projet'!$E$13+1,1))-AVERAGE(OFFSET($H$3,0,0,'Données projet'!$E$13+1,1))</f>
        <v>603.52431522262032</v>
      </c>
      <c r="CZ47" s="60">
        <f t="shared" si="42"/>
        <v>313.56299786481338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11.4</v>
      </c>
      <c r="DO47" s="13">
        <f>IF('Données projet'!$A$166&gt;35,DO46+DN47-DW46,IF(A47&lt;'Données projet'!$A$166,$DL$205^A47,IF(A47='Données projet'!$A$166,'Données projet'!$B$166,DO46+DN47-DW46)))</f>
        <v>220.60000000000005</v>
      </c>
      <c r="DP47" s="18">
        <f>DO47*VLOOKUP('Données projet'!$B$14,Paramètres!$A$1:$I$89,3,0)*VLOOKUP('Données projet'!$B$14,Paramètres!$A$1:$I$89,5,0)</f>
        <v>237.45384000000004</v>
      </c>
      <c r="DQ47" s="14">
        <f t="shared" si="43"/>
        <v>57.891372164661</v>
      </c>
      <c r="DR47" s="22">
        <f t="shared" si="16"/>
        <v>514.39291118678466</v>
      </c>
      <c r="DS47" s="60">
        <f t="shared" si="17"/>
        <v>765.28337992492209</v>
      </c>
      <c r="DT47" s="60">
        <f ca="1">AVERAGE(OFFSET($DS$3,0,0,'Données projet'!$E$14+1,1))-AVERAGE(OFFSET($H$3,0,0,'Données projet'!$E$14+1,1))</f>
        <v>661.93515988633499</v>
      </c>
      <c r="DU47" s="60">
        <f t="shared" si="44"/>
        <v>341.9250949809848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7.5641025641025639</v>
      </c>
      <c r="EJ47" s="13">
        <f>IF('Données projet'!$A$192&gt;35,EJ46+EI47-ER46,IF(A47&lt;'Données projet'!$A$192,$EG$205^A47,IF(A47='Données projet'!$A$192,'Données projet'!$B$192,EJ46+EI47-ER46)))</f>
        <v>218.71794871794881</v>
      </c>
      <c r="EK47" s="18">
        <f>EJ47*VLOOKUP('Données projet'!$B$15,Paramètres!$A$1:$I$89,3,0)*VLOOKUP('Données projet'!$B$15,Paramètres!$A$1:$I$89,5,0)</f>
        <v>146.71600000000007</v>
      </c>
      <c r="EL47" s="14">
        <f t="shared" si="45"/>
        <v>37.831326067731702</v>
      </c>
      <c r="EM47" s="22">
        <f t="shared" si="19"/>
        <v>321.41992623463284</v>
      </c>
      <c r="EN47" s="60">
        <f t="shared" si="20"/>
        <v>572.31039497277027</v>
      </c>
      <c r="EO47" s="60">
        <f ca="1">AVERAGE(OFFSET($EN$3,0,0,'Données projet'!$E$15+1,1))-AVERAGE(OFFSET($H$3,0,0,'Données projet'!$E$15+1,1))</f>
        <v>396.0878652679051</v>
      </c>
      <c r="EP47" s="60">
        <f t="shared" si="46"/>
        <v>327.26339199235406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9.8199999999999932</v>
      </c>
      <c r="FE47" s="13">
        <f>IF('Données projet'!$A$218&gt;35,FE46+FD47-FM46,IF(A47&lt;'Données projet'!$A$218,$FB$205^A47,IF(A47='Données projet'!$A$218,'Données projet'!$B$218,FE46+FD47-FM46)))</f>
        <v>232.37999999999988</v>
      </c>
      <c r="FF47" s="18">
        <f>FE47*VLOOKUP('Données projet'!$B$16,Paramètres!$A$1:$I$89,3,0)*VLOOKUP('Données projet'!$B$16,Paramètres!$A$1:$I$89,5,0)</f>
        <v>170.3810159999999</v>
      </c>
      <c r="FG47" s="14">
        <f t="shared" si="47"/>
        <v>43.17534737258952</v>
      </c>
      <c r="FH47" s="22">
        <f t="shared" si="22"/>
        <v>371.94399954059327</v>
      </c>
      <c r="FI47" s="60">
        <f t="shared" si="23"/>
        <v>622.8344682787307</v>
      </c>
      <c r="FJ47" s="60">
        <f ca="1">AVERAGE(OFFSET($FI$3,0,0,'Données projet'!$E$16+1,1))-AVERAGE(OFFSET($H$3,0,0,'Données projet'!$E$16+1,1))</f>
        <v>368.35775920359396</v>
      </c>
      <c r="FK47" s="60">
        <f t="shared" si="48"/>
        <v>395.5218438652638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13.8</v>
      </c>
      <c r="FZ47" s="13">
        <f>IF('Données projet'!$A$244&gt;35,FZ46+FY47-GH46,IF(A47&lt;'Données projet'!$A$244,$FW$205^A47,IF(A47='Données projet'!$A$244,'Données projet'!$B$244,FZ46+FY47-GH46)))</f>
        <v>262.2000000000001</v>
      </c>
      <c r="GA47" s="18">
        <f>FZ47*VLOOKUP('Données projet'!$B$17,Paramètres!$A$1:$I$89,3,0)*VLOOKUP('Données projet'!$B$17,Paramètres!$A$1:$I$89,5,0)</f>
        <v>224.96760000000012</v>
      </c>
      <c r="GB47" s="14">
        <f t="shared" si="49"/>
        <v>55.193161946335238</v>
      </c>
      <c r="GC47" s="22">
        <f t="shared" si="25"/>
        <v>487.94666038986742</v>
      </c>
      <c r="GD47" s="60">
        <f t="shared" si="26"/>
        <v>738.83712912800479</v>
      </c>
      <c r="GE47" s="60">
        <f ca="1">AVERAGE(OFFSET($GD$3,0,0,'Données projet'!$E$17+1,1))-AVERAGE(OFFSET($H$3,0,0,'Données projet'!$E$17+1,1))</f>
        <v>701.44583662096022</v>
      </c>
      <c r="GF47" s="60">
        <f t="shared" si="50"/>
        <v>331.25104323342907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7.6</v>
      </c>
      <c r="GU47" s="13">
        <f>IF('Données projet'!$A$270&gt;35,GU46+GT47-HC46,IF(A47&lt;'Données projet'!$A$270,$GR$205^A47,IF(A47='Données projet'!$A$270,'Données projet'!$B$270,GU46+GT47-HC46)))</f>
        <v>182.4</v>
      </c>
      <c r="GV47" s="18">
        <f>GU47*VLOOKUP('Données projet'!$B$18,Paramètres!$A$1:$I$89,3,0)*VLOOKUP('Données projet'!$B$18,Paramètres!$A$1:$I$89,5,0)</f>
        <v>147.96288000000001</v>
      </c>
      <c r="GW47" s="14">
        <f t="shared" si="51"/>
        <v>38.115275017059226</v>
      </c>
      <c r="GX47" s="22">
        <f t="shared" si="28"/>
        <v>324.0861199880448</v>
      </c>
      <c r="GY47" s="60">
        <f t="shared" si="29"/>
        <v>574.97658872618217</v>
      </c>
      <c r="GZ47" s="60">
        <f ca="1">AVERAGE(OFFSET($GY$3,0,0,'Données projet'!$E$18+1,1))-AVERAGE(OFFSET($H$3,0,0,'Données projet'!$E$18+1,1))</f>
        <v>272.69564942740931</v>
      </c>
      <c r="HA47" s="60">
        <f t="shared" si="52"/>
        <v>316.57989180609252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25">
      <c r="A48" s="11">
        <f t="shared" si="31"/>
        <v>45</v>
      </c>
      <c r="B48" s="75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8">
        <f t="shared" si="1"/>
        <v>183.33333333333334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projet'!$B$9,Paramètres!$A$1:$I$89,3,0)*VLOOKUP('Données projet'!$B$9,Paramètres!$A$1:$I$89,5,0)</f>
        <v>209.91360000000006</v>
      </c>
      <c r="P48" s="14">
        <f t="shared" si="33"/>
        <v>51.916704672341361</v>
      </c>
      <c r="Q48" s="22">
        <f t="shared" si="53"/>
        <v>456.02111397099458</v>
      </c>
      <c r="R48" s="60">
        <f t="shared" si="0"/>
        <v>707.64787152182873</v>
      </c>
      <c r="S48" s="60">
        <f ca="1">AVERAGE(OFFSET($R$3,0,0,'Données projet'!$E$9+1,1))-AVERAGE(OFFSET($H$3,0,0,'Données projet'!$E$9+1,1))</f>
        <v>570.08763950759544</v>
      </c>
      <c r="T48" s="60">
        <f t="shared" si="34"/>
        <v>297.32483725004136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242.2</v>
      </c>
      <c r="AG48" s="13">
        <f>VLOOKUP(A48,'Données projet'!$A$61:$I$81,9,0)</f>
        <v>9.8199999999999932</v>
      </c>
      <c r="AH48" s="13">
        <f t="array" ref="AH48">INDEX(AG:AG,MIN(IF(ISNUMBER(AG48:AG244),ROW(AG48:AG244),"")))</f>
        <v>9.8199999999999932</v>
      </c>
      <c r="AI48" s="14">
        <f>IF('Données projet'!$A$62&gt;35,AI47+AH48-AQ47,IF(A48&lt;'Données projet'!$A$62,$AF$205^A48,IF(A48='Données projet'!$A$62,'Données projet'!$B$62,AI47+AH48-AQ47)))</f>
        <v>242.19999999999987</v>
      </c>
      <c r="AJ48" s="14">
        <f>AI48*VLOOKUP('Données projet'!$B$10,Paramètres!$A$1:$I$89,3,0)*VLOOKUP('Données projet'!$B$10,Paramètres!$A$1:$I$89,5,0)</f>
        <v>192.69431999999989</v>
      </c>
      <c r="AK48" s="14">
        <f t="shared" si="35"/>
        <v>48.13513970479886</v>
      </c>
      <c r="AL48" s="22">
        <f t="shared" si="4"/>
        <v>419.44464231919113</v>
      </c>
      <c r="AM48" s="60">
        <f t="shared" si="5"/>
        <v>671.07139987002529</v>
      </c>
      <c r="AN48" s="60">
        <f ca="1">AVERAGE(OFFSET($AM$3,0,0,'Données projet'!$E$10+1,1))-AVERAGE(OFFSET($H$3,0,0,'Données projet'!$E$10+1,1))</f>
        <v>394.49874384716014</v>
      </c>
      <c r="AO48" s="60">
        <f t="shared" si="36"/>
        <v>423.72519584013378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191.66666666666666</v>
      </c>
      <c r="BB48" s="13">
        <f>VLOOKUP(A48,'Données projet'!$A$87:$I$107,9,0)</f>
        <v>6.2820512820512819</v>
      </c>
      <c r="BC48" s="13">
        <f t="array" ref="BC48">INDEX(BB:BB,MIN(IF(ISNUMBER(BB48:BB244),ROW(BB48:BB244),"")))</f>
        <v>6.2820512820512819</v>
      </c>
      <c r="BD48" s="13">
        <f>IF('Données projet'!$A$88&gt;35,BD47+BC48-BL47,IF(A48&lt;'Données projet'!$A$88,$BA$205^A48,IF(A48='Données projet'!$A$88,'Données projet'!$B$88,BD47+BC48-BL47)))</f>
        <v>191.6666666666666</v>
      </c>
      <c r="BE48" s="14">
        <f>BD48*VLOOKUP('Données projet'!$B$11,Paramètres!$A$1:$I$89,3,0)*VLOOKUP('Données projet'!$B$11,Paramètres!$A$1:$I$89,5,0)</f>
        <v>182.38999999999996</v>
      </c>
      <c r="BF48" s="14">
        <f t="shared" si="37"/>
        <v>45.853508245632504</v>
      </c>
      <c r="BG48" s="22">
        <f t="shared" si="7"/>
        <v>397.52411019447646</v>
      </c>
      <c r="BH48" s="60">
        <f t="shared" si="8"/>
        <v>649.15086774531062</v>
      </c>
      <c r="BI48" s="60">
        <f ca="1">AVERAGE(OFFSET($BH$3,0,0,'Données projet'!$E$11+1,1))-AVERAGE(OFFSET($H$3,0,0,'Données projet'!$E$11+1,1))</f>
        <v>441.15969139782891</v>
      </c>
      <c r="BJ48" s="60">
        <f t="shared" si="38"/>
        <v>315.06466790224783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34.615384615384613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10.375</v>
      </c>
      <c r="BY48" s="13">
        <f>IF('Données projet'!$A$114&gt;35,BY47+BX48-CG47,IF(A48&lt;'Données projet'!$A$114,$BV$205^A48,IF(A48='Données projet'!$A$114,'Données projet'!$B$114,BY47+BX48-CG47)))</f>
        <v>197.37499999999994</v>
      </c>
      <c r="BZ48" s="14">
        <f>BY48*VLOOKUP('Données projet'!$B$12,Paramètres!$A$1:$I$89,3,0)*VLOOKUP('Données projet'!$B$12,Paramètres!$A$1:$I$89,5,0)</f>
        <v>153.95249999999996</v>
      </c>
      <c r="CA48" s="14">
        <f t="shared" si="39"/>
        <v>39.475441267837397</v>
      </c>
      <c r="CB48" s="22">
        <f t="shared" si="10"/>
        <v>336.88699770815003</v>
      </c>
      <c r="CC48" s="60">
        <f t="shared" si="11"/>
        <v>588.51375525898413</v>
      </c>
      <c r="CD48" s="60">
        <f ca="1">AVERAGE(OFFSET($CC$3,0,0,'Données projet'!$E$12+1,1))-AVERAGE(OFFSET($H$3,0,0,'Données projet'!$E$12+1,1))</f>
        <v>312.59632808777332</v>
      </c>
      <c r="CE48" s="60">
        <f t="shared" si="40"/>
        <v>302.59481222418219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232</v>
      </c>
      <c r="CR48" s="13">
        <f>VLOOKUP(A48,'Données projet'!$A$139:$I$159,9,0)</f>
        <v>11.4</v>
      </c>
      <c r="CS48" s="13">
        <f t="array" ref="CS48">INDEX(CR:CR,MIN(IF(ISNUMBER(CR48:CR244),ROW(CR48:CR244),"")))</f>
        <v>11.4</v>
      </c>
      <c r="CT48" s="13">
        <f>IF('Données projet'!$A$140&gt;35,CT47+CS48-DB47,IF(A48&lt;'Données projet'!$A$140,$CQ$205^A48,IF(A48='Données projet'!$A$140,'Données projet'!$B$140,CT47+CS48-DB47)))</f>
        <v>232.00000000000006</v>
      </c>
      <c r="CU48" s="18">
        <f>CT48*VLOOKUP('Données projet'!$B$13,Paramètres!$A$1:$I$89,3,0)*VLOOKUP('Données projet'!$B$13,Paramètres!$A$1:$I$89,5,0)</f>
        <v>224.39040000000006</v>
      </c>
      <c r="CV48" s="14">
        <f t="shared" si="41"/>
        <v>55.068017311015858</v>
      </c>
      <c r="CW48" s="22">
        <f t="shared" si="13"/>
        <v>486.72341015001939</v>
      </c>
      <c r="CX48" s="60">
        <f t="shared" si="14"/>
        <v>738.35016770085349</v>
      </c>
      <c r="CY48" s="60">
        <f ca="1">AVERAGE(OFFSET($CX$3,0,0,'Données projet'!$E$13+1,1))-AVERAGE(OFFSET($H$3,0,0,'Données projet'!$E$13+1,1))</f>
        <v>603.52431522262032</v>
      </c>
      <c r="CZ48" s="60">
        <f t="shared" si="42"/>
        <v>313.56299786481338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56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232</v>
      </c>
      <c r="DM48" s="13">
        <f>VLOOKUP(A48,'Données projet'!$A$165:$I$185,9,0)</f>
        <v>11.4</v>
      </c>
      <c r="DN48" s="13">
        <f t="array" ref="DN48">INDEX(DM:DM,MIN(IF(ISNUMBER(DM48:DM244),ROW(DM48:DM244),"")))</f>
        <v>11.4</v>
      </c>
      <c r="DO48" s="13">
        <f>IF('Données projet'!$A$166&gt;35,DO47+DN48-DW47,IF(A48&lt;'Données projet'!$A$166,$DL$205^A48,IF(A48='Données projet'!$A$166,'Données projet'!$B$166,DO47+DN48-DW47)))</f>
        <v>232.00000000000006</v>
      </c>
      <c r="DP48" s="18">
        <f>DO48*VLOOKUP('Données projet'!$B$14,Paramètres!$A$1:$I$89,3,0)*VLOOKUP('Données projet'!$B$14,Paramètres!$A$1:$I$89,5,0)</f>
        <v>249.72480000000007</v>
      </c>
      <c r="DQ48" s="14">
        <f t="shared" si="43"/>
        <v>60.527007137298142</v>
      </c>
      <c r="DR48" s="22">
        <f t="shared" si="16"/>
        <v>540.35523076412767</v>
      </c>
      <c r="DS48" s="60">
        <f t="shared" si="17"/>
        <v>791.98198831496177</v>
      </c>
      <c r="DT48" s="60">
        <f ca="1">AVERAGE(OFFSET($DS$3,0,0,'Données projet'!$E$14+1,1))-AVERAGE(OFFSET($H$3,0,0,'Données projet'!$E$14+1,1))</f>
        <v>661.93515988633499</v>
      </c>
      <c r="DU48" s="60">
        <f t="shared" si="44"/>
        <v>341.9250949809848</v>
      </c>
      <c r="DV48" s="16">
        <f>IF(ISNA(VLOOKUP(A48,'Données projet'!$A$165:$I$185,3,0)),0,VLOOKUP(A48,'Données projet'!$A$165:$I$185,3,0))</f>
        <v>3</v>
      </c>
      <c r="DW48" s="16">
        <f>IF(ISNA(VLOOKUP(A48,'Données projet'!$A$165:$I$185,4,0)),0,VLOOKUP(A48,'Données projet'!$A$165:$I$185,4,0))</f>
        <v>56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226.28205128205127</v>
      </c>
      <c r="EH48" s="13">
        <f>VLOOKUP(A48,'Données projet'!$A$191:$I$211,9,0)</f>
        <v>7.5641025641025639</v>
      </c>
      <c r="EI48" s="13">
        <f t="array" ref="EI48">INDEX(EH:EH,MIN(IF(ISNUMBER(EH48:EH244),ROW(EH48:EH244),"")))</f>
        <v>7.5641025641025639</v>
      </c>
      <c r="EJ48" s="13">
        <f>IF('Données projet'!$A$192&gt;35,EJ47+EI48-ER47,IF(A48&lt;'Données projet'!$A$192,$EG$205^A48,IF(A48='Données projet'!$A$192,'Données projet'!$B$192,EJ47+EI48-ER47)))</f>
        <v>226.28205128205138</v>
      </c>
      <c r="EK48" s="18">
        <f>EJ48*VLOOKUP('Données projet'!$B$15,Paramètres!$A$1:$I$89,3,0)*VLOOKUP('Données projet'!$B$15,Paramètres!$A$1:$I$89,5,0)</f>
        <v>151.79000000000005</v>
      </c>
      <c r="EL48" s="14">
        <f t="shared" si="45"/>
        <v>38.985088271202081</v>
      </c>
      <c r="EM48" s="22">
        <f t="shared" si="19"/>
        <v>332.26661207234366</v>
      </c>
      <c r="EN48" s="60">
        <f t="shared" si="20"/>
        <v>583.89336962317782</v>
      </c>
      <c r="EO48" s="60">
        <f ca="1">AVERAGE(OFFSET($EN$3,0,0,'Données projet'!$E$15+1,1))-AVERAGE(OFFSET($H$3,0,0,'Données projet'!$E$15+1,1))</f>
        <v>396.0878652679051</v>
      </c>
      <c r="EP48" s="60">
        <f t="shared" si="46"/>
        <v>327.26339199235406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242.2</v>
      </c>
      <c r="FC48" s="13">
        <f>VLOOKUP(A48,'Données projet'!$A$217:$I$237,9,0)</f>
        <v>9.8199999999999932</v>
      </c>
      <c r="FD48" s="13">
        <f t="array" ref="FD48">INDEX(FC:FC,MIN(IF(ISNUMBER(FC48:FC244),ROW(FC48:FC244),"")))</f>
        <v>9.8199999999999932</v>
      </c>
      <c r="FE48" s="13">
        <f>IF('Données projet'!$A$218&gt;35,FE47+FD48-FM47,IF(A48&lt;'Données projet'!$A$218,$FB$205^A48,IF(A48='Données projet'!$A$218,'Données projet'!$B$218,FE47+FD48-FM47)))</f>
        <v>242.19999999999987</v>
      </c>
      <c r="FF48" s="18">
        <f>FE48*VLOOKUP('Données projet'!$B$16,Paramètres!$A$1:$I$89,3,0)*VLOOKUP('Données projet'!$B$16,Paramètres!$A$1:$I$89,5,0)</f>
        <v>177.58103999999989</v>
      </c>
      <c r="FG48" s="14">
        <f t="shared" si="47"/>
        <v>44.783589090869476</v>
      </c>
      <c r="FH48" s="22">
        <f t="shared" si="22"/>
        <v>387.28506233326408</v>
      </c>
      <c r="FI48" s="60">
        <f t="shared" si="23"/>
        <v>638.91181988409824</v>
      </c>
      <c r="FJ48" s="60">
        <f ca="1">AVERAGE(OFFSET($FI$3,0,0,'Données projet'!$E$16+1,1))-AVERAGE(OFFSET($H$3,0,0,'Données projet'!$E$16+1,1))</f>
        <v>368.35775920359396</v>
      </c>
      <c r="FK48" s="60">
        <f t="shared" si="48"/>
        <v>395.5218438652638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276</v>
      </c>
      <c r="FX48" s="13">
        <f>VLOOKUP(A48,'Données projet'!$A$243:$I$263,9,0)</f>
        <v>13.8</v>
      </c>
      <c r="FY48" s="13">
        <f t="array" ref="FY48">INDEX(FX:FX,MIN(IF(ISNUMBER(FX48:FX244),ROW(FX48:FX244),"")))</f>
        <v>13.8</v>
      </c>
      <c r="FZ48" s="13">
        <f>IF('Données projet'!$A$244&gt;35,FZ47+FY48-GH47,IF(A48&lt;'Données projet'!$A$244,$FW$205^A48,IF(A48='Données projet'!$A$244,'Données projet'!$B$244,FZ47+FY48-GH47)))</f>
        <v>276.00000000000011</v>
      </c>
      <c r="GA48" s="18">
        <f>FZ48*VLOOKUP('Données projet'!$B$17,Paramètres!$A$1:$I$89,3,0)*VLOOKUP('Données projet'!$B$17,Paramètres!$A$1:$I$89,5,0)</f>
        <v>236.80800000000011</v>
      </c>
      <c r="GB48" s="14">
        <f t="shared" si="49"/>
        <v>57.752221878398764</v>
      </c>
      <c r="GC48" s="22">
        <f t="shared" si="25"/>
        <v>513.02571977154469</v>
      </c>
      <c r="GD48" s="60">
        <f t="shared" si="26"/>
        <v>764.65247732237879</v>
      </c>
      <c r="GE48" s="60">
        <f ca="1">AVERAGE(OFFSET($GD$3,0,0,'Données projet'!$E$17+1,1))-AVERAGE(OFFSET($H$3,0,0,'Données projet'!$E$17+1,1))</f>
        <v>701.44583662096022</v>
      </c>
      <c r="GF48" s="60">
        <f t="shared" si="50"/>
        <v>331.25104323342907</v>
      </c>
      <c r="GG48" s="16">
        <f>IF(ISNA(VLOOKUP(A48,'Données projet'!$A$243:$I$263,3,0)),0,VLOOKUP(A48,'Données projet'!$A$243:$I$263,3,0))</f>
        <v>3</v>
      </c>
      <c r="GH48" s="16">
        <f>IF(ISNA(VLOOKUP(A48,'Données projet'!$A$243:$I$263,4,0)),0,VLOOKUP(A48,'Données projet'!$A$243:$I$263,4,0))</f>
        <v>70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190</v>
      </c>
      <c r="GS48" s="13">
        <f>VLOOKUP(A48,'Données projet'!$A$269:$I$289,9,0)</f>
        <v>7.6</v>
      </c>
      <c r="GT48" s="13">
        <f t="array" ref="GT48">INDEX(GS:GS,MIN(IF(ISNUMBER(GS48:GS244),ROW(GS48:GS244),"")))</f>
        <v>7.6</v>
      </c>
      <c r="GU48" s="13">
        <f>IF('Données projet'!$A$270&gt;35,GU47+GT48-HC47,IF(A48&lt;'Données projet'!$A$270,$GR$205^A48,IF(A48='Données projet'!$A$270,'Données projet'!$B$270,GU47+GT48-HC47)))</f>
        <v>190</v>
      </c>
      <c r="GV48" s="18">
        <f>GU48*VLOOKUP('Données projet'!$B$18,Paramètres!$A$1:$I$89,3,0)*VLOOKUP('Données projet'!$B$18,Paramètres!$A$1:$I$89,5,0)</f>
        <v>154.12800000000001</v>
      </c>
      <c r="GW48" s="14">
        <f t="shared" si="51"/>
        <v>39.515201075361155</v>
      </c>
      <c r="GX48" s="22">
        <f t="shared" si="28"/>
        <v>337.26190853958735</v>
      </c>
      <c r="GY48" s="60">
        <f t="shared" si="29"/>
        <v>588.88866609042145</v>
      </c>
      <c r="GZ48" s="60">
        <f ca="1">AVERAGE(OFFSET($GY$3,0,0,'Données projet'!$E$18+1,1))-AVERAGE(OFFSET($H$3,0,0,'Données projet'!$E$18+1,1))</f>
        <v>272.69564942740931</v>
      </c>
      <c r="HA48" s="60">
        <f t="shared" si="52"/>
        <v>316.57989180609252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25">
      <c r="A49" s="11">
        <f t="shared" si="31"/>
        <v>46</v>
      </c>
      <c r="B49" s="75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8">
        <f t="shared" si="1"/>
        <v>183.33333333333334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projet'!$B$9,Paramètres!$A$1:$I$89,3,0)*VLOOKUP('Données projet'!$B$9,Paramètres!$A$1:$I$89,5,0)</f>
        <v>169.19760000000005</v>
      </c>
      <c r="P49" s="14">
        <f t="shared" si="33"/>
        <v>42.910263223432885</v>
      </c>
      <c r="Q49" s="22">
        <f t="shared" si="53"/>
        <v>369.42119511414563</v>
      </c>
      <c r="R49" s="60">
        <f t="shared" si="0"/>
        <v>621.77146851287125</v>
      </c>
      <c r="S49" s="60">
        <f ca="1">AVERAGE(OFFSET($R$3,0,0,'Données projet'!$E$9+1,1))-AVERAGE(OFFSET($H$3,0,0,'Données projet'!$E$9+1,1))</f>
        <v>570.08763950759544</v>
      </c>
      <c r="T49" s="60">
        <f t="shared" si="34"/>
        <v>297.32483725004136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8.5399999999999974</v>
      </c>
      <c r="AI49" s="14">
        <f>IF('Données projet'!$A$62&gt;35,AI48+AH49-AQ48,IF(A49&lt;'Données projet'!$A$62,$AF$205^A49,IF(A49='Données projet'!$A$62,'Données projet'!$B$62,AI48+AH49-AQ48)))</f>
        <v>250.73999999999987</v>
      </c>
      <c r="AJ49" s="14">
        <f>AI49*VLOOKUP('Données projet'!$B$10,Paramètres!$A$1:$I$89,3,0)*VLOOKUP('Données projet'!$B$10,Paramètres!$A$1:$I$89,5,0)</f>
        <v>199.48874399999991</v>
      </c>
      <c r="AK49" s="14">
        <f t="shared" si="35"/>
        <v>49.631792398634111</v>
      </c>
      <c r="AL49" s="22">
        <f t="shared" si="4"/>
        <v>433.88493422762093</v>
      </c>
      <c r="AM49" s="60">
        <f t="shared" si="5"/>
        <v>686.23520762634655</v>
      </c>
      <c r="AN49" s="60">
        <f ca="1">AVERAGE(OFFSET($AM$3,0,0,'Données projet'!$E$10+1,1))-AVERAGE(OFFSET($H$3,0,0,'Données projet'!$E$10+1,1))</f>
        <v>394.49874384716014</v>
      </c>
      <c r="AO49" s="60">
        <f t="shared" si="36"/>
        <v>423.72519584013378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6.0256410256410273</v>
      </c>
      <c r="BD49" s="13">
        <f>IF('Données projet'!$A$88&gt;35,BD48+BC49-BL48,IF(A49&lt;'Données projet'!$A$88,$BA$205^A49,IF(A49='Données projet'!$A$88,'Données projet'!$B$88,BD48+BC49-BL48)))</f>
        <v>163.07692307692301</v>
      </c>
      <c r="BE49" s="14">
        <f>BD49*VLOOKUP('Données projet'!$B$11,Paramètres!$A$1:$I$89,3,0)*VLOOKUP('Données projet'!$B$11,Paramètres!$A$1:$I$89,5,0)</f>
        <v>155.18399999999994</v>
      </c>
      <c r="BF49" s="14">
        <f t="shared" si="37"/>
        <v>39.754328566553049</v>
      </c>
      <c r="BG49" s="22">
        <f t="shared" si="7"/>
        <v>339.51758892007979</v>
      </c>
      <c r="BH49" s="60">
        <f t="shared" si="8"/>
        <v>591.86786231880546</v>
      </c>
      <c r="BI49" s="60">
        <f ca="1">AVERAGE(OFFSET($BH$3,0,0,'Données projet'!$E$11+1,1))-AVERAGE(OFFSET($H$3,0,0,'Données projet'!$E$11+1,1))</f>
        <v>441.15969139782891</v>
      </c>
      <c r="BJ49" s="60">
        <f t="shared" si="38"/>
        <v>315.06466790224783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10.375</v>
      </c>
      <c r="BY49" s="13">
        <f>IF('Données projet'!$A$114&gt;35,BY48+BX49-CG48,IF(A49&lt;'Données projet'!$A$114,$BV$205^A49,IF(A49='Données projet'!$A$114,'Données projet'!$B$114,BY48+BX49-CG48)))</f>
        <v>207.74999999999994</v>
      </c>
      <c r="BZ49" s="14">
        <f>BY49*VLOOKUP('Données projet'!$B$12,Paramètres!$A$1:$I$89,3,0)*VLOOKUP('Données projet'!$B$12,Paramètres!$A$1:$I$89,5,0)</f>
        <v>162.04499999999996</v>
      </c>
      <c r="CA49" s="14">
        <f t="shared" si="39"/>
        <v>41.303429372463391</v>
      </c>
      <c r="CB49" s="22">
        <f t="shared" si="10"/>
        <v>354.16518115704031</v>
      </c>
      <c r="CC49" s="60">
        <f t="shared" si="11"/>
        <v>606.51545455576593</v>
      </c>
      <c r="CD49" s="60">
        <f ca="1">AVERAGE(OFFSET($CC$3,0,0,'Données projet'!$E$12+1,1))-AVERAGE(OFFSET($H$3,0,0,'Données projet'!$E$12+1,1))</f>
        <v>312.59632808777332</v>
      </c>
      <c r="CE49" s="60">
        <f t="shared" si="40"/>
        <v>302.59481222418219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</v>
      </c>
      <c r="CT49" s="13">
        <f>IF('Données projet'!$A$140&gt;35,CT48+CS49-DB48,IF(A49&lt;'Données projet'!$A$140,$CQ$205^A49,IF(A49='Données projet'!$A$140,'Données projet'!$B$140,CT48+CS49-DB48)))</f>
        <v>187.00000000000006</v>
      </c>
      <c r="CU49" s="18">
        <f>CT49*VLOOKUP('Données projet'!$B$13,Paramètres!$A$1:$I$89,3,0)*VLOOKUP('Données projet'!$B$13,Paramètres!$A$1:$I$89,5,0)</f>
        <v>180.86640000000006</v>
      </c>
      <c r="CV49" s="14">
        <f t="shared" si="41"/>
        <v>45.514890302102152</v>
      </c>
      <c r="CW49" s="22">
        <f t="shared" si="13"/>
        <v>394.28074727616132</v>
      </c>
      <c r="CX49" s="60">
        <f t="shared" si="14"/>
        <v>646.63102067488694</v>
      </c>
      <c r="CY49" s="60">
        <f ca="1">AVERAGE(OFFSET($CX$3,0,0,'Données projet'!$E$13+1,1))-AVERAGE(OFFSET($H$3,0,0,'Données projet'!$E$13+1,1))</f>
        <v>603.52431522262032</v>
      </c>
      <c r="CZ49" s="60">
        <f t="shared" si="42"/>
        <v>313.56299786481338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11</v>
      </c>
      <c r="DO49" s="13">
        <f>IF('Données projet'!$A$166&gt;35,DO48+DN49-DW48,IF(A49&lt;'Données projet'!$A$166,$DL$205^A49,IF(A49='Données projet'!$A$166,'Données projet'!$B$166,DO48+DN49-DW48)))</f>
        <v>187.00000000000006</v>
      </c>
      <c r="DP49" s="18">
        <f>DO49*VLOOKUP('Données projet'!$B$14,Paramètres!$A$1:$I$89,3,0)*VLOOKUP('Données projet'!$B$14,Paramètres!$A$1:$I$89,5,0)</f>
        <v>201.28680000000006</v>
      </c>
      <c r="DQ49" s="14">
        <f t="shared" si="43"/>
        <v>50.026861773677666</v>
      </c>
      <c r="DR49" s="22">
        <f t="shared" si="16"/>
        <v>437.70462758915534</v>
      </c>
      <c r="DS49" s="60">
        <f t="shared" si="17"/>
        <v>690.05490098788096</v>
      </c>
      <c r="DT49" s="60">
        <f ca="1">AVERAGE(OFFSET($DS$3,0,0,'Données projet'!$E$14+1,1))-AVERAGE(OFFSET($H$3,0,0,'Données projet'!$E$14+1,1))</f>
        <v>661.93515988633499</v>
      </c>
      <c r="DU49" s="60">
        <f t="shared" si="44"/>
        <v>341.9250949809848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7.0512820512820555</v>
      </c>
      <c r="EJ49" s="13">
        <f>IF('Données projet'!$A$192&gt;35,EJ48+EI49-ER48,IF(A49&lt;'Données projet'!$A$192,$EG$205^A49,IF(A49='Données projet'!$A$192,'Données projet'!$B$192,EJ48+EI49-ER48)))</f>
        <v>233.33333333333343</v>
      </c>
      <c r="EK49" s="18">
        <f>EJ49*VLOOKUP('Données projet'!$B$15,Paramètres!$A$1:$I$89,3,0)*VLOOKUP('Données projet'!$B$15,Paramètres!$A$1:$I$89,5,0)</f>
        <v>156.52000000000007</v>
      </c>
      <c r="EL49" s="14">
        <f t="shared" si="45"/>
        <v>40.056589961286974</v>
      </c>
      <c r="EM49" s="22">
        <f t="shared" si="19"/>
        <v>342.37089418257489</v>
      </c>
      <c r="EN49" s="60">
        <f t="shared" si="20"/>
        <v>594.72116758130051</v>
      </c>
      <c r="EO49" s="60">
        <f ca="1">AVERAGE(OFFSET($EN$3,0,0,'Données projet'!$E$15+1,1))-AVERAGE(OFFSET($H$3,0,0,'Données projet'!$E$15+1,1))</f>
        <v>396.0878652679051</v>
      </c>
      <c r="EP49" s="60">
        <f t="shared" si="46"/>
        <v>327.26339199235406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8.5399999999999974</v>
      </c>
      <c r="FE49" s="13">
        <f>IF('Données projet'!$A$218&gt;35,FE48+FD49-FM48,IF(A49&lt;'Données projet'!$A$218,$FB$205^A49,IF(A49='Données projet'!$A$218,'Données projet'!$B$218,FE48+FD49-FM48)))</f>
        <v>250.73999999999987</v>
      </c>
      <c r="FF49" s="18">
        <f>FE49*VLOOKUP('Données projet'!$B$16,Paramètres!$A$1:$I$89,3,0)*VLOOKUP('Données projet'!$B$16,Paramètres!$A$1:$I$89,5,0)</f>
        <v>183.84256799999991</v>
      </c>
      <c r="FG49" s="14">
        <f t="shared" si="47"/>
        <v>46.176032940903148</v>
      </c>
      <c r="FH49" s="22">
        <f t="shared" si="22"/>
        <v>400.61572997207281</v>
      </c>
      <c r="FI49" s="60">
        <f t="shared" si="23"/>
        <v>652.96600337079849</v>
      </c>
      <c r="FJ49" s="60">
        <f ca="1">AVERAGE(OFFSET($FI$3,0,0,'Données projet'!$E$16+1,1))-AVERAGE(OFFSET($H$3,0,0,'Données projet'!$E$16+1,1))</f>
        <v>368.35775920359396</v>
      </c>
      <c r="FK49" s="60">
        <f t="shared" si="48"/>
        <v>395.5218438652638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13.6</v>
      </c>
      <c r="FZ49" s="13">
        <f>IF('Données projet'!$A$244&gt;35,FZ48+FY49-GH48,IF(A49&lt;'Données projet'!$A$244,$FW$205^A49,IF(A49='Données projet'!$A$244,'Données projet'!$B$244,FZ48+FY49-GH48)))</f>
        <v>219.60000000000014</v>
      </c>
      <c r="GA49" s="18">
        <f>FZ49*VLOOKUP('Données projet'!$B$17,Paramètres!$A$1:$I$89,3,0)*VLOOKUP('Données projet'!$B$17,Paramètres!$A$1:$I$89,5,0)</f>
        <v>188.41680000000014</v>
      </c>
      <c r="GB49" s="14">
        <f t="shared" si="49"/>
        <v>47.189759534268717</v>
      </c>
      <c r="GC49" s="22">
        <f t="shared" si="25"/>
        <v>410.34809118885158</v>
      </c>
      <c r="GD49" s="60">
        <f t="shared" si="26"/>
        <v>662.6983645875772</v>
      </c>
      <c r="GE49" s="60">
        <f ca="1">AVERAGE(OFFSET($GD$3,0,0,'Données projet'!$E$17+1,1))-AVERAGE(OFFSET($H$3,0,0,'Données projet'!$E$17+1,1))</f>
        <v>701.44583662096022</v>
      </c>
      <c r="GF49" s="60">
        <f t="shared" si="50"/>
        <v>331.25104323342907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7.6</v>
      </c>
      <c r="GU49" s="13">
        <f>IF('Données projet'!$A$270&gt;35,GU48+GT49-HC48,IF(A49&lt;'Données projet'!$A$270,$GR$205^A49,IF(A49='Données projet'!$A$270,'Données projet'!$B$270,GU48+GT49-HC48)))</f>
        <v>197.6</v>
      </c>
      <c r="GV49" s="18">
        <f>GU49*VLOOKUP('Données projet'!$B$18,Paramètres!$A$1:$I$89,3,0)*VLOOKUP('Données projet'!$B$18,Paramètres!$A$1:$I$89,5,0)</f>
        <v>160.29311999999999</v>
      </c>
      <c r="GW49" s="14">
        <f t="shared" si="51"/>
        <v>40.908622396455648</v>
      </c>
      <c r="GX49" s="22">
        <f t="shared" si="28"/>
        <v>350.42636800716019</v>
      </c>
      <c r="GY49" s="60">
        <f t="shared" si="29"/>
        <v>602.77664140588581</v>
      </c>
      <c r="GZ49" s="60">
        <f ca="1">AVERAGE(OFFSET($GY$3,0,0,'Données projet'!$E$18+1,1))-AVERAGE(OFFSET($H$3,0,0,'Données projet'!$E$18+1,1))</f>
        <v>272.69564942740931</v>
      </c>
      <c r="HA49" s="60">
        <f t="shared" si="52"/>
        <v>316.57989180609252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25">
      <c r="A50" s="11">
        <f t="shared" si="31"/>
        <v>47</v>
      </c>
      <c r="B50" s="75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8">
        <f t="shared" si="1"/>
        <v>183.33333333333334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projet'!$B$9,Paramètres!$A$1:$I$89,3,0)*VLOOKUP('Données projet'!$B$9,Paramètres!$A$1:$I$89,5,0)</f>
        <v>179.15040000000005</v>
      </c>
      <c r="P50" s="14">
        <f t="shared" si="33"/>
        <v>45.133113803437347</v>
      </c>
      <c r="Q50" s="22">
        <f t="shared" si="53"/>
        <v>390.62711987432004</v>
      </c>
      <c r="R50" s="60">
        <f t="shared" si="0"/>
        <v>643.68835773851538</v>
      </c>
      <c r="S50" s="60">
        <f ca="1">AVERAGE(OFFSET($R$3,0,0,'Données projet'!$E$9+1,1))-AVERAGE(OFFSET($H$3,0,0,'Données projet'!$E$9+1,1))</f>
        <v>570.08763950759544</v>
      </c>
      <c r="T50" s="60">
        <f t="shared" si="34"/>
        <v>297.32483725004136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8.5399999999999974</v>
      </c>
      <c r="AI50" s="14">
        <f>IF('Données projet'!$A$62&gt;35,AI49+AH50-AQ49,IF(A50&lt;'Données projet'!$A$62,$AF$205^A50,IF(A50='Données projet'!$A$62,'Données projet'!$B$62,AI49+AH50-AQ49)))</f>
        <v>259.27999999999986</v>
      </c>
      <c r="AJ50" s="14">
        <f>AI50*VLOOKUP('Données projet'!$B$10,Paramètres!$A$1:$I$89,3,0)*VLOOKUP('Données projet'!$B$10,Paramètres!$A$1:$I$89,5,0)</f>
        <v>206.2831679999999</v>
      </c>
      <c r="AK50" s="14">
        <f t="shared" si="35"/>
        <v>51.122522165494573</v>
      </c>
      <c r="AL50" s="22">
        <f t="shared" si="4"/>
        <v>448.31491037156951</v>
      </c>
      <c r="AM50" s="60">
        <f t="shared" si="5"/>
        <v>701.37614823576496</v>
      </c>
      <c r="AN50" s="60">
        <f ca="1">AVERAGE(OFFSET($AM$3,0,0,'Données projet'!$E$10+1,1))-AVERAGE(OFFSET($H$3,0,0,'Données projet'!$E$10+1,1))</f>
        <v>394.49874384716014</v>
      </c>
      <c r="AO50" s="60">
        <f t="shared" si="36"/>
        <v>423.72519584013378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6.0256410256410273</v>
      </c>
      <c r="BD50" s="13">
        <f>IF('Données projet'!$A$88&gt;35,BD49+BC50-BL49,IF(A50&lt;'Données projet'!$A$88,$BA$205^A50,IF(A50='Données projet'!$A$88,'Données projet'!$B$88,BD49+BC50-BL49)))</f>
        <v>169.10256410256403</v>
      </c>
      <c r="BE50" s="14">
        <f>BD50*VLOOKUP('Données projet'!$B$11,Paramètres!$A$1:$I$89,3,0)*VLOOKUP('Données projet'!$B$11,Paramètres!$A$1:$I$89,5,0)</f>
        <v>160.91799999999992</v>
      </c>
      <c r="BF50" s="14">
        <f t="shared" si="37"/>
        <v>41.049503875172206</v>
      </c>
      <c r="BG50" s="22">
        <f t="shared" si="7"/>
        <v>351.76006924925809</v>
      </c>
      <c r="BH50" s="60">
        <f t="shared" si="8"/>
        <v>604.82130711345349</v>
      </c>
      <c r="BI50" s="60">
        <f ca="1">AVERAGE(OFFSET($BH$3,0,0,'Données projet'!$E$11+1,1))-AVERAGE(OFFSET($H$3,0,0,'Données projet'!$E$11+1,1))</f>
        <v>441.15969139782891</v>
      </c>
      <c r="BJ50" s="60">
        <f t="shared" si="38"/>
        <v>315.06466790224783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10.375</v>
      </c>
      <c r="BY50" s="13">
        <f>IF('Données projet'!$A$114&gt;35,BY49+BX50-CG49,IF(A50&lt;'Données projet'!$A$114,$BV$205^A50,IF(A50='Données projet'!$A$114,'Données projet'!$B$114,BY49+BX50-CG49)))</f>
        <v>218.12499999999994</v>
      </c>
      <c r="BZ50" s="14">
        <f>BY50*VLOOKUP('Données projet'!$B$12,Paramètres!$A$1:$I$89,3,0)*VLOOKUP('Données projet'!$B$12,Paramètres!$A$1:$I$89,5,0)</f>
        <v>170.13749999999996</v>
      </c>
      <c r="CA50" s="14">
        <f t="shared" si="39"/>
        <v>43.120817562072411</v>
      </c>
      <c r="CB50" s="22">
        <f t="shared" si="10"/>
        <v>371.42490308727605</v>
      </c>
      <c r="CC50" s="60">
        <f t="shared" si="11"/>
        <v>624.4861409514715</v>
      </c>
      <c r="CD50" s="60">
        <f ca="1">AVERAGE(OFFSET($CC$3,0,0,'Données projet'!$E$12+1,1))-AVERAGE(OFFSET($H$3,0,0,'Données projet'!$E$12+1,1))</f>
        <v>312.59632808777332</v>
      </c>
      <c r="CE50" s="60">
        <f t="shared" si="40"/>
        <v>302.59481222418219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</v>
      </c>
      <c r="CT50" s="13">
        <f>IF('Données projet'!$A$140&gt;35,CT49+CS50-DB49,IF(A50&lt;'Données projet'!$A$140,$CQ$205^A50,IF(A50='Données projet'!$A$140,'Données projet'!$B$140,CT49+CS50-DB49)))</f>
        <v>198.00000000000006</v>
      </c>
      <c r="CU50" s="18">
        <f>CT50*VLOOKUP('Données projet'!$B$13,Paramètres!$A$1:$I$89,3,0)*VLOOKUP('Données projet'!$B$13,Paramètres!$A$1:$I$89,5,0)</f>
        <v>191.50560000000007</v>
      </c>
      <c r="CV50" s="14">
        <f t="shared" si="41"/>
        <v>47.872666570685276</v>
      </c>
      <c r="CW50" s="22">
        <f t="shared" si="13"/>
        <v>416.9171476106103</v>
      </c>
      <c r="CX50" s="60">
        <f t="shared" si="14"/>
        <v>669.97838547480569</v>
      </c>
      <c r="CY50" s="60">
        <f ca="1">AVERAGE(OFFSET($CX$3,0,0,'Données projet'!$E$13+1,1))-AVERAGE(OFFSET($H$3,0,0,'Données projet'!$E$13+1,1))</f>
        <v>603.52431522262032</v>
      </c>
      <c r="CZ50" s="60">
        <f t="shared" si="42"/>
        <v>313.56299786481338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11</v>
      </c>
      <c r="DO50" s="13">
        <f>IF('Données projet'!$A$166&gt;35,DO49+DN50-DW49,IF(A50&lt;'Données projet'!$A$166,$DL$205^A50,IF(A50='Données projet'!$A$166,'Données projet'!$B$166,DO49+DN50-DW49)))</f>
        <v>198.00000000000006</v>
      </c>
      <c r="DP50" s="18">
        <f>DO50*VLOOKUP('Données projet'!$B$14,Paramètres!$A$1:$I$89,3,0)*VLOOKUP('Données projet'!$B$14,Paramètres!$A$1:$I$89,5,0)</f>
        <v>213.12720000000004</v>
      </c>
      <c r="DQ50" s="14">
        <f t="shared" si="43"/>
        <v>52.618368568459893</v>
      </c>
      <c r="DR50" s="22">
        <f t="shared" si="16"/>
        <v>462.8401985900677</v>
      </c>
      <c r="DS50" s="60">
        <f t="shared" si="17"/>
        <v>715.90143645426315</v>
      </c>
      <c r="DT50" s="60">
        <f ca="1">AVERAGE(OFFSET($DS$3,0,0,'Données projet'!$E$14+1,1))-AVERAGE(OFFSET($H$3,0,0,'Données projet'!$E$14+1,1))</f>
        <v>661.93515988633499</v>
      </c>
      <c r="DU50" s="60">
        <f t="shared" si="44"/>
        <v>341.9250949809848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7.0512820512820555</v>
      </c>
      <c r="EJ50" s="13">
        <f>IF('Données projet'!$A$192&gt;35,EJ49+EI50-ER49,IF(A50&lt;'Données projet'!$A$192,$EG$205^A50,IF(A50='Données projet'!$A$192,'Données projet'!$B$192,EJ49+EI50-ER49)))</f>
        <v>240.38461538461547</v>
      </c>
      <c r="EK50" s="18">
        <f>EJ50*VLOOKUP('Données projet'!$B$15,Paramètres!$A$1:$I$89,3,0)*VLOOKUP('Données projet'!$B$15,Paramètres!$A$1:$I$89,5,0)</f>
        <v>161.25000000000006</v>
      </c>
      <c r="EL50" s="14">
        <f t="shared" si="45"/>
        <v>41.124328571986439</v>
      </c>
      <c r="EM50" s="22">
        <f t="shared" si="19"/>
        <v>352.46862226287652</v>
      </c>
      <c r="EN50" s="60">
        <f t="shared" si="20"/>
        <v>605.52986012707197</v>
      </c>
      <c r="EO50" s="60">
        <f ca="1">AVERAGE(OFFSET($EN$3,0,0,'Données projet'!$E$15+1,1))-AVERAGE(OFFSET($H$3,0,0,'Données projet'!$E$15+1,1))</f>
        <v>396.0878652679051</v>
      </c>
      <c r="EP50" s="60">
        <f t="shared" si="46"/>
        <v>327.26339199235406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8.5399999999999974</v>
      </c>
      <c r="FE50" s="13">
        <f>IF('Données projet'!$A$218&gt;35,FE49+FD50-FM49,IF(A50&lt;'Données projet'!$A$218,$FB$205^A50,IF(A50='Données projet'!$A$218,'Données projet'!$B$218,FE49+FD50-FM49)))</f>
        <v>259.27999999999986</v>
      </c>
      <c r="FF50" s="18">
        <f>FE50*VLOOKUP('Données projet'!$B$16,Paramètres!$A$1:$I$89,3,0)*VLOOKUP('Données projet'!$B$16,Paramètres!$A$1:$I$89,5,0)</f>
        <v>190.10409599999988</v>
      </c>
      <c r="FG50" s="14">
        <f t="shared" si="47"/>
        <v>47.562966265165443</v>
      </c>
      <c r="FH50" s="22">
        <f t="shared" si="22"/>
        <v>413.9368001118296</v>
      </c>
      <c r="FI50" s="60">
        <f t="shared" si="23"/>
        <v>666.99803797602499</v>
      </c>
      <c r="FJ50" s="60">
        <f ca="1">AVERAGE(OFFSET($FI$3,0,0,'Données projet'!$E$16+1,1))-AVERAGE(OFFSET($H$3,0,0,'Données projet'!$E$16+1,1))</f>
        <v>368.35775920359396</v>
      </c>
      <c r="FK50" s="60">
        <f t="shared" si="48"/>
        <v>395.5218438652638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13.6</v>
      </c>
      <c r="FZ50" s="13">
        <f>IF('Données projet'!$A$244&gt;35,FZ49+FY50-GH49,IF(A50&lt;'Données projet'!$A$244,$FW$205^A50,IF(A50='Données projet'!$A$244,'Données projet'!$B$244,FZ49+FY50-GH49)))</f>
        <v>233.20000000000013</v>
      </c>
      <c r="GA50" s="18">
        <f>FZ50*VLOOKUP('Données projet'!$B$17,Paramètres!$A$1:$I$89,3,0)*VLOOKUP('Données projet'!$B$17,Paramètres!$A$1:$I$89,5,0)</f>
        <v>200.08560000000011</v>
      </c>
      <c r="GB50" s="14">
        <f t="shared" si="49"/>
        <v>49.762979545996977</v>
      </c>
      <c r="GC50" s="22">
        <f t="shared" si="25"/>
        <v>435.15294270927825</v>
      </c>
      <c r="GD50" s="60">
        <f t="shared" si="26"/>
        <v>688.21418057347364</v>
      </c>
      <c r="GE50" s="60">
        <f ca="1">AVERAGE(OFFSET($GD$3,0,0,'Données projet'!$E$17+1,1))-AVERAGE(OFFSET($H$3,0,0,'Données projet'!$E$17+1,1))</f>
        <v>701.44583662096022</v>
      </c>
      <c r="GF50" s="60">
        <f t="shared" si="50"/>
        <v>331.25104323342907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7.6</v>
      </c>
      <c r="GU50" s="13">
        <f>IF('Données projet'!$A$270&gt;35,GU49+GT50-HC49,IF(A50&lt;'Données projet'!$A$270,$GR$205^A50,IF(A50='Données projet'!$A$270,'Données projet'!$B$270,GU49+GT50-HC49)))</f>
        <v>205.2</v>
      </c>
      <c r="GV50" s="18">
        <f>GU50*VLOOKUP('Données projet'!$B$18,Paramètres!$A$1:$I$89,3,0)*VLOOKUP('Données projet'!$B$18,Paramètres!$A$1:$I$89,5,0)</f>
        <v>166.45823999999999</v>
      </c>
      <c r="GW50" s="14">
        <f t="shared" si="51"/>
        <v>42.295817799452642</v>
      </c>
      <c r="GX50" s="22">
        <f t="shared" si="28"/>
        <v>363.5799840007133</v>
      </c>
      <c r="GY50" s="60">
        <f t="shared" si="29"/>
        <v>616.64122186490863</v>
      </c>
      <c r="GZ50" s="60">
        <f ca="1">AVERAGE(OFFSET($GY$3,0,0,'Données projet'!$E$18+1,1))-AVERAGE(OFFSET($H$3,0,0,'Données projet'!$E$18+1,1))</f>
        <v>272.69564942740931</v>
      </c>
      <c r="HA50" s="60">
        <f t="shared" si="52"/>
        <v>316.57989180609252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25">
      <c r="A51" s="11">
        <f t="shared" si="31"/>
        <v>48</v>
      </c>
      <c r="B51" s="75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8">
        <f t="shared" si="1"/>
        <v>183.33333333333334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projet'!$B$9,Paramètres!$A$1:$I$89,3,0)*VLOOKUP('Données projet'!$B$9,Paramètres!$A$1:$I$89,5,0)</f>
        <v>189.10320000000004</v>
      </c>
      <c r="P51" s="14">
        <f t="shared" si="33"/>
        <v>47.341628542787163</v>
      </c>
      <c r="Q51" s="22">
        <f t="shared" si="53"/>
        <v>411.8080763786877</v>
      </c>
      <c r="R51" s="60">
        <f t="shared" si="0"/>
        <v>665.5679450643554</v>
      </c>
      <c r="S51" s="60">
        <f ca="1">AVERAGE(OFFSET($R$3,0,0,'Données projet'!$E$9+1,1))-AVERAGE(OFFSET($H$3,0,0,'Données projet'!$E$9+1,1))</f>
        <v>570.08763950759544</v>
      </c>
      <c r="T51" s="60">
        <f t="shared" si="34"/>
        <v>297.32483725004136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8.5399999999999974</v>
      </c>
      <c r="AI51" s="14">
        <f>IF('Données projet'!$A$62&gt;35,AI50+AH51-AQ50,IF(A51&lt;'Données projet'!$A$62,$AF$205^A51,IF(A51='Données projet'!$A$62,'Données projet'!$B$62,AI50+AH51-AQ50)))</f>
        <v>267.81999999999988</v>
      </c>
      <c r="AJ51" s="14">
        <f>AI51*VLOOKUP('Données projet'!$B$10,Paramètres!$A$1:$I$89,3,0)*VLOOKUP('Données projet'!$B$10,Paramètres!$A$1:$I$89,5,0)</f>
        <v>213.07759199999992</v>
      </c>
      <c r="AK51" s="14">
        <f t="shared" si="35"/>
        <v>52.607546461832449</v>
      </c>
      <c r="AL51" s="22">
        <f t="shared" si="4"/>
        <v>462.73494948769138</v>
      </c>
      <c r="AM51" s="60">
        <f t="shared" si="5"/>
        <v>716.49481817335914</v>
      </c>
      <c r="AN51" s="60">
        <f ca="1">AVERAGE(OFFSET($AM$3,0,0,'Données projet'!$E$10+1,1))-AVERAGE(OFFSET($H$3,0,0,'Données projet'!$E$10+1,1))</f>
        <v>394.49874384716014</v>
      </c>
      <c r="AO51" s="60">
        <f t="shared" si="36"/>
        <v>423.72519584013378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6.0256410256410273</v>
      </c>
      <c r="BD51" s="13">
        <f>IF('Données projet'!$A$88&gt;35,BD50+BC51-BL50,IF(A51&lt;'Données projet'!$A$88,$BA$205^A51,IF(A51='Données projet'!$A$88,'Données projet'!$B$88,BD50+BC51-BL50)))</f>
        <v>175.12820512820505</v>
      </c>
      <c r="BE51" s="14">
        <f>BD51*VLOOKUP('Données projet'!$B$11,Paramètres!$A$1:$I$89,3,0)*VLOOKUP('Données projet'!$B$11,Paramètres!$A$1:$I$89,5,0)</f>
        <v>166.65199999999993</v>
      </c>
      <c r="BF51" s="14">
        <f t="shared" si="37"/>
        <v>42.339317127801309</v>
      </c>
      <c r="BG51" s="22">
        <f t="shared" si="7"/>
        <v>363.99321066425381</v>
      </c>
      <c r="BH51" s="60">
        <f t="shared" si="8"/>
        <v>617.75307934992156</v>
      </c>
      <c r="BI51" s="60">
        <f ca="1">AVERAGE(OFFSET($BH$3,0,0,'Données projet'!$E$11+1,1))-AVERAGE(OFFSET($H$3,0,0,'Données projet'!$E$11+1,1))</f>
        <v>441.15969139782891</v>
      </c>
      <c r="BJ51" s="60">
        <f t="shared" si="38"/>
        <v>315.06466790224783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10.375</v>
      </c>
      <c r="BY51" s="13">
        <f>IF('Données projet'!$A$114&gt;35,BY50+BX51-CG50,IF(A51&lt;'Données projet'!$A$114,$BV$205^A51,IF(A51='Données projet'!$A$114,'Données projet'!$B$114,BY50+BX51-CG50)))</f>
        <v>228.49999999999994</v>
      </c>
      <c r="BZ51" s="14">
        <f>BY51*VLOOKUP('Données projet'!$B$12,Paramètres!$A$1:$I$89,3,0)*VLOOKUP('Données projet'!$B$12,Paramètres!$A$1:$I$89,5,0)</f>
        <v>178.22999999999996</v>
      </c>
      <c r="CA51" s="14">
        <f t="shared" si="39"/>
        <v>44.928167580487852</v>
      </c>
      <c r="CB51" s="22">
        <f t="shared" si="10"/>
        <v>388.66714186934956</v>
      </c>
      <c r="CC51" s="60">
        <f t="shared" si="11"/>
        <v>642.4270105550172</v>
      </c>
      <c r="CD51" s="60">
        <f ca="1">AVERAGE(OFFSET($CC$3,0,0,'Données projet'!$E$12+1,1))-AVERAGE(OFFSET($H$3,0,0,'Données projet'!$E$12+1,1))</f>
        <v>312.59632808777332</v>
      </c>
      <c r="CE51" s="60">
        <f t="shared" si="40"/>
        <v>302.59481222418219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</v>
      </c>
      <c r="CT51" s="13">
        <f>IF('Données projet'!$A$140&gt;35,CT50+CS51-DB50,IF(A51&lt;'Données projet'!$A$140,$CQ$205^A51,IF(A51='Données projet'!$A$140,'Données projet'!$B$140,CT50+CS51-DB50)))</f>
        <v>209.00000000000006</v>
      </c>
      <c r="CU51" s="18">
        <f>CT51*VLOOKUP('Données projet'!$B$13,Paramètres!$A$1:$I$89,3,0)*VLOOKUP('Données projet'!$B$13,Paramètres!$A$1:$I$89,5,0)</f>
        <v>202.14480000000006</v>
      </c>
      <c r="CV51" s="14">
        <f t="shared" si="41"/>
        <v>50.215236821738628</v>
      </c>
      <c r="CW51" s="22">
        <f t="shared" si="13"/>
        <v>439.52706413119489</v>
      </c>
      <c r="CX51" s="60">
        <f t="shared" si="14"/>
        <v>693.28693281686265</v>
      </c>
      <c r="CY51" s="60">
        <f ca="1">AVERAGE(OFFSET($CX$3,0,0,'Données projet'!$E$13+1,1))-AVERAGE(OFFSET($H$3,0,0,'Données projet'!$E$13+1,1))</f>
        <v>603.52431522262032</v>
      </c>
      <c r="CZ51" s="60">
        <f t="shared" si="42"/>
        <v>313.56299786481338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11</v>
      </c>
      <c r="DO51" s="13">
        <f>IF('Données projet'!$A$166&gt;35,DO50+DN51-DW50,IF(A51&lt;'Données projet'!$A$166,$DL$205^A51,IF(A51='Données projet'!$A$166,'Données projet'!$B$166,DO50+DN51-DW50)))</f>
        <v>209.00000000000006</v>
      </c>
      <c r="DP51" s="18">
        <f>DO51*VLOOKUP('Données projet'!$B$14,Paramètres!$A$1:$I$89,3,0)*VLOOKUP('Données projet'!$B$14,Paramètres!$A$1:$I$89,5,0)</f>
        <v>224.96760000000006</v>
      </c>
      <c r="DQ51" s="14">
        <f t="shared" si="43"/>
        <v>55.193161946335238</v>
      </c>
      <c r="DR51" s="22">
        <f t="shared" si="16"/>
        <v>487.94666038986725</v>
      </c>
      <c r="DS51" s="60">
        <f t="shared" si="17"/>
        <v>741.70652907553495</v>
      </c>
      <c r="DT51" s="60">
        <f ca="1">AVERAGE(OFFSET($DS$3,0,0,'Données projet'!$E$14+1,1))-AVERAGE(OFFSET($H$3,0,0,'Données projet'!$E$14+1,1))</f>
        <v>661.93515988633499</v>
      </c>
      <c r="DU51" s="60">
        <f t="shared" si="44"/>
        <v>341.9250949809848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7.0512820512820555</v>
      </c>
      <c r="EJ51" s="13">
        <f>IF('Données projet'!$A$192&gt;35,EJ50+EI51-ER50,IF(A51&lt;'Données projet'!$A$192,$EG$205^A51,IF(A51='Données projet'!$A$192,'Données projet'!$B$192,EJ50+EI51-ER50)))</f>
        <v>247.43589743589752</v>
      </c>
      <c r="EK51" s="18">
        <f>EJ51*VLOOKUP('Données projet'!$B$15,Paramètres!$A$1:$I$89,3,0)*VLOOKUP('Données projet'!$B$15,Paramètres!$A$1:$I$89,5,0)</f>
        <v>165.98000000000005</v>
      </c>
      <c r="EL51" s="14">
        <f t="shared" si="45"/>
        <v>42.188427161252903</v>
      </c>
      <c r="EM51" s="22">
        <f t="shared" si="19"/>
        <v>362.56001063918217</v>
      </c>
      <c r="EN51" s="60">
        <f t="shared" si="20"/>
        <v>616.31987932484981</v>
      </c>
      <c r="EO51" s="60">
        <f ca="1">AVERAGE(OFFSET($EN$3,0,0,'Données projet'!$E$15+1,1))-AVERAGE(OFFSET($H$3,0,0,'Données projet'!$E$15+1,1))</f>
        <v>396.0878652679051</v>
      </c>
      <c r="EP51" s="60">
        <f t="shared" si="46"/>
        <v>327.26339199235406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8.5399999999999974</v>
      </c>
      <c r="FE51" s="13">
        <f>IF('Données projet'!$A$218&gt;35,FE50+FD51-FM50,IF(A51&lt;'Données projet'!$A$218,$FB$205^A51,IF(A51='Données projet'!$A$218,'Données projet'!$B$218,FE50+FD51-FM50)))</f>
        <v>267.81999999999988</v>
      </c>
      <c r="FF51" s="18">
        <f>FE51*VLOOKUP('Données projet'!$B$16,Paramètres!$A$1:$I$89,3,0)*VLOOKUP('Données projet'!$B$16,Paramètres!$A$1:$I$89,5,0)</f>
        <v>196.36562399999991</v>
      </c>
      <c r="FG51" s="14">
        <f t="shared" si="47"/>
        <v>48.944591379063773</v>
      </c>
      <c r="FH51" s="22">
        <f t="shared" si="22"/>
        <v>427.24862511853593</v>
      </c>
      <c r="FI51" s="60">
        <f t="shared" si="23"/>
        <v>681.00849380420368</v>
      </c>
      <c r="FJ51" s="60">
        <f ca="1">AVERAGE(OFFSET($FI$3,0,0,'Données projet'!$E$16+1,1))-AVERAGE(OFFSET($H$3,0,0,'Données projet'!$E$16+1,1))</f>
        <v>368.35775920359396</v>
      </c>
      <c r="FK51" s="60">
        <f t="shared" si="48"/>
        <v>395.5218438652638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13.6</v>
      </c>
      <c r="FZ51" s="13">
        <f>IF('Données projet'!$A$244&gt;35,FZ50+FY51-GH50,IF(A51&lt;'Données projet'!$A$244,$FW$205^A51,IF(A51='Données projet'!$A$244,'Données projet'!$B$244,FZ50+FY51-GH50)))</f>
        <v>246.80000000000013</v>
      </c>
      <c r="GA51" s="18">
        <f>FZ51*VLOOKUP('Données projet'!$B$17,Paramètres!$A$1:$I$89,3,0)*VLOOKUP('Données projet'!$B$17,Paramètres!$A$1:$I$89,5,0)</f>
        <v>211.75440000000012</v>
      </c>
      <c r="GB51" s="14">
        <f t="shared" si="49"/>
        <v>52.318780408268793</v>
      </c>
      <c r="GC51" s="22">
        <f t="shared" si="25"/>
        <v>459.92745587773499</v>
      </c>
      <c r="GD51" s="60">
        <f t="shared" si="26"/>
        <v>713.68732456340263</v>
      </c>
      <c r="GE51" s="60">
        <f ca="1">AVERAGE(OFFSET($GD$3,0,0,'Données projet'!$E$17+1,1))-AVERAGE(OFFSET($H$3,0,0,'Données projet'!$E$17+1,1))</f>
        <v>701.44583662096022</v>
      </c>
      <c r="GF51" s="60">
        <f t="shared" si="50"/>
        <v>331.25104323342907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7.6</v>
      </c>
      <c r="GU51" s="13">
        <f>IF('Données projet'!$A$270&gt;35,GU50+GT51-HC50,IF(A51&lt;'Données projet'!$A$270,$GR$205^A51,IF(A51='Données projet'!$A$270,'Données projet'!$B$270,GU50+GT51-HC50)))</f>
        <v>212.79999999999998</v>
      </c>
      <c r="GV51" s="18">
        <f>GU51*VLOOKUP('Données projet'!$B$18,Paramètres!$A$1:$I$89,3,0)*VLOOKUP('Données projet'!$B$18,Paramètres!$A$1:$I$89,5,0)</f>
        <v>172.62335999999999</v>
      </c>
      <c r="GW51" s="14">
        <f t="shared" si="51"/>
        <v>43.67704427998607</v>
      </c>
      <c r="GX51" s="22">
        <f t="shared" si="28"/>
        <v>376.72320412097571</v>
      </c>
      <c r="GY51" s="60">
        <f t="shared" si="29"/>
        <v>630.48307280664335</v>
      </c>
      <c r="GZ51" s="60">
        <f ca="1">AVERAGE(OFFSET($GY$3,0,0,'Données projet'!$E$18+1,1))-AVERAGE(OFFSET($H$3,0,0,'Données projet'!$E$18+1,1))</f>
        <v>272.69564942740931</v>
      </c>
      <c r="HA51" s="60">
        <f t="shared" si="52"/>
        <v>316.57989180609252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25">
      <c r="A52" s="11">
        <f t="shared" si="31"/>
        <v>49</v>
      </c>
      <c r="B52" s="75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8">
        <f t="shared" si="1"/>
        <v>183.33333333333334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projet'!$B$9,Paramètres!$A$1:$I$89,3,0)*VLOOKUP('Données projet'!$B$9,Paramètres!$A$1:$I$89,5,0)</f>
        <v>199.05600000000004</v>
      </c>
      <c r="P52" s="14">
        <f t="shared" si="33"/>
        <v>49.536648006253934</v>
      </c>
      <c r="Q52" s="22">
        <f t="shared" si="53"/>
        <v>432.96552861089231</v>
      </c>
      <c r="R52" s="60">
        <f t="shared" si="0"/>
        <v>687.41190843518427</v>
      </c>
      <c r="S52" s="60">
        <f ca="1">AVERAGE(OFFSET($R$3,0,0,'Données projet'!$E$9+1,1))-AVERAGE(OFFSET($H$3,0,0,'Données projet'!$E$9+1,1))</f>
        <v>570.08763950759544</v>
      </c>
      <c r="T52" s="60">
        <f t="shared" si="34"/>
        <v>297.32483725004136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8.5399999999999974</v>
      </c>
      <c r="AI52" s="14">
        <f>IF('Données projet'!$A$62&gt;35,AI51+AH52-AQ51,IF(A52&lt;'Données projet'!$A$62,$AF$205^A52,IF(A52='Données projet'!$A$62,'Données projet'!$B$62,AI51+AH52-AQ51)))</f>
        <v>276.3599999999999</v>
      </c>
      <c r="AJ52" s="14">
        <f>AI52*VLOOKUP('Données projet'!$B$10,Paramètres!$A$1:$I$89,3,0)*VLOOKUP('Données projet'!$B$10,Paramètres!$A$1:$I$89,5,0)</f>
        <v>219.87201599999992</v>
      </c>
      <c r="AK52" s="14">
        <f t="shared" si="35"/>
        <v>54.087068088530145</v>
      </c>
      <c r="AL52" s="22">
        <f t="shared" si="4"/>
        <v>477.14540478752315</v>
      </c>
      <c r="AM52" s="60">
        <f t="shared" si="5"/>
        <v>731.59178461181511</v>
      </c>
      <c r="AN52" s="60">
        <f ca="1">AVERAGE(OFFSET($AM$3,0,0,'Données projet'!$E$10+1,1))-AVERAGE(OFFSET($H$3,0,0,'Données projet'!$E$10+1,1))</f>
        <v>394.49874384716014</v>
      </c>
      <c r="AO52" s="60">
        <f t="shared" si="36"/>
        <v>423.72519584013378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6.0256410256410273</v>
      </c>
      <c r="BD52" s="13">
        <f>IF('Données projet'!$A$88&gt;35,BD51+BC52-BL51,IF(A52&lt;'Données projet'!$A$88,$BA$205^A52,IF(A52='Données projet'!$A$88,'Données projet'!$B$88,BD51+BC52-BL51)))</f>
        <v>181.15384615384608</v>
      </c>
      <c r="BE52" s="14">
        <f>BD52*VLOOKUP('Données projet'!$B$11,Paramètres!$A$1:$I$89,3,0)*VLOOKUP('Données projet'!$B$11,Paramètres!$A$1:$I$89,5,0)</f>
        <v>172.38599999999991</v>
      </c>
      <c r="BF52" s="14">
        <f t="shared" si="37"/>
        <v>43.623973962324399</v>
      </c>
      <c r="BG52" s="22">
        <f t="shared" si="7"/>
        <v>376.21737131771482</v>
      </c>
      <c r="BH52" s="60">
        <f t="shared" si="8"/>
        <v>630.66375114200673</v>
      </c>
      <c r="BI52" s="60">
        <f ca="1">AVERAGE(OFFSET($BH$3,0,0,'Données projet'!$E$11+1,1))-AVERAGE(OFFSET($H$3,0,0,'Données projet'!$E$11+1,1))</f>
        <v>441.15969139782891</v>
      </c>
      <c r="BJ52" s="60">
        <f t="shared" si="38"/>
        <v>315.06466790224783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10.375</v>
      </c>
      <c r="BY52" s="13">
        <f>IF('Données projet'!$A$114&gt;35,BY51+BX52-CG51,IF(A52&lt;'Données projet'!$A$114,$BV$205^A52,IF(A52='Données projet'!$A$114,'Données projet'!$B$114,BY51+BX52-CG51)))</f>
        <v>238.87499999999994</v>
      </c>
      <c r="BZ52" s="14">
        <f>BY52*VLOOKUP('Données projet'!$B$12,Paramètres!$A$1:$I$89,3,0)*VLOOKUP('Données projet'!$B$12,Paramètres!$A$1:$I$89,5,0)</f>
        <v>186.32249999999996</v>
      </c>
      <c r="CA52" s="14">
        <f t="shared" si="39"/>
        <v>46.725987276254116</v>
      </c>
      <c r="CB52" s="22">
        <f t="shared" si="10"/>
        <v>405.89278200614257</v>
      </c>
      <c r="CC52" s="60">
        <f t="shared" si="11"/>
        <v>660.33916183043448</v>
      </c>
      <c r="CD52" s="60">
        <f ca="1">AVERAGE(OFFSET($CC$3,0,0,'Données projet'!$E$12+1,1))-AVERAGE(OFFSET($H$3,0,0,'Données projet'!$E$12+1,1))</f>
        <v>312.59632808777332</v>
      </c>
      <c r="CE52" s="60">
        <f t="shared" si="40"/>
        <v>302.59481222418219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</v>
      </c>
      <c r="CT52" s="13">
        <f>IF('Données projet'!$A$140&gt;35,CT51+CS52-DB51,IF(A52&lt;'Données projet'!$A$140,$CQ$205^A52,IF(A52='Données projet'!$A$140,'Données projet'!$B$140,CT51+CS52-DB51)))</f>
        <v>220.00000000000006</v>
      </c>
      <c r="CU52" s="18">
        <f>CT52*VLOOKUP('Données projet'!$B$13,Paramètres!$A$1:$I$89,3,0)*VLOOKUP('Données projet'!$B$13,Paramètres!$A$1:$I$89,5,0)</f>
        <v>212.78400000000005</v>
      </c>
      <c r="CV52" s="14">
        <f t="shared" si="41"/>
        <v>52.543492641808108</v>
      </c>
      <c r="CW52" s="22">
        <f t="shared" si="13"/>
        <v>462.11204968448243</v>
      </c>
      <c r="CX52" s="60">
        <f t="shared" si="14"/>
        <v>716.55842950877445</v>
      </c>
      <c r="CY52" s="60">
        <f ca="1">AVERAGE(OFFSET($CX$3,0,0,'Données projet'!$E$13+1,1))-AVERAGE(OFFSET($H$3,0,0,'Données projet'!$E$13+1,1))</f>
        <v>603.52431522262032</v>
      </c>
      <c r="CZ52" s="60">
        <f t="shared" si="42"/>
        <v>313.56299786481338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11</v>
      </c>
      <c r="DO52" s="13">
        <f>IF('Données projet'!$A$166&gt;35,DO51+DN52-DW51,IF(A52&lt;'Données projet'!$A$166,$DL$205^A52,IF(A52='Données projet'!$A$166,'Données projet'!$B$166,DO51+DN52-DW51)))</f>
        <v>220.00000000000006</v>
      </c>
      <c r="DP52" s="18">
        <f>DO52*VLOOKUP('Données projet'!$B$14,Paramètres!$A$1:$I$89,3,0)*VLOOKUP('Données projet'!$B$14,Paramètres!$A$1:$I$89,5,0)</f>
        <v>236.80800000000008</v>
      </c>
      <c r="DQ52" s="14">
        <f t="shared" si="43"/>
        <v>57.752221878398714</v>
      </c>
      <c r="DR52" s="22">
        <f t="shared" si="16"/>
        <v>513.02571977154446</v>
      </c>
      <c r="DS52" s="60">
        <f t="shared" si="17"/>
        <v>767.47209959583643</v>
      </c>
      <c r="DT52" s="60">
        <f ca="1">AVERAGE(OFFSET($DS$3,0,0,'Données projet'!$E$14+1,1))-AVERAGE(OFFSET($H$3,0,0,'Données projet'!$E$14+1,1))</f>
        <v>661.93515988633499</v>
      </c>
      <c r="DU52" s="60">
        <f t="shared" si="44"/>
        <v>341.9250949809848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7.0512820512820555</v>
      </c>
      <c r="EJ52" s="13">
        <f>IF('Données projet'!$A$192&gt;35,EJ51+EI52-ER51,IF(A52&lt;'Données projet'!$A$192,$EG$205^A52,IF(A52='Données projet'!$A$192,'Données projet'!$B$192,EJ51+EI52-ER51)))</f>
        <v>254.48717948717956</v>
      </c>
      <c r="EK52" s="18">
        <f>EJ52*VLOOKUP('Données projet'!$B$15,Paramètres!$A$1:$I$89,3,0)*VLOOKUP('Données projet'!$B$15,Paramètres!$A$1:$I$89,5,0)</f>
        <v>170.71000000000006</v>
      </c>
      <c r="EL52" s="14">
        <f t="shared" si="45"/>
        <v>43.249001374438308</v>
      </c>
      <c r="EM52" s="22">
        <f t="shared" si="19"/>
        <v>372.64526072714688</v>
      </c>
      <c r="EN52" s="60">
        <f t="shared" si="20"/>
        <v>627.09164055143879</v>
      </c>
      <c r="EO52" s="60">
        <f ca="1">AVERAGE(OFFSET($EN$3,0,0,'Données projet'!$E$15+1,1))-AVERAGE(OFFSET($H$3,0,0,'Données projet'!$E$15+1,1))</f>
        <v>396.0878652679051</v>
      </c>
      <c r="EP52" s="60">
        <f t="shared" si="46"/>
        <v>327.26339199235406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8.5399999999999974</v>
      </c>
      <c r="FE52" s="13">
        <f>IF('Données projet'!$A$218&gt;35,FE51+FD52-FM51,IF(A52&lt;'Données projet'!$A$218,$FB$205^A52,IF(A52='Données projet'!$A$218,'Données projet'!$B$218,FE51+FD52-FM51)))</f>
        <v>276.3599999999999</v>
      </c>
      <c r="FF52" s="18">
        <f>FE52*VLOOKUP('Données projet'!$B$16,Paramètres!$A$1:$I$89,3,0)*VLOOKUP('Données projet'!$B$16,Paramètres!$A$1:$I$89,5,0)</f>
        <v>202.62715199999994</v>
      </c>
      <c r="FG52" s="14">
        <f t="shared" si="47"/>
        <v>50.321096962872829</v>
      </c>
      <c r="FH52" s="22">
        <f t="shared" si="22"/>
        <v>440.55153361033672</v>
      </c>
      <c r="FI52" s="60">
        <f t="shared" si="23"/>
        <v>694.99791343462869</v>
      </c>
      <c r="FJ52" s="60">
        <f ca="1">AVERAGE(OFFSET($FI$3,0,0,'Données projet'!$E$16+1,1))-AVERAGE(OFFSET($H$3,0,0,'Données projet'!$E$16+1,1))</f>
        <v>368.35775920359396</v>
      </c>
      <c r="FK52" s="60">
        <f t="shared" si="48"/>
        <v>395.5218438652638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13.6</v>
      </c>
      <c r="FZ52" s="13">
        <f>IF('Données projet'!$A$244&gt;35,FZ51+FY52-GH51,IF(A52&lt;'Données projet'!$A$244,$FW$205^A52,IF(A52='Données projet'!$A$244,'Données projet'!$B$244,FZ51+FY52-GH51)))</f>
        <v>260.40000000000015</v>
      </c>
      <c r="GA52" s="18">
        <f>FZ52*VLOOKUP('Données projet'!$B$17,Paramètres!$A$1:$I$89,3,0)*VLOOKUP('Données projet'!$B$17,Paramètres!$A$1:$I$89,5,0)</f>
        <v>223.42320000000015</v>
      </c>
      <c r="GB52" s="14">
        <f t="shared" si="49"/>
        <v>54.858231422257631</v>
      </c>
      <c r="GC52" s="22">
        <f t="shared" si="25"/>
        <v>484.67349306043229</v>
      </c>
      <c r="GD52" s="60">
        <f t="shared" si="26"/>
        <v>739.11987288472426</v>
      </c>
      <c r="GE52" s="60">
        <f ca="1">AVERAGE(OFFSET($GD$3,0,0,'Données projet'!$E$17+1,1))-AVERAGE(OFFSET($H$3,0,0,'Données projet'!$E$17+1,1))</f>
        <v>701.44583662096022</v>
      </c>
      <c r="GF52" s="60">
        <f t="shared" si="50"/>
        <v>331.25104323342907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7.6</v>
      </c>
      <c r="GU52" s="13">
        <f>IF('Données projet'!$A$270&gt;35,GU51+GT52-HC51,IF(A52&lt;'Données projet'!$A$270,$GR$205^A52,IF(A52='Données projet'!$A$270,'Données projet'!$B$270,GU51+GT52-HC51)))</f>
        <v>220.39999999999998</v>
      </c>
      <c r="GV52" s="18">
        <f>GU52*VLOOKUP('Données projet'!$B$18,Paramètres!$A$1:$I$89,3,0)*VLOOKUP('Données projet'!$B$18,Paramètres!$A$1:$I$89,5,0)</f>
        <v>178.78847999999999</v>
      </c>
      <c r="GW52" s="14">
        <f t="shared" si="51"/>
        <v>45.052539436241446</v>
      </c>
      <c r="GX52" s="22">
        <f t="shared" si="28"/>
        <v>389.85644218478711</v>
      </c>
      <c r="GY52" s="60">
        <f t="shared" si="29"/>
        <v>644.30282200907914</v>
      </c>
      <c r="GZ52" s="60">
        <f ca="1">AVERAGE(OFFSET($GY$3,0,0,'Données projet'!$E$18+1,1))-AVERAGE(OFFSET($H$3,0,0,'Données projet'!$E$18+1,1))</f>
        <v>272.69564942740931</v>
      </c>
      <c r="HA52" s="60">
        <f t="shared" si="52"/>
        <v>316.57989180609252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25">
      <c r="A53" s="11">
        <f t="shared" si="31"/>
        <v>50</v>
      </c>
      <c r="B53" s="75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8">
        <f t="shared" si="1"/>
        <v>183.33333333333334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0">
        <f t="shared" si="0"/>
        <v>709.22176741571411</v>
      </c>
      <c r="S53" s="60">
        <f ca="1">AVERAGE(OFFSET($R$3,0,0,'Données projet'!$E$9+1,1))-AVERAGE(OFFSET($H$3,0,0,'Données projet'!$E$9+1,1))</f>
        <v>570.08763950759544</v>
      </c>
      <c r="T53" s="60">
        <f t="shared" si="34"/>
        <v>297.32483725004136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284.89999999999998</v>
      </c>
      <c r="AG53" s="13">
        <f>VLOOKUP(A53,'Données projet'!$A$61:$I$81,9,0)</f>
        <v>8.5399999999999974</v>
      </c>
      <c r="AH53" s="13">
        <f t="array" ref="AH53">INDEX(AG:AG,MIN(IF(ISNUMBER(AG53:AG249),ROW(AG53:AG249),"")))</f>
        <v>8.5399999999999974</v>
      </c>
      <c r="AI53" s="14">
        <f>IF('Données projet'!$A$62&gt;35,AI52+AH53-AQ52,IF(A53&lt;'Données projet'!$A$62,$AF$205^A53,IF(A53='Données projet'!$A$62,'Données projet'!$B$62,AI52+AH53-AQ52)))</f>
        <v>284.89999999999992</v>
      </c>
      <c r="AJ53" s="14">
        <f>AI53*VLOOKUP('Données projet'!$B$10,Paramètres!$A$1:$I$89,3,0)*VLOOKUP('Données projet'!$B$10,Paramètres!$A$1:$I$89,5,0)</f>
        <v>226.66643999999994</v>
      </c>
      <c r="AK53" s="14">
        <f t="shared" si="35"/>
        <v>55.561276600641385</v>
      </c>
      <c r="AL53" s="22">
        <f t="shared" si="4"/>
        <v>491.5466064127836</v>
      </c>
      <c r="AM53" s="60">
        <f t="shared" si="5"/>
        <v>746.6675879422537</v>
      </c>
      <c r="AN53" s="60">
        <f ca="1">AVERAGE(OFFSET($AM$3,0,0,'Données projet'!$E$10+1,1))-AVERAGE(OFFSET($H$3,0,0,'Données projet'!$E$10+1,1))</f>
        <v>394.49874384716014</v>
      </c>
      <c r="AO53" s="60">
        <f t="shared" si="36"/>
        <v>423.72519584013378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43.099999999999994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187.17948717948718</v>
      </c>
      <c r="BB53" s="13">
        <f>VLOOKUP(A53,'Données projet'!$A$87:$I$107,9,0)</f>
        <v>6.0256410256410273</v>
      </c>
      <c r="BC53" s="13">
        <f t="array" ref="BC53">INDEX(BB:BB,MIN(IF(ISNUMBER(BB53:BB249),ROW(BB53:BB249),"")))</f>
        <v>6.0256410256410273</v>
      </c>
      <c r="BD53" s="13">
        <f>IF('Données projet'!$A$88&gt;35,BD52+BC53-BL52,IF(A53&lt;'Données projet'!$A$88,$BA$205^A53,IF(A53='Données projet'!$A$88,'Données projet'!$B$88,BD52+BC53-BL52)))</f>
        <v>187.1794871794871</v>
      </c>
      <c r="BE53" s="14">
        <f>BD53*VLOOKUP('Données projet'!$B$11,Paramètres!$A$1:$I$89,3,0)*VLOOKUP('Données projet'!$B$11,Paramètres!$A$1:$I$89,5,0)</f>
        <v>178.11999999999992</v>
      </c>
      <c r="BF53" s="14">
        <f t="shared" si="37"/>
        <v>44.90366556024162</v>
      </c>
      <c r="BG53" s="22">
        <f t="shared" si="7"/>
        <v>388.4328841840873</v>
      </c>
      <c r="BH53" s="60">
        <f t="shared" si="8"/>
        <v>643.55386571355734</v>
      </c>
      <c r="BI53" s="60">
        <f ca="1">AVERAGE(OFFSET($BH$3,0,0,'Données projet'!$E$11+1,1))-AVERAGE(OFFSET($H$3,0,0,'Données projet'!$E$11+1,1))</f>
        <v>441.15969139782891</v>
      </c>
      <c r="BJ53" s="60">
        <f t="shared" si="38"/>
        <v>315.06466790224783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10.375</v>
      </c>
      <c r="BY53" s="13">
        <f>IF('Données projet'!$A$114&gt;35,BY52+BX53-CG52,IF(A53&lt;'Données projet'!$A$114,$BV$205^A53,IF(A53='Données projet'!$A$114,'Données projet'!$B$114,BY52+BX53-CG52)))</f>
        <v>249.24999999999994</v>
      </c>
      <c r="BZ53" s="14">
        <f>BY53*VLOOKUP('Données projet'!$B$12,Paramètres!$A$1:$I$89,3,0)*VLOOKUP('Données projet'!$B$12,Paramètres!$A$1:$I$89,5,0)</f>
        <v>194.41499999999996</v>
      </c>
      <c r="CA53" s="14">
        <f t="shared" si="39"/>
        <v>48.514737888684969</v>
      </c>
      <c r="CB53" s="22">
        <f t="shared" si="10"/>
        <v>423.1026268227929</v>
      </c>
      <c r="CC53" s="60">
        <f t="shared" si="11"/>
        <v>678.223608352263</v>
      </c>
      <c r="CD53" s="60">
        <f ca="1">AVERAGE(OFFSET($CC$3,0,0,'Données projet'!$E$12+1,1))-AVERAGE(OFFSET($H$3,0,0,'Données projet'!$E$12+1,1))</f>
        <v>312.59632808777332</v>
      </c>
      <c r="CE53" s="60">
        <f t="shared" si="40"/>
        <v>302.59481222418219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231</v>
      </c>
      <c r="CR53" s="13">
        <f>VLOOKUP(A53,'Données projet'!$A$139:$I$159,9,0)</f>
        <v>11</v>
      </c>
      <c r="CS53" s="13">
        <f t="array" ref="CS53">INDEX(CR:CR,MIN(IF(ISNUMBER(CR53:CR249),ROW(CR53:CR249),"")))</f>
        <v>11</v>
      </c>
      <c r="CT53" s="13">
        <f>IF('Données projet'!$A$140&gt;35,CT52+CS53-DB52,IF(A53&lt;'Données projet'!$A$140,$CQ$205^A53,IF(A53='Données projet'!$A$140,'Données projet'!$B$140,CT52+CS53-DB52)))</f>
        <v>231.00000000000006</v>
      </c>
      <c r="CU53" s="18">
        <f>CT53*VLOOKUP('Données projet'!$B$13,Paramètres!$A$1:$I$89,3,0)*VLOOKUP('Données projet'!$B$13,Paramètres!$A$1:$I$89,5,0)</f>
        <v>223.42320000000004</v>
      </c>
      <c r="CV53" s="14">
        <f t="shared" si="41"/>
        <v>54.858231422257631</v>
      </c>
      <c r="CW53" s="22">
        <f t="shared" si="13"/>
        <v>484.67349306043207</v>
      </c>
      <c r="CX53" s="60">
        <f t="shared" si="14"/>
        <v>739.79447458990217</v>
      </c>
      <c r="CY53" s="60">
        <f ca="1">AVERAGE(OFFSET($CX$3,0,0,'Données projet'!$E$13+1,1))-AVERAGE(OFFSET($H$3,0,0,'Données projet'!$E$13+1,1))</f>
        <v>603.52431522262032</v>
      </c>
      <c r="CZ53" s="60">
        <f t="shared" si="42"/>
        <v>313.56299786481338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231</v>
      </c>
      <c r="DM53" s="13">
        <f>VLOOKUP(A53,'Données projet'!$A$165:$I$185,9,0)</f>
        <v>11</v>
      </c>
      <c r="DN53" s="13">
        <f t="array" ref="DN53">INDEX(DM:DM,MIN(IF(ISNUMBER(DM53:DM249),ROW(DM53:DM249),"")))</f>
        <v>11</v>
      </c>
      <c r="DO53" s="13">
        <f>IF('Données projet'!$A$166&gt;35,DO52+DN53-DW52,IF(A53&lt;'Données projet'!$A$166,$DL$205^A53,IF(A53='Données projet'!$A$166,'Données projet'!$B$166,DO52+DN53-DW52)))</f>
        <v>231.00000000000006</v>
      </c>
      <c r="DP53" s="18">
        <f>DO53*VLOOKUP('Données projet'!$B$14,Paramètres!$A$1:$I$89,3,0)*VLOOKUP('Données projet'!$B$14,Paramètres!$A$1:$I$89,5,0)</f>
        <v>248.64840000000004</v>
      </c>
      <c r="DQ53" s="14">
        <f t="shared" si="43"/>
        <v>60.296424802828774</v>
      </c>
      <c r="DR53" s="22">
        <f t="shared" si="16"/>
        <v>538.07890319826015</v>
      </c>
      <c r="DS53" s="60">
        <f t="shared" si="17"/>
        <v>793.19988472773025</v>
      </c>
      <c r="DT53" s="60">
        <f ca="1">AVERAGE(OFFSET($DS$3,0,0,'Données projet'!$E$14+1,1))-AVERAGE(OFFSET($H$3,0,0,'Données projet'!$E$14+1,1))</f>
        <v>661.93515988633499</v>
      </c>
      <c r="DU53" s="60">
        <f t="shared" si="44"/>
        <v>341.9250949809848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261.53846153846155</v>
      </c>
      <c r="EH53" s="13">
        <f>VLOOKUP(A53,'Données projet'!$A$191:$I$211,9,0)</f>
        <v>7.0512820512820555</v>
      </c>
      <c r="EI53" s="13">
        <f t="array" ref="EI53">INDEX(EH:EH,MIN(IF(ISNUMBER(EH53:EH249),ROW(EH53:EH249),"")))</f>
        <v>7.0512820512820555</v>
      </c>
      <c r="EJ53" s="13">
        <f>IF('Données projet'!$A$192&gt;35,EJ52+EI53-ER52,IF(A53&lt;'Données projet'!$A$192,$EG$205^A53,IF(A53='Données projet'!$A$192,'Données projet'!$B$192,EJ52+EI53-ER52)))</f>
        <v>261.5384615384616</v>
      </c>
      <c r="EK53" s="18">
        <f>EJ53*VLOOKUP('Données projet'!$B$15,Paramètres!$A$1:$I$89,3,0)*VLOOKUP('Données projet'!$B$15,Paramètres!$A$1:$I$89,5,0)</f>
        <v>175.44000000000003</v>
      </c>
      <c r="EL53" s="14">
        <f t="shared" si="45"/>
        <v>44.306160083661858</v>
      </c>
      <c r="EM53" s="22">
        <f t="shared" si="19"/>
        <v>382.72456214571116</v>
      </c>
      <c r="EN53" s="60">
        <f t="shared" si="20"/>
        <v>637.84554367518126</v>
      </c>
      <c r="EO53" s="60">
        <f ca="1">AVERAGE(OFFSET($EN$3,0,0,'Données projet'!$E$15+1,1))-AVERAGE(OFFSET($H$3,0,0,'Données projet'!$E$15+1,1))</f>
        <v>396.0878652679051</v>
      </c>
      <c r="EP53" s="60">
        <f t="shared" si="46"/>
        <v>327.26339199235406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36.53846153846154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284.89999999999998</v>
      </c>
      <c r="FC53" s="13">
        <f>VLOOKUP(A53,'Données projet'!$A$217:$I$237,9,0)</f>
        <v>8.5399999999999974</v>
      </c>
      <c r="FD53" s="13">
        <f t="array" ref="FD53">INDEX(FC:FC,MIN(IF(ISNUMBER(FC53:FC249),ROW(FC53:FC249),"")))</f>
        <v>8.5399999999999974</v>
      </c>
      <c r="FE53" s="13">
        <f>IF('Données projet'!$A$218&gt;35,FE52+FD53-FM52,IF(A53&lt;'Données projet'!$A$218,$FB$205^A53,IF(A53='Données projet'!$A$218,'Données projet'!$B$218,FE52+FD53-FM52)))</f>
        <v>284.89999999999992</v>
      </c>
      <c r="FF53" s="18">
        <f>FE53*VLOOKUP('Données projet'!$B$16,Paramètres!$A$1:$I$89,3,0)*VLOOKUP('Données projet'!$B$16,Paramètres!$A$1:$I$89,5,0)</f>
        <v>208.88867999999994</v>
      </c>
      <c r="FG53" s="14">
        <f t="shared" si="47"/>
        <v>51.692659373318428</v>
      </c>
      <c r="FH53" s="22">
        <f t="shared" si="22"/>
        <v>453.84583274186275</v>
      </c>
      <c r="FI53" s="60">
        <f t="shared" si="23"/>
        <v>708.96681427133285</v>
      </c>
      <c r="FJ53" s="60">
        <f ca="1">AVERAGE(OFFSET($FI$3,0,0,'Données projet'!$E$16+1,1))-AVERAGE(OFFSET($H$3,0,0,'Données projet'!$E$16+1,1))</f>
        <v>368.35775920359396</v>
      </c>
      <c r="FK53" s="60">
        <f t="shared" si="48"/>
        <v>395.5218438652638</v>
      </c>
      <c r="FL53" s="16">
        <f>IF(ISNA(VLOOKUP(A53,'Données projet'!$A$217:$I$237,3,0)),0,VLOOKUP(A53,'Données projet'!$A$217:$I$237,3,0))</f>
        <v>4</v>
      </c>
      <c r="FM53" s="16">
        <f>IF(ISNA(VLOOKUP(A53,'Données projet'!$A$217:$I$237,4,0)),0,VLOOKUP(A53,'Données projet'!$A$217:$I$237,4,0))</f>
        <v>43.099999999999994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274</v>
      </c>
      <c r="FX53" s="13">
        <f>VLOOKUP(A53,'Données projet'!$A$243:$I$263,9,0)</f>
        <v>13.6</v>
      </c>
      <c r="FY53" s="13">
        <f t="array" ref="FY53">INDEX(FX:FX,MIN(IF(ISNUMBER(FX53:FX249),ROW(FX53:FX249),"")))</f>
        <v>13.6</v>
      </c>
      <c r="FZ53" s="13">
        <f>IF('Données projet'!$A$244&gt;35,FZ52+FY53-GH52,IF(A53&lt;'Données projet'!$A$244,$FW$205^A53,IF(A53='Données projet'!$A$244,'Données projet'!$B$244,FZ52+FY53-GH52)))</f>
        <v>274.00000000000017</v>
      </c>
      <c r="GA53" s="18">
        <f>FZ53*VLOOKUP('Données projet'!$B$17,Paramètres!$A$1:$I$89,3,0)*VLOOKUP('Données projet'!$B$17,Paramètres!$A$1:$I$89,5,0)</f>
        <v>235.09200000000016</v>
      </c>
      <c r="GB53" s="14">
        <f t="shared" si="49"/>
        <v>57.38228388709345</v>
      </c>
      <c r="GC53" s="22">
        <f t="shared" si="25"/>
        <v>509.39271110335471</v>
      </c>
      <c r="GD53" s="60">
        <f t="shared" si="26"/>
        <v>764.51369263282481</v>
      </c>
      <c r="GE53" s="60">
        <f ca="1">AVERAGE(OFFSET($GD$3,0,0,'Données projet'!$E$17+1,1))-AVERAGE(OFFSET($H$3,0,0,'Données projet'!$E$17+1,1))</f>
        <v>701.44583662096022</v>
      </c>
      <c r="GF53" s="60">
        <f t="shared" si="50"/>
        <v>331.25104323342907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228</v>
      </c>
      <c r="GS53" s="13">
        <f>VLOOKUP(A53,'Données projet'!$A$269:$I$289,9,0)</f>
        <v>7.6</v>
      </c>
      <c r="GT53" s="13">
        <f t="array" ref="GT53">INDEX(GS:GS,MIN(IF(ISNUMBER(GS53:GS249),ROW(GS53:GS249),"")))</f>
        <v>7.6</v>
      </c>
      <c r="GU53" s="13">
        <f>IF('Données projet'!$A$270&gt;35,GU52+GT53-HC52,IF(A53&lt;'Données projet'!$A$270,$GR$205^A53,IF(A53='Données projet'!$A$270,'Données projet'!$B$270,GU52+GT53-HC52)))</f>
        <v>227.99999999999997</v>
      </c>
      <c r="GV53" s="18">
        <f>GU53*VLOOKUP('Données projet'!$B$18,Paramètres!$A$1:$I$89,3,0)*VLOOKUP('Données projet'!$B$18,Paramètres!$A$1:$I$89,5,0)</f>
        <v>184.95359999999999</v>
      </c>
      <c r="GW53" s="14">
        <f t="shared" si="51"/>
        <v>46.42252355095799</v>
      </c>
      <c r="GX53" s="22">
        <f t="shared" si="28"/>
        <v>402.98008185125178</v>
      </c>
      <c r="GY53" s="60">
        <f t="shared" si="29"/>
        <v>658.10106338072183</v>
      </c>
      <c r="GZ53" s="60">
        <f ca="1">AVERAGE(OFFSET($GY$3,0,0,'Données projet'!$E$18+1,1))-AVERAGE(OFFSET($H$3,0,0,'Données projet'!$E$18+1,1))</f>
        <v>272.69564942740931</v>
      </c>
      <c r="HA53" s="60">
        <f t="shared" si="52"/>
        <v>316.57989180609252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25">
      <c r="A54" s="11">
        <f t="shared" si="31"/>
        <v>51</v>
      </c>
      <c r="B54" s="75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8">
        <f t="shared" si="1"/>
        <v>183.33333333333334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projet'!$B$9,Paramètres!$A$1:$I$89,3,0)*VLOOKUP('Données projet'!$B$9,Paramètres!$A$1:$I$89,5,0)</f>
        <v>218.23776000000004</v>
      </c>
      <c r="P54" s="14">
        <f t="shared" si="33"/>
        <v>53.731692470599071</v>
      </c>
      <c r="Q54" s="22">
        <f t="shared" si="53"/>
        <v>473.68012971962668</v>
      </c>
      <c r="R54" s="60">
        <f t="shared" si="0"/>
        <v>729.46401012287356</v>
      </c>
      <c r="S54" s="60">
        <f ca="1">AVERAGE(OFFSET($R$3,0,0,'Données projet'!$E$9+1,1))-AVERAGE(OFFSET($H$3,0,0,'Données projet'!$E$9+1,1))</f>
        <v>570.08763950759544</v>
      </c>
      <c r="T54" s="60">
        <f t="shared" si="34"/>
        <v>297.32483725004136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7.3600000000000083</v>
      </c>
      <c r="AI54" s="14">
        <f>IF('Données projet'!$A$62&gt;35,AI53+AH54-AQ53,IF(A54&lt;'Données projet'!$A$62,$AF$205^A54,IF(A54='Données projet'!$A$62,'Données projet'!$B$62,AI53+AH54-AQ53)))</f>
        <v>249.15999999999994</v>
      </c>
      <c r="AJ54" s="14">
        <f>AI54*VLOOKUP('Données projet'!$B$10,Paramètres!$A$1:$I$89,3,0)*VLOOKUP('Données projet'!$B$10,Paramètres!$A$1:$I$89,5,0)</f>
        <v>198.23169599999997</v>
      </c>
      <c r="AK54" s="14">
        <f t="shared" si="35"/>
        <v>49.355347391815158</v>
      </c>
      <c r="AL54" s="22">
        <f t="shared" si="4"/>
        <v>431.21410057407803</v>
      </c>
      <c r="AM54" s="60">
        <f t="shared" si="5"/>
        <v>686.99798097732491</v>
      </c>
      <c r="AN54" s="60">
        <f ca="1">AVERAGE(OFFSET($AM$3,0,0,'Données projet'!$E$10+1,1))-AVERAGE(OFFSET($H$3,0,0,'Données projet'!$E$10+1,1))</f>
        <v>394.49874384716014</v>
      </c>
      <c r="AO54" s="60">
        <f t="shared" si="36"/>
        <v>423.72519584013378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5.6410256410256405</v>
      </c>
      <c r="BD54" s="13">
        <f>IF('Données projet'!$A$88&gt;35,BD53+BC54-BL53,IF(A54&lt;'Données projet'!$A$88,$BA$205^A54,IF(A54='Données projet'!$A$88,'Données projet'!$B$88,BD53+BC54-BL53)))</f>
        <v>192.82051282051273</v>
      </c>
      <c r="BE54" s="14">
        <f>BD54*VLOOKUP('Données projet'!$B$11,Paramètres!$A$1:$I$89,3,0)*VLOOKUP('Données projet'!$B$11,Paramètres!$A$1:$I$89,5,0)</f>
        <v>183.48799999999991</v>
      </c>
      <c r="BF54" s="14">
        <f t="shared" si="37"/>
        <v>46.097332970867861</v>
      </c>
      <c r="BG54" s="22">
        <f t="shared" si="7"/>
        <v>399.86112159092801</v>
      </c>
      <c r="BH54" s="60">
        <f t="shared" si="8"/>
        <v>655.64500199417489</v>
      </c>
      <c r="BI54" s="60">
        <f ca="1">AVERAGE(OFFSET($BH$3,0,0,'Données projet'!$E$11+1,1))-AVERAGE(OFFSET($H$3,0,0,'Données projet'!$E$11+1,1))</f>
        <v>441.15969139782891</v>
      </c>
      <c r="BJ54" s="60">
        <f t="shared" si="38"/>
        <v>315.06466790224783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10.375</v>
      </c>
      <c r="BY54" s="13">
        <f>IF('Données projet'!$A$114&gt;35,BY53+BX54-CG53,IF(A54&lt;'Données projet'!$A$114,$BV$205^A54,IF(A54='Données projet'!$A$114,'Données projet'!$B$114,BY53+BX54-CG53)))</f>
        <v>259.62499999999994</v>
      </c>
      <c r="BZ54" s="14">
        <f>BY54*VLOOKUP('Données projet'!$B$12,Paramètres!$A$1:$I$89,3,0)*VLOOKUP('Données projet'!$B$12,Paramètres!$A$1:$I$89,5,0)</f>
        <v>202.50749999999996</v>
      </c>
      <c r="CA54" s="14">
        <f t="shared" si="39"/>
        <v>50.294840086606349</v>
      </c>
      <c r="CB54" s="22">
        <f t="shared" si="10"/>
        <v>440.29740898417259</v>
      </c>
      <c r="CC54" s="60">
        <f t="shared" si="11"/>
        <v>696.08128938741947</v>
      </c>
      <c r="CD54" s="60">
        <f ca="1">AVERAGE(OFFSET($CC$3,0,0,'Données projet'!$E$12+1,1))-AVERAGE(OFFSET($H$3,0,0,'Données projet'!$E$12+1,1))</f>
        <v>312.59632808777332</v>
      </c>
      <c r="CE54" s="60">
        <f t="shared" si="40"/>
        <v>302.59481222418219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10.199999999999999</v>
      </c>
      <c r="CT54" s="13">
        <f>IF('Données projet'!$A$140&gt;35,CT53+CS54-DB53,IF(A54&lt;'Données projet'!$A$140,$CQ$205^A54,IF(A54='Données projet'!$A$140,'Données projet'!$B$140,CT53+CS54-DB53)))</f>
        <v>241.20000000000005</v>
      </c>
      <c r="CU54" s="18">
        <f>CT54*VLOOKUP('Données projet'!$B$13,Paramètres!$A$1:$I$89,3,0)*VLOOKUP('Données projet'!$B$13,Paramètres!$A$1:$I$89,5,0)</f>
        <v>233.28864000000007</v>
      </c>
      <c r="CV54" s="14">
        <f t="shared" si="41"/>
        <v>56.993173773170618</v>
      </c>
      <c r="CW54" s="22">
        <f t="shared" si="13"/>
        <v>505.5741589882723</v>
      </c>
      <c r="CX54" s="60">
        <f t="shared" si="14"/>
        <v>761.35803939151913</v>
      </c>
      <c r="CY54" s="60">
        <f ca="1">AVERAGE(OFFSET($CX$3,0,0,'Données projet'!$E$13+1,1))-AVERAGE(OFFSET($H$3,0,0,'Données projet'!$E$13+1,1))</f>
        <v>603.52431522262032</v>
      </c>
      <c r="CZ54" s="60">
        <f t="shared" si="42"/>
        <v>313.56299786481338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10.199999999999999</v>
      </c>
      <c r="DO54" s="13">
        <f>IF('Données projet'!$A$166&gt;35,DO53+DN54-DW53,IF(A54&lt;'Données projet'!$A$166,$DL$205^A54,IF(A54='Données projet'!$A$166,'Données projet'!$B$166,DO53+DN54-DW53)))</f>
        <v>241.20000000000005</v>
      </c>
      <c r="DP54" s="18">
        <f>DO54*VLOOKUP('Données projet'!$B$14,Paramètres!$A$1:$I$89,3,0)*VLOOKUP('Données projet'!$B$14,Paramètres!$A$1:$I$89,5,0)</f>
        <v>259.62768000000005</v>
      </c>
      <c r="DQ54" s="14">
        <f t="shared" si="43"/>
        <v>62.643007760076152</v>
      </c>
      <c r="DR54" s="22">
        <f t="shared" si="16"/>
        <v>561.28811451546608</v>
      </c>
      <c r="DS54" s="60">
        <f t="shared" si="17"/>
        <v>817.0719949187129</v>
      </c>
      <c r="DT54" s="60">
        <f ca="1">AVERAGE(OFFSET($DS$3,0,0,'Données projet'!$E$14+1,1))-AVERAGE(OFFSET($H$3,0,0,'Données projet'!$E$14+1,1))</f>
        <v>661.93515988633499</v>
      </c>
      <c r="DU54" s="60">
        <f t="shared" si="44"/>
        <v>341.9250949809848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6.6666666666666625</v>
      </c>
      <c r="EJ54" s="13">
        <f>IF('Données projet'!$A$192&gt;35,EJ53+EI54-ER53,IF(A54&lt;'Données projet'!$A$192,$EG$205^A54,IF(A54='Données projet'!$A$192,'Données projet'!$B$192,EJ53+EI54-ER53)))</f>
        <v>231.66666666666674</v>
      </c>
      <c r="EK54" s="18">
        <f>EJ54*VLOOKUP('Données projet'!$B$15,Paramètres!$A$1:$I$89,3,0)*VLOOKUP('Données projet'!$B$15,Paramètres!$A$1:$I$89,5,0)</f>
        <v>155.40200000000007</v>
      </c>
      <c r="EL54" s="14">
        <f t="shared" si="45"/>
        <v>39.803670275990136</v>
      </c>
      <c r="EM54" s="22">
        <f t="shared" si="19"/>
        <v>339.98320906401625</v>
      </c>
      <c r="EN54" s="60">
        <f t="shared" si="20"/>
        <v>595.76708946726308</v>
      </c>
      <c r="EO54" s="60">
        <f ca="1">AVERAGE(OFFSET($EN$3,0,0,'Données projet'!$E$15+1,1))-AVERAGE(OFFSET($H$3,0,0,'Données projet'!$E$15+1,1))</f>
        <v>396.0878652679051</v>
      </c>
      <c r="EP54" s="60">
        <f t="shared" si="46"/>
        <v>327.26339199235406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7.3600000000000083</v>
      </c>
      <c r="FE54" s="13">
        <f>IF('Données projet'!$A$218&gt;35,FE53+FD54-FM53,IF(A54&lt;'Données projet'!$A$218,$FB$205^A54,IF(A54='Données projet'!$A$218,'Données projet'!$B$218,FE53+FD54-FM53)))</f>
        <v>249.15999999999994</v>
      </c>
      <c r="FF54" s="18">
        <f>FE54*VLOOKUP('Données projet'!$B$16,Paramètres!$A$1:$I$89,3,0)*VLOOKUP('Données projet'!$B$16,Paramètres!$A$1:$I$89,5,0)</f>
        <v>182.68411199999994</v>
      </c>
      <c r="FG54" s="14">
        <f t="shared" si="47"/>
        <v>45.91883623040173</v>
      </c>
      <c r="FH54" s="22">
        <f t="shared" si="22"/>
        <v>398.15013483461621</v>
      </c>
      <c r="FI54" s="60">
        <f t="shared" si="23"/>
        <v>653.93401523786304</v>
      </c>
      <c r="FJ54" s="60">
        <f ca="1">AVERAGE(OFFSET($FI$3,0,0,'Données projet'!$E$16+1,1))-AVERAGE(OFFSET($H$3,0,0,'Données projet'!$E$16+1,1))</f>
        <v>368.35775920359396</v>
      </c>
      <c r="FK54" s="60">
        <f t="shared" si="48"/>
        <v>395.5218438652638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13.4</v>
      </c>
      <c r="FZ54" s="13">
        <f>IF('Données projet'!$A$244&gt;35,FZ53+FY54-GH53,IF(A54&lt;'Données projet'!$A$244,$FW$205^A54,IF(A54='Données projet'!$A$244,'Données projet'!$B$244,FZ53+FY54-GH53)))</f>
        <v>287.40000000000015</v>
      </c>
      <c r="GA54" s="18">
        <f>FZ54*VLOOKUP('Données projet'!$B$17,Paramètres!$A$1:$I$89,3,0)*VLOOKUP('Données projet'!$B$17,Paramètres!$A$1:$I$89,5,0)</f>
        <v>246.58920000000018</v>
      </c>
      <c r="GB54" s="14">
        <f t="shared" si="49"/>
        <v>59.854986461295532</v>
      </c>
      <c r="GC54" s="22">
        <f t="shared" si="25"/>
        <v>533.72362475342334</v>
      </c>
      <c r="GD54" s="60">
        <f t="shared" si="26"/>
        <v>789.50750515667016</v>
      </c>
      <c r="GE54" s="60">
        <f ca="1">AVERAGE(OFFSET($GD$3,0,0,'Données projet'!$E$17+1,1))-AVERAGE(OFFSET($H$3,0,0,'Données projet'!$E$17+1,1))</f>
        <v>701.44583662096022</v>
      </c>
      <c r="GF54" s="60">
        <f t="shared" si="50"/>
        <v>331.25104323342907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7.6</v>
      </c>
      <c r="GU54" s="13">
        <f>IF('Données projet'!$A$270&gt;35,GU53+GT54-HC53,IF(A54&lt;'Données projet'!$A$270,$GR$205^A54,IF(A54='Données projet'!$A$270,'Données projet'!$B$270,GU53+GT54-HC53)))</f>
        <v>235.59999999999997</v>
      </c>
      <c r="GV54" s="18">
        <f>GU54*VLOOKUP('Données projet'!$B$18,Paramètres!$A$1:$I$89,3,0)*VLOOKUP('Données projet'!$B$18,Paramètres!$A$1:$I$89,5,0)</f>
        <v>191.11872</v>
      </c>
      <c r="GW54" s="14">
        <f t="shared" si="51"/>
        <v>47.787201388032145</v>
      </c>
      <c r="GX54" s="22">
        <f t="shared" si="28"/>
        <v>416.09447975082259</v>
      </c>
      <c r="GY54" s="60">
        <f t="shared" si="29"/>
        <v>671.87836015406947</v>
      </c>
      <c r="GZ54" s="60">
        <f ca="1">AVERAGE(OFFSET($GY$3,0,0,'Données projet'!$E$18+1,1))-AVERAGE(OFFSET($H$3,0,0,'Données projet'!$E$18+1,1))</f>
        <v>272.69564942740931</v>
      </c>
      <c r="HA54" s="60">
        <f t="shared" si="52"/>
        <v>316.57989180609252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25">
      <c r="A55" s="11">
        <f t="shared" si="31"/>
        <v>52</v>
      </c>
      <c r="B55" s="75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8">
        <f t="shared" si="1"/>
        <v>183.33333333333334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projet'!$B$9,Paramètres!$A$1:$I$89,3,0)*VLOOKUP('Données projet'!$B$9,Paramètres!$A$1:$I$89,5,0)</f>
        <v>227.46672000000004</v>
      </c>
      <c r="P55" s="14">
        <f t="shared" si="33"/>
        <v>55.734574592438989</v>
      </c>
      <c r="Q55" s="22">
        <f t="shared" si="53"/>
        <v>493.24225474849794</v>
      </c>
      <c r="R55" s="60">
        <f t="shared" si="0"/>
        <v>749.67753421208135</v>
      </c>
      <c r="S55" s="60">
        <f ca="1">AVERAGE(OFFSET($R$3,0,0,'Données projet'!$E$9+1,1))-AVERAGE(OFFSET($H$3,0,0,'Données projet'!$E$9+1,1))</f>
        <v>570.08763950759544</v>
      </c>
      <c r="T55" s="60">
        <f t="shared" si="34"/>
        <v>297.32483725004136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7.3600000000000083</v>
      </c>
      <c r="AI55" s="14">
        <f>IF('Données projet'!$A$62&gt;35,AI54+AH55-AQ54,IF(A55&lt;'Données projet'!$A$62,$AF$205^A55,IF(A55='Données projet'!$A$62,'Données projet'!$B$62,AI54+AH55-AQ54)))</f>
        <v>256.51999999999992</v>
      </c>
      <c r="AJ55" s="14">
        <f>AI55*VLOOKUP('Données projet'!$B$10,Paramètres!$A$1:$I$89,3,0)*VLOOKUP('Données projet'!$B$10,Paramètres!$A$1:$I$89,5,0)</f>
        <v>204.08731199999997</v>
      </c>
      <c r="AK55" s="14">
        <f t="shared" si="35"/>
        <v>50.641374824638383</v>
      </c>
      <c r="AL55" s="22">
        <f t="shared" si="4"/>
        <v>443.65246288624508</v>
      </c>
      <c r="AM55" s="60">
        <f t="shared" si="5"/>
        <v>700.08774234982843</v>
      </c>
      <c r="AN55" s="60">
        <f ca="1">AVERAGE(OFFSET($AM$3,0,0,'Données projet'!$E$10+1,1))-AVERAGE(OFFSET($H$3,0,0,'Données projet'!$E$10+1,1))</f>
        <v>394.49874384716014</v>
      </c>
      <c r="AO55" s="60">
        <f t="shared" si="36"/>
        <v>423.72519584013378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5.6410256410256405</v>
      </c>
      <c r="BD55" s="13">
        <f>IF('Données projet'!$A$88&gt;35,BD54+BC55-BL54,IF(A55&lt;'Données projet'!$A$88,$BA$205^A55,IF(A55='Données projet'!$A$88,'Données projet'!$B$88,BD54+BC55-BL54)))</f>
        <v>198.46153846153837</v>
      </c>
      <c r="BE55" s="14">
        <f>BD55*VLOOKUP('Données projet'!$B$11,Paramètres!$A$1:$I$89,3,0)*VLOOKUP('Données projet'!$B$11,Paramètres!$A$1:$I$89,5,0)</f>
        <v>188.85599999999991</v>
      </c>
      <c r="BF55" s="14">
        <f t="shared" si="37"/>
        <v>47.286941864448139</v>
      </c>
      <c r="BG55" s="22">
        <f t="shared" si="7"/>
        <v>411.28229041391364</v>
      </c>
      <c r="BH55" s="60">
        <f t="shared" si="8"/>
        <v>667.717569877497</v>
      </c>
      <c r="BI55" s="60">
        <f ca="1">AVERAGE(OFFSET($BH$3,0,0,'Données projet'!$E$11+1,1))-AVERAGE(OFFSET($H$3,0,0,'Données projet'!$E$11+1,1))</f>
        <v>441.15969139782891</v>
      </c>
      <c r="BJ55" s="60">
        <f t="shared" si="38"/>
        <v>315.06466790224783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>
        <f>VLOOKUP(A55,'Données projet'!$A$113:$I$133,2,0)</f>
        <v>270</v>
      </c>
      <c r="BW55" s="13">
        <f>VLOOKUP(A55,'Données projet'!$A$113:$I$133,9,0)</f>
        <v>10.375</v>
      </c>
      <c r="BX55" s="13">
        <f t="array" ref="BX55">INDEX(BW:BW,MIN(IF(ISNUMBER(BW55:BW251),ROW(BW55:BW251),"")))</f>
        <v>10.375</v>
      </c>
      <c r="BY55" s="13">
        <f>IF('Données projet'!$A$114&gt;35,BY54+BX55-CG54,IF(A55&lt;'Données projet'!$A$114,$BV$205^A55,IF(A55='Données projet'!$A$114,'Données projet'!$B$114,BY54+BX55-CG54)))</f>
        <v>269.99999999999994</v>
      </c>
      <c r="BZ55" s="14">
        <f>BY55*VLOOKUP('Données projet'!$B$12,Paramètres!$A$1:$I$89,3,0)*VLOOKUP('Données projet'!$B$12,Paramètres!$A$1:$I$89,5,0)</f>
        <v>210.59999999999997</v>
      </c>
      <c r="CA55" s="14">
        <f t="shared" si="39"/>
        <v>52.066679014659961</v>
      </c>
      <c r="CB55" s="22">
        <f t="shared" si="10"/>
        <v>457.47779928386598</v>
      </c>
      <c r="CC55" s="60">
        <f t="shared" si="11"/>
        <v>713.91307874744939</v>
      </c>
      <c r="CD55" s="60">
        <f ca="1">AVERAGE(OFFSET($CC$3,0,0,'Données projet'!$E$12+1,1))-AVERAGE(OFFSET($H$3,0,0,'Données projet'!$E$12+1,1))</f>
        <v>312.59632808777332</v>
      </c>
      <c r="CE55" s="60">
        <f t="shared" si="40"/>
        <v>302.59481222418219</v>
      </c>
      <c r="CF55" s="16">
        <f>IF(ISNA(VLOOKUP(A55,'Données projet'!$A$113:$I$133,3,0)),0,VLOOKUP(A55,'Données projet'!$A$113:$I$133,3,0))</f>
        <v>5</v>
      </c>
      <c r="CG55" s="16">
        <f>IF(ISNA(VLOOKUP(A55,'Données projet'!$A$113:$I$133,4,0)),0,VLOOKUP(A55,'Données projet'!$A$113:$I$133,4,0))</f>
        <v>48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10.199999999999999</v>
      </c>
      <c r="CT55" s="13">
        <f>IF('Données projet'!$A$140&gt;35,CT54+CS55-DB54,IF(A55&lt;'Données projet'!$A$140,$CQ$205^A55,IF(A55='Données projet'!$A$140,'Données projet'!$B$140,CT54+CS55-DB54)))</f>
        <v>251.40000000000003</v>
      </c>
      <c r="CU55" s="18">
        <f>CT55*VLOOKUP('Données projet'!$B$13,Paramètres!$A$1:$I$89,3,0)*VLOOKUP('Données projet'!$B$13,Paramètres!$A$1:$I$89,5,0)</f>
        <v>243.15408000000005</v>
      </c>
      <c r="CV55" s="14">
        <f t="shared" si="41"/>
        <v>59.117629630943199</v>
      </c>
      <c r="CW55" s="22">
        <f t="shared" si="13"/>
        <v>526.45656094055948</v>
      </c>
      <c r="CX55" s="60">
        <f t="shared" si="14"/>
        <v>782.89184040414284</v>
      </c>
      <c r="CY55" s="60">
        <f ca="1">AVERAGE(OFFSET($CX$3,0,0,'Données projet'!$E$13+1,1))-AVERAGE(OFFSET($H$3,0,0,'Données projet'!$E$13+1,1))</f>
        <v>603.52431522262032</v>
      </c>
      <c r="CZ55" s="60">
        <f t="shared" si="42"/>
        <v>313.56299786481338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10.199999999999999</v>
      </c>
      <c r="DO55" s="13">
        <f>IF('Données projet'!$A$166&gt;35,DO54+DN55-DW54,IF(A55&lt;'Données projet'!$A$166,$DL$205^A55,IF(A55='Données projet'!$A$166,'Données projet'!$B$166,DO54+DN55-DW54)))</f>
        <v>251.40000000000003</v>
      </c>
      <c r="DP55" s="18">
        <f>DO55*VLOOKUP('Données projet'!$B$14,Paramètres!$A$1:$I$89,3,0)*VLOOKUP('Données projet'!$B$14,Paramètres!$A$1:$I$89,5,0)</f>
        <v>270.60696000000002</v>
      </c>
      <c r="DQ55" s="14">
        <f t="shared" si="43"/>
        <v>64.978064679595022</v>
      </c>
      <c r="DR55" s="22">
        <f t="shared" si="16"/>
        <v>584.47725131696131</v>
      </c>
      <c r="DS55" s="60">
        <f t="shared" si="17"/>
        <v>840.91253078054467</v>
      </c>
      <c r="DT55" s="60">
        <f ca="1">AVERAGE(OFFSET($DS$3,0,0,'Données projet'!$E$14+1,1))-AVERAGE(OFFSET($H$3,0,0,'Données projet'!$E$14+1,1))</f>
        <v>661.93515988633499</v>
      </c>
      <c r="DU55" s="60">
        <f t="shared" si="44"/>
        <v>341.9250949809848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6.6666666666666625</v>
      </c>
      <c r="EJ55" s="13">
        <f>IF('Données projet'!$A$192&gt;35,EJ54+EI55-ER54,IF(A55&lt;'Données projet'!$A$192,$EG$205^A55,IF(A55='Données projet'!$A$192,'Données projet'!$B$192,EJ54+EI55-ER54)))</f>
        <v>238.3333333333334</v>
      </c>
      <c r="EK55" s="18">
        <f>EJ55*VLOOKUP('Données projet'!$B$15,Paramètres!$A$1:$I$89,3,0)*VLOOKUP('Données projet'!$B$15,Paramètres!$A$1:$I$89,5,0)</f>
        <v>159.87400000000005</v>
      </c>
      <c r="EL55" s="14">
        <f t="shared" si="45"/>
        <v>40.81409445206225</v>
      </c>
      <c r="EM55" s="22">
        <f t="shared" si="19"/>
        <v>349.53176450400855</v>
      </c>
      <c r="EN55" s="60">
        <f t="shared" si="20"/>
        <v>605.96704396759196</v>
      </c>
      <c r="EO55" s="60">
        <f ca="1">AVERAGE(OFFSET($EN$3,0,0,'Données projet'!$E$15+1,1))-AVERAGE(OFFSET($H$3,0,0,'Données projet'!$E$15+1,1))</f>
        <v>396.0878652679051</v>
      </c>
      <c r="EP55" s="60">
        <f t="shared" si="46"/>
        <v>327.26339199235406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7.3600000000000083</v>
      </c>
      <c r="FE55" s="13">
        <f>IF('Données projet'!$A$218&gt;35,FE54+FD55-FM54,IF(A55&lt;'Données projet'!$A$218,$FB$205^A55,IF(A55='Données projet'!$A$218,'Données projet'!$B$218,FE54+FD55-FM54)))</f>
        <v>256.51999999999992</v>
      </c>
      <c r="FF55" s="18">
        <f>FE55*VLOOKUP('Données projet'!$B$16,Paramètres!$A$1:$I$89,3,0)*VLOOKUP('Données projet'!$B$16,Paramètres!$A$1:$I$89,5,0)</f>
        <v>188.08046399999995</v>
      </c>
      <c r="FG55" s="14">
        <f t="shared" si="47"/>
        <v>47.115320222436289</v>
      </c>
      <c r="FH55" s="22">
        <f t="shared" si="22"/>
        <v>409.63265752074312</v>
      </c>
      <c r="FI55" s="60">
        <f t="shared" si="23"/>
        <v>666.06793698432648</v>
      </c>
      <c r="FJ55" s="60">
        <f ca="1">AVERAGE(OFFSET($FI$3,0,0,'Données projet'!$E$16+1,1))-AVERAGE(OFFSET($H$3,0,0,'Données projet'!$E$16+1,1))</f>
        <v>368.35775920359396</v>
      </c>
      <c r="FK55" s="60">
        <f t="shared" si="48"/>
        <v>395.5218438652638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13.4</v>
      </c>
      <c r="FZ55" s="13">
        <f>IF('Données projet'!$A$244&gt;35,FZ54+FY55-GH54,IF(A55&lt;'Données projet'!$A$244,$FW$205^A55,IF(A55='Données projet'!$A$244,'Données projet'!$B$244,FZ54+FY55-GH54)))</f>
        <v>300.80000000000013</v>
      </c>
      <c r="GA55" s="18">
        <f>FZ55*VLOOKUP('Données projet'!$B$17,Paramètres!$A$1:$I$89,3,0)*VLOOKUP('Données projet'!$B$17,Paramètres!$A$1:$I$89,5,0)</f>
        <v>258.08640000000014</v>
      </c>
      <c r="GB55" s="14">
        <f t="shared" si="49"/>
        <v>62.314300560342502</v>
      </c>
      <c r="GC55" s="22">
        <f t="shared" si="25"/>
        <v>558.03122014259679</v>
      </c>
      <c r="GD55" s="60">
        <f t="shared" si="26"/>
        <v>814.46649960618015</v>
      </c>
      <c r="GE55" s="60">
        <f ca="1">AVERAGE(OFFSET($GD$3,0,0,'Données projet'!$E$17+1,1))-AVERAGE(OFFSET($H$3,0,0,'Données projet'!$E$17+1,1))</f>
        <v>701.44583662096022</v>
      </c>
      <c r="GF55" s="60">
        <f t="shared" si="50"/>
        <v>331.25104323342907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7.6</v>
      </c>
      <c r="GU55" s="13">
        <f>IF('Données projet'!$A$270&gt;35,GU54+GT55-HC54,IF(A55&lt;'Données projet'!$A$270,$GR$205^A55,IF(A55='Données projet'!$A$270,'Données projet'!$B$270,GU54+GT55-HC54)))</f>
        <v>243.19999999999996</v>
      </c>
      <c r="GV55" s="18">
        <f>GU55*VLOOKUP('Données projet'!$B$18,Paramètres!$A$1:$I$89,3,0)*VLOOKUP('Données projet'!$B$18,Paramètres!$A$1:$I$89,5,0)</f>
        <v>197.28383999999997</v>
      </c>
      <c r="GW55" s="14">
        <f t="shared" si="51"/>
        <v>49.146763750789503</v>
      </c>
      <c r="GX55" s="22">
        <f t="shared" si="28"/>
        <v>429.19996819929173</v>
      </c>
      <c r="GY55" s="60">
        <f t="shared" si="29"/>
        <v>685.63524766287514</v>
      </c>
      <c r="GZ55" s="60">
        <f ca="1">AVERAGE(OFFSET($GY$3,0,0,'Données projet'!$E$18+1,1))-AVERAGE(OFFSET($H$3,0,0,'Données projet'!$E$18+1,1))</f>
        <v>272.69564942740931</v>
      </c>
      <c r="HA55" s="60">
        <f t="shared" si="52"/>
        <v>316.57989180609252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25">
      <c r="A56" s="11">
        <f t="shared" si="31"/>
        <v>53</v>
      </c>
      <c r="B56" s="75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8">
        <f t="shared" si="1"/>
        <v>183.33333333333334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projet'!$B$9,Paramètres!$A$1:$I$89,3,0)*VLOOKUP('Données projet'!$B$9,Paramètres!$A$1:$I$89,5,0)</f>
        <v>236.69568000000001</v>
      </c>
      <c r="P56" s="14">
        <f t="shared" si="33"/>
        <v>57.72801732243034</v>
      </c>
      <c r="Q56" s="22">
        <f t="shared" si="53"/>
        <v>512.78793950323291</v>
      </c>
      <c r="R56" s="60">
        <f t="shared" si="0"/>
        <v>769.86331770976608</v>
      </c>
      <c r="S56" s="60">
        <f ca="1">AVERAGE(OFFSET($R$3,0,0,'Données projet'!$E$9+1,1))-AVERAGE(OFFSET($H$3,0,0,'Données projet'!$E$9+1,1))</f>
        <v>570.08763950759544</v>
      </c>
      <c r="T56" s="60">
        <f t="shared" si="34"/>
        <v>297.32483725004136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7.3600000000000083</v>
      </c>
      <c r="AI56" s="14">
        <f>IF('Données projet'!$A$62&gt;35,AI55+AH56-AQ55,IF(A56&lt;'Données projet'!$A$62,$AF$205^A56,IF(A56='Données projet'!$A$62,'Données projet'!$B$62,AI55+AH56-AQ55)))</f>
        <v>263.87999999999994</v>
      </c>
      <c r="AJ56" s="14">
        <f>AI56*VLOOKUP('Données projet'!$B$10,Paramètres!$A$1:$I$89,3,0)*VLOOKUP('Données projet'!$B$10,Paramètres!$A$1:$I$89,5,0)</f>
        <v>209.94292799999997</v>
      </c>
      <c r="AK56" s="14">
        <f t="shared" si="35"/>
        <v>51.9231138331048</v>
      </c>
      <c r="AL56" s="22">
        <f t="shared" si="4"/>
        <v>456.08335619265745</v>
      </c>
      <c r="AM56" s="60">
        <f t="shared" si="5"/>
        <v>713.15873439919073</v>
      </c>
      <c r="AN56" s="60">
        <f ca="1">AVERAGE(OFFSET($AM$3,0,0,'Données projet'!$E$10+1,1))-AVERAGE(OFFSET($H$3,0,0,'Données projet'!$E$10+1,1))</f>
        <v>394.49874384716014</v>
      </c>
      <c r="AO56" s="60">
        <f t="shared" si="36"/>
        <v>423.72519584013378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5.6410256410256405</v>
      </c>
      <c r="BD56" s="13">
        <f>IF('Données projet'!$A$88&gt;35,BD55+BC56-BL55,IF(A56&lt;'Données projet'!$A$88,$BA$205^A56,IF(A56='Données projet'!$A$88,'Données projet'!$B$88,BD55+BC56-BL55)))</f>
        <v>204.102564102564</v>
      </c>
      <c r="BE56" s="14">
        <f>BD56*VLOOKUP('Données projet'!$B$11,Paramètres!$A$1:$I$89,3,0)*VLOOKUP('Données projet'!$B$11,Paramètres!$A$1:$I$89,5,0)</f>
        <v>194.2239999999999</v>
      </c>
      <c r="BF56" s="14">
        <f t="shared" si="37"/>
        <v>48.472620849341268</v>
      </c>
      <c r="BG56" s="22">
        <f t="shared" si="7"/>
        <v>422.69661464593588</v>
      </c>
      <c r="BH56" s="60">
        <f t="shared" si="8"/>
        <v>679.77199285246911</v>
      </c>
      <c r="BI56" s="60">
        <f ca="1">AVERAGE(OFFSET($BH$3,0,0,'Données projet'!$E$11+1,1))-AVERAGE(OFFSET($H$3,0,0,'Données projet'!$E$11+1,1))</f>
        <v>441.15969139782891</v>
      </c>
      <c r="BJ56" s="60">
        <f t="shared" si="38"/>
        <v>315.06466790224783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9.375</v>
      </c>
      <c r="BY56" s="13">
        <f>IF('Données projet'!$A$114&gt;35,BY55+BX56-CG55,IF(A56&lt;'Données projet'!$A$114,$BV$205^A56,IF(A56='Données projet'!$A$114,'Données projet'!$B$114,BY55+BX56-CG55)))</f>
        <v>231.37499999999994</v>
      </c>
      <c r="BZ56" s="14">
        <f>BY56*VLOOKUP('Données projet'!$B$12,Paramètres!$A$1:$I$89,3,0)*VLOOKUP('Données projet'!$B$12,Paramètres!$A$1:$I$89,5,0)</f>
        <v>180.47249999999997</v>
      </c>
      <c r="CA56" s="14">
        <f t="shared" si="39"/>
        <v>45.427292666837829</v>
      </c>
      <c r="CB56" s="22">
        <f t="shared" si="10"/>
        <v>393.44213889474253</v>
      </c>
      <c r="CC56" s="60">
        <f t="shared" si="11"/>
        <v>650.51751710127576</v>
      </c>
      <c r="CD56" s="60">
        <f ca="1">AVERAGE(OFFSET($CC$3,0,0,'Données projet'!$E$12+1,1))-AVERAGE(OFFSET($H$3,0,0,'Données projet'!$E$12+1,1))</f>
        <v>312.59632808777332</v>
      </c>
      <c r="CE56" s="60">
        <f t="shared" si="40"/>
        <v>302.59481222418219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10.199999999999999</v>
      </c>
      <c r="CT56" s="13">
        <f>IF('Données projet'!$A$140&gt;35,CT55+CS56-DB55,IF(A56&lt;'Données projet'!$A$140,$CQ$205^A56,IF(A56='Données projet'!$A$140,'Données projet'!$B$140,CT55+CS56-DB55)))</f>
        <v>261.60000000000002</v>
      </c>
      <c r="CU56" s="18">
        <f>CT56*VLOOKUP('Données projet'!$B$13,Paramètres!$A$1:$I$89,3,0)*VLOOKUP('Données projet'!$B$13,Paramètres!$A$1:$I$89,5,0)</f>
        <v>253.01952000000003</v>
      </c>
      <c r="CV56" s="14">
        <f t="shared" si="41"/>
        <v>61.232073131479261</v>
      </c>
      <c r="CW56" s="22">
        <f t="shared" si="13"/>
        <v>547.32152470399308</v>
      </c>
      <c r="CX56" s="60">
        <f t="shared" si="14"/>
        <v>804.39690291052625</v>
      </c>
      <c r="CY56" s="60">
        <f ca="1">AVERAGE(OFFSET($CX$3,0,0,'Données projet'!$E$13+1,1))-AVERAGE(OFFSET($H$3,0,0,'Données projet'!$E$13+1,1))</f>
        <v>603.52431522262032</v>
      </c>
      <c r="CZ56" s="60">
        <f t="shared" si="42"/>
        <v>313.56299786481338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10.199999999999999</v>
      </c>
      <c r="DO56" s="13">
        <f>IF('Données projet'!$A$166&gt;35,DO55+DN56-DW55,IF(A56&lt;'Données projet'!$A$166,$DL$205^A56,IF(A56='Données projet'!$A$166,'Données projet'!$B$166,DO55+DN56-DW55)))</f>
        <v>261.60000000000002</v>
      </c>
      <c r="DP56" s="18">
        <f>DO56*VLOOKUP('Données projet'!$B$14,Paramètres!$A$1:$I$89,3,0)*VLOOKUP('Données projet'!$B$14,Paramètres!$A$1:$I$89,5,0)</f>
        <v>281.58623999999998</v>
      </c>
      <c r="DQ56" s="14">
        <f t="shared" si="43"/>
        <v>67.302116699219098</v>
      </c>
      <c r="DR56" s="22">
        <f t="shared" si="16"/>
        <v>607.64722125113985</v>
      </c>
      <c r="DS56" s="60">
        <f t="shared" si="17"/>
        <v>864.72259945767314</v>
      </c>
      <c r="DT56" s="60">
        <f ca="1">AVERAGE(OFFSET($DS$3,0,0,'Données projet'!$E$14+1,1))-AVERAGE(OFFSET($H$3,0,0,'Données projet'!$E$14+1,1))</f>
        <v>661.93515988633499</v>
      </c>
      <c r="DU56" s="60">
        <f t="shared" si="44"/>
        <v>341.9250949809848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6.6666666666666625</v>
      </c>
      <c r="EJ56" s="13">
        <f>IF('Données projet'!$A$192&gt;35,EJ55+EI56-ER55,IF(A56&lt;'Données projet'!$A$192,$EG$205^A56,IF(A56='Données projet'!$A$192,'Données projet'!$B$192,EJ55+EI56-ER55)))</f>
        <v>245.00000000000006</v>
      </c>
      <c r="EK56" s="18">
        <f>EJ56*VLOOKUP('Données projet'!$B$15,Paramètres!$A$1:$I$89,3,0)*VLOOKUP('Données projet'!$B$15,Paramètres!$A$1:$I$89,5,0)</f>
        <v>164.34600000000003</v>
      </c>
      <c r="EL56" s="14">
        <f t="shared" si="45"/>
        <v>41.821233640915146</v>
      </c>
      <c r="EM56" s="22">
        <f t="shared" si="19"/>
        <v>359.07459859126061</v>
      </c>
      <c r="EN56" s="60">
        <f t="shared" si="20"/>
        <v>616.1499767977939</v>
      </c>
      <c r="EO56" s="60">
        <f ca="1">AVERAGE(OFFSET($EN$3,0,0,'Données projet'!$E$15+1,1))-AVERAGE(OFFSET($H$3,0,0,'Données projet'!$E$15+1,1))</f>
        <v>396.0878652679051</v>
      </c>
      <c r="EP56" s="60">
        <f t="shared" si="46"/>
        <v>327.26339199235406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7.3600000000000083</v>
      </c>
      <c r="FE56" s="13">
        <f>IF('Données projet'!$A$218&gt;35,FE55+FD56-FM55,IF(A56&lt;'Données projet'!$A$218,$FB$205^A56,IF(A56='Données projet'!$A$218,'Données projet'!$B$218,FE55+FD56-FM55)))</f>
        <v>263.87999999999994</v>
      </c>
      <c r="FF56" s="18">
        <f>FE56*VLOOKUP('Données projet'!$B$16,Paramètres!$A$1:$I$89,3,0)*VLOOKUP('Données projet'!$B$16,Paramètres!$A$1:$I$89,5,0)</f>
        <v>193.47681599999996</v>
      </c>
      <c r="FG56" s="14">
        <f t="shared" si="47"/>
        <v>48.307814384267459</v>
      </c>
      <c r="FH56" s="22">
        <f t="shared" si="22"/>
        <v>421.10823125259907</v>
      </c>
      <c r="FI56" s="60">
        <f t="shared" si="23"/>
        <v>678.1836094591323</v>
      </c>
      <c r="FJ56" s="60">
        <f ca="1">AVERAGE(OFFSET($FI$3,0,0,'Données projet'!$E$16+1,1))-AVERAGE(OFFSET($H$3,0,0,'Données projet'!$E$16+1,1))</f>
        <v>368.35775920359396</v>
      </c>
      <c r="FK56" s="60">
        <f t="shared" si="48"/>
        <v>395.5218438652638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13.4</v>
      </c>
      <c r="FZ56" s="13">
        <f>IF('Données projet'!$A$244&gt;35,FZ55+FY56-GH55,IF(A56&lt;'Données projet'!$A$244,$FW$205^A56,IF(A56='Données projet'!$A$244,'Données projet'!$B$244,FZ55+FY56-GH55)))</f>
        <v>314.2000000000001</v>
      </c>
      <c r="GA56" s="18">
        <f>FZ56*VLOOKUP('Données projet'!$B$17,Paramètres!$A$1:$I$89,3,0)*VLOOKUP('Données projet'!$B$17,Paramètres!$A$1:$I$89,5,0)</f>
        <v>269.5836000000001</v>
      </c>
      <c r="GB56" s="14">
        <f t="shared" si="49"/>
        <v>64.760890762143589</v>
      </c>
      <c r="GC56" s="22">
        <f t="shared" si="25"/>
        <v>582.31665474406691</v>
      </c>
      <c r="GD56" s="60">
        <f t="shared" si="26"/>
        <v>839.3920329506002</v>
      </c>
      <c r="GE56" s="60">
        <f ca="1">AVERAGE(OFFSET($GD$3,0,0,'Données projet'!$E$17+1,1))-AVERAGE(OFFSET($H$3,0,0,'Données projet'!$E$17+1,1))</f>
        <v>701.44583662096022</v>
      </c>
      <c r="GF56" s="60">
        <f t="shared" si="50"/>
        <v>331.25104323342907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7.6</v>
      </c>
      <c r="GU56" s="13">
        <f>IF('Données projet'!$A$270&gt;35,GU55+GT56-HC55,IF(A56&lt;'Données projet'!$A$270,$GR$205^A56,IF(A56='Données projet'!$A$270,'Données projet'!$B$270,GU55+GT56-HC55)))</f>
        <v>250.79999999999995</v>
      </c>
      <c r="GV56" s="18">
        <f>GU56*VLOOKUP('Données projet'!$B$18,Paramètres!$A$1:$I$89,3,0)*VLOOKUP('Données projet'!$B$18,Paramètres!$A$1:$I$89,5,0)</f>
        <v>203.44895999999997</v>
      </c>
      <c r="GW56" s="14">
        <f t="shared" si="51"/>
        <v>50.501388840000267</v>
      </c>
      <c r="GX56" s="22">
        <f t="shared" si="28"/>
        <v>442.2968575630004</v>
      </c>
      <c r="GY56" s="60">
        <f t="shared" si="29"/>
        <v>699.37223576953363</v>
      </c>
      <c r="GZ56" s="60">
        <f ca="1">AVERAGE(OFFSET($GY$3,0,0,'Données projet'!$E$18+1,1))-AVERAGE(OFFSET($H$3,0,0,'Données projet'!$E$18+1,1))</f>
        <v>272.69564942740931</v>
      </c>
      <c r="HA56" s="60">
        <f t="shared" si="52"/>
        <v>316.57989180609252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25">
      <c r="A57" s="11">
        <f t="shared" si="31"/>
        <v>54</v>
      </c>
      <c r="B57" s="75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8">
        <f t="shared" si="1"/>
        <v>183.33333333333334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projet'!$B$9,Paramètres!$A$1:$I$89,3,0)*VLOOKUP('Données projet'!$B$9,Paramètres!$A$1:$I$89,5,0)</f>
        <v>245.92464000000001</v>
      </c>
      <c r="P57" s="14">
        <f t="shared" si="33"/>
        <v>59.712430831913537</v>
      </c>
      <c r="Q57" s="22">
        <f t="shared" si="53"/>
        <v>532.31789836558266</v>
      </c>
      <c r="R57" s="60">
        <f t="shared" si="0"/>
        <v>790.02227103292194</v>
      </c>
      <c r="S57" s="60">
        <f ca="1">AVERAGE(OFFSET($R$3,0,0,'Données projet'!$E$9+1,1))-AVERAGE(OFFSET($H$3,0,0,'Données projet'!$E$9+1,1))</f>
        <v>570.08763950759544</v>
      </c>
      <c r="T57" s="60">
        <f t="shared" si="34"/>
        <v>297.32483725004136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7.3600000000000083</v>
      </c>
      <c r="AI57" s="14">
        <f>IF('Données projet'!$A$62&gt;35,AI56+AH57-AQ56,IF(A57&lt;'Données projet'!$A$62,$AF$205^A57,IF(A57='Données projet'!$A$62,'Données projet'!$B$62,AI56+AH57-AQ56)))</f>
        <v>271.23999999999995</v>
      </c>
      <c r="AJ57" s="14">
        <f>AI57*VLOOKUP('Données projet'!$B$10,Paramètres!$A$1:$I$89,3,0)*VLOOKUP('Données projet'!$B$10,Paramètres!$A$1:$I$89,5,0)</f>
        <v>215.79854399999996</v>
      </c>
      <c r="AK57" s="14">
        <f t="shared" si="35"/>
        <v>53.200697768809484</v>
      </c>
      <c r="AL57" s="22">
        <f t="shared" si="4"/>
        <v>468.50701274734303</v>
      </c>
      <c r="AM57" s="60">
        <f t="shared" si="5"/>
        <v>726.21138541468235</v>
      </c>
      <c r="AN57" s="60">
        <f ca="1">AVERAGE(OFFSET($AM$3,0,0,'Données projet'!$E$10+1,1))-AVERAGE(OFFSET($H$3,0,0,'Données projet'!$E$10+1,1))</f>
        <v>394.49874384716014</v>
      </c>
      <c r="AO57" s="60">
        <f t="shared" si="36"/>
        <v>423.72519584013378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5.6410256410256405</v>
      </c>
      <c r="BD57" s="13">
        <f>IF('Données projet'!$A$88&gt;35,BD56+BC57-BL56,IF(A57&lt;'Données projet'!$A$88,$BA$205^A57,IF(A57='Données projet'!$A$88,'Données projet'!$B$88,BD56+BC57-BL56)))</f>
        <v>209.74358974358964</v>
      </c>
      <c r="BE57" s="14">
        <f>BD57*VLOOKUP('Données projet'!$B$11,Paramètres!$A$1:$I$89,3,0)*VLOOKUP('Données projet'!$B$11,Paramètres!$A$1:$I$89,5,0)</f>
        <v>199.5919999999999</v>
      </c>
      <c r="BF57" s="14">
        <f t="shared" si="37"/>
        <v>49.654491020353277</v>
      </c>
      <c r="BG57" s="22">
        <f t="shared" si="7"/>
        <v>434.10430519378178</v>
      </c>
      <c r="BH57" s="60">
        <f t="shared" si="8"/>
        <v>691.80867786112117</v>
      </c>
      <c r="BI57" s="60">
        <f ca="1">AVERAGE(OFFSET($BH$3,0,0,'Données projet'!$E$11+1,1))-AVERAGE(OFFSET($H$3,0,0,'Données projet'!$E$11+1,1))</f>
        <v>441.15969139782891</v>
      </c>
      <c r="BJ57" s="60">
        <f t="shared" si="38"/>
        <v>315.06466790224783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9.375</v>
      </c>
      <c r="BY57" s="13">
        <f>IF('Données projet'!$A$114&gt;35,BY56+BX57-CG56,IF(A57&lt;'Données projet'!$A$114,$BV$205^A57,IF(A57='Données projet'!$A$114,'Données projet'!$B$114,BY56+BX57-CG56)))</f>
        <v>240.74999999999994</v>
      </c>
      <c r="BZ57" s="14">
        <f>BY57*VLOOKUP('Données projet'!$B$12,Paramètres!$A$1:$I$89,3,0)*VLOOKUP('Données projet'!$B$12,Paramètres!$A$1:$I$89,5,0)</f>
        <v>187.78499999999997</v>
      </c>
      <c r="CA57" s="14">
        <f t="shared" si="39"/>
        <v>47.049914090154054</v>
      </c>
      <c r="CB57" s="22">
        <f t="shared" si="10"/>
        <v>409.00414204035161</v>
      </c>
      <c r="CC57" s="60">
        <f t="shared" si="11"/>
        <v>666.70851470769094</v>
      </c>
      <c r="CD57" s="60">
        <f ca="1">AVERAGE(OFFSET($CC$3,0,0,'Données projet'!$E$12+1,1))-AVERAGE(OFFSET($H$3,0,0,'Données projet'!$E$12+1,1))</f>
        <v>312.59632808777332</v>
      </c>
      <c r="CE57" s="60">
        <f t="shared" si="40"/>
        <v>302.59481222418219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10.199999999999999</v>
      </c>
      <c r="CT57" s="13">
        <f>IF('Données projet'!$A$140&gt;35,CT56+CS57-DB56,IF(A57&lt;'Données projet'!$A$140,$CQ$205^A57,IF(A57='Données projet'!$A$140,'Données projet'!$B$140,CT56+CS57-DB56)))</f>
        <v>271.8</v>
      </c>
      <c r="CU57" s="18">
        <f>CT57*VLOOKUP('Données projet'!$B$13,Paramètres!$A$1:$I$89,3,0)*VLOOKUP('Données projet'!$B$13,Paramètres!$A$1:$I$89,5,0)</f>
        <v>262.88496000000004</v>
      </c>
      <c r="CV57" s="14">
        <f t="shared" si="41"/>
        <v>63.336939343271965</v>
      </c>
      <c r="CW57" s="22">
        <f t="shared" si="13"/>
        <v>568.16980802286537</v>
      </c>
      <c r="CX57" s="60">
        <f t="shared" si="14"/>
        <v>825.87418069020464</v>
      </c>
      <c r="CY57" s="60">
        <f ca="1">AVERAGE(OFFSET($CX$3,0,0,'Données projet'!$E$13+1,1))-AVERAGE(OFFSET($H$3,0,0,'Données projet'!$E$13+1,1))</f>
        <v>603.52431522262032</v>
      </c>
      <c r="CZ57" s="60">
        <f t="shared" si="42"/>
        <v>313.56299786481338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10.199999999999999</v>
      </c>
      <c r="DO57" s="13">
        <f>IF('Données projet'!$A$166&gt;35,DO56+DN57-DW56,IF(A57&lt;'Données projet'!$A$166,$DL$205^A57,IF(A57='Données projet'!$A$166,'Données projet'!$B$166,DO56+DN57-DW56)))</f>
        <v>271.8</v>
      </c>
      <c r="DP57" s="18">
        <f>DO57*VLOOKUP('Données projet'!$B$14,Paramètres!$A$1:$I$89,3,0)*VLOOKUP('Données projet'!$B$14,Paramètres!$A$1:$I$89,5,0)</f>
        <v>292.56551999999999</v>
      </c>
      <c r="DQ57" s="14">
        <f t="shared" si="43"/>
        <v>69.615642016549756</v>
      </c>
      <c r="DR57" s="22">
        <f t="shared" si="16"/>
        <v>630.79885717882416</v>
      </c>
      <c r="DS57" s="60">
        <f t="shared" si="17"/>
        <v>888.50322984616355</v>
      </c>
      <c r="DT57" s="60">
        <f ca="1">AVERAGE(OFFSET($DS$3,0,0,'Données projet'!$E$14+1,1))-AVERAGE(OFFSET($H$3,0,0,'Données projet'!$E$14+1,1))</f>
        <v>661.93515988633499</v>
      </c>
      <c r="DU57" s="60">
        <f t="shared" si="44"/>
        <v>341.9250949809848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6.6666666666666625</v>
      </c>
      <c r="EJ57" s="13">
        <f>IF('Données projet'!$A$192&gt;35,EJ56+EI57-ER56,IF(A57&lt;'Données projet'!$A$192,$EG$205^A57,IF(A57='Données projet'!$A$192,'Données projet'!$B$192,EJ56+EI57-ER56)))</f>
        <v>251.66666666666671</v>
      </c>
      <c r="EK57" s="18">
        <f>EJ57*VLOOKUP('Données projet'!$B$15,Paramètres!$A$1:$I$89,3,0)*VLOOKUP('Données projet'!$B$15,Paramètres!$A$1:$I$89,5,0)</f>
        <v>168.81800000000004</v>
      </c>
      <c r="EL57" s="14">
        <f t="shared" si="45"/>
        <v>42.825187501685285</v>
      </c>
      <c r="EM57" s="22">
        <f t="shared" si="19"/>
        <v>368.61188489876866</v>
      </c>
      <c r="EN57" s="60">
        <f t="shared" si="20"/>
        <v>626.31625756610799</v>
      </c>
      <c r="EO57" s="60">
        <f ca="1">AVERAGE(OFFSET($EN$3,0,0,'Données projet'!$E$15+1,1))-AVERAGE(OFFSET($H$3,0,0,'Données projet'!$E$15+1,1))</f>
        <v>396.0878652679051</v>
      </c>
      <c r="EP57" s="60">
        <f t="shared" si="46"/>
        <v>327.26339199235406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7.3600000000000083</v>
      </c>
      <c r="FE57" s="13">
        <f>IF('Données projet'!$A$218&gt;35,FE56+FD57-FM56,IF(A57&lt;'Données projet'!$A$218,$FB$205^A57,IF(A57='Données projet'!$A$218,'Données projet'!$B$218,FE56+FD57-FM56)))</f>
        <v>271.23999999999995</v>
      </c>
      <c r="FF57" s="18">
        <f>FE57*VLOOKUP('Données projet'!$B$16,Paramètres!$A$1:$I$89,3,0)*VLOOKUP('Données projet'!$B$16,Paramètres!$A$1:$I$89,5,0)</f>
        <v>198.87316799999996</v>
      </c>
      <c r="FG57" s="14">
        <f t="shared" si="47"/>
        <v>49.496442782493347</v>
      </c>
      <c r="FH57" s="22">
        <f t="shared" si="22"/>
        <v>432.57707211284247</v>
      </c>
      <c r="FI57" s="60">
        <f t="shared" si="23"/>
        <v>690.2814447801818</v>
      </c>
      <c r="FJ57" s="60">
        <f ca="1">AVERAGE(OFFSET($FI$3,0,0,'Données projet'!$E$16+1,1))-AVERAGE(OFFSET($H$3,0,0,'Données projet'!$E$16+1,1))</f>
        <v>368.35775920359396</v>
      </c>
      <c r="FK57" s="60">
        <f t="shared" si="48"/>
        <v>395.5218438652638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13.4</v>
      </c>
      <c r="FZ57" s="13">
        <f>IF('Données projet'!$A$244&gt;35,FZ56+FY57-GH56,IF(A57&lt;'Données projet'!$A$244,$FW$205^A57,IF(A57='Données projet'!$A$244,'Données projet'!$B$244,FZ56+FY57-GH56)))</f>
        <v>327.60000000000008</v>
      </c>
      <c r="GA57" s="18">
        <f>FZ57*VLOOKUP('Données projet'!$B$17,Paramètres!$A$1:$I$89,3,0)*VLOOKUP('Données projet'!$B$17,Paramètres!$A$1:$I$89,5,0)</f>
        <v>281.08080000000012</v>
      </c>
      <c r="GB57" s="14">
        <f t="shared" si="49"/>
        <v>67.195361752546177</v>
      </c>
      <c r="GC57" s="22">
        <f t="shared" si="25"/>
        <v>606.58098171901804</v>
      </c>
      <c r="GD57" s="60">
        <f t="shared" si="26"/>
        <v>864.28535438635731</v>
      </c>
      <c r="GE57" s="60">
        <f ca="1">AVERAGE(OFFSET($GD$3,0,0,'Données projet'!$E$17+1,1))-AVERAGE(OFFSET($H$3,0,0,'Données projet'!$E$17+1,1))</f>
        <v>701.44583662096022</v>
      </c>
      <c r="GF57" s="60">
        <f t="shared" si="50"/>
        <v>331.25104323342907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7.6</v>
      </c>
      <c r="GU57" s="13">
        <f>IF('Données projet'!$A$270&gt;35,GU56+GT57-HC56,IF(A57&lt;'Données projet'!$A$270,$GR$205^A57,IF(A57='Données projet'!$A$270,'Données projet'!$B$270,GU56+GT57-HC56)))</f>
        <v>258.39999999999998</v>
      </c>
      <c r="GV57" s="18">
        <f>GU57*VLOOKUP('Données projet'!$B$18,Paramètres!$A$1:$I$89,3,0)*VLOOKUP('Données projet'!$B$18,Paramètres!$A$1:$I$89,5,0)</f>
        <v>209.61408</v>
      </c>
      <c r="GW57" s="14">
        <f t="shared" si="51"/>
        <v>51.851243442662593</v>
      </c>
      <c r="GX57" s="22">
        <f t="shared" si="28"/>
        <v>455.38543832930395</v>
      </c>
      <c r="GY57" s="60">
        <f t="shared" si="29"/>
        <v>713.08981099664334</v>
      </c>
      <c r="GZ57" s="60">
        <f ca="1">AVERAGE(OFFSET($GY$3,0,0,'Données projet'!$E$18+1,1))-AVERAGE(OFFSET($H$3,0,0,'Données projet'!$E$18+1,1))</f>
        <v>272.69564942740931</v>
      </c>
      <c r="HA57" s="60">
        <f t="shared" si="52"/>
        <v>316.57989180609252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25">
      <c r="A58" s="11">
        <f t="shared" si="31"/>
        <v>55</v>
      </c>
      <c r="B58" s="75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8">
        <f t="shared" si="1"/>
        <v>183.33333333333334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projet'!$B$9,Paramètres!$A$1:$I$89,3,0)*VLOOKUP('Données projet'!$B$9,Paramètres!$A$1:$I$89,5,0)</f>
        <v>255.15360000000001</v>
      </c>
      <c r="P58" s="14">
        <f t="shared" si="33"/>
        <v>61.688192762754426</v>
      </c>
      <c r="Q58" s="22">
        <f t="shared" si="53"/>
        <v>551.83278906179726</v>
      </c>
      <c r="R58" s="60">
        <f t="shared" si="0"/>
        <v>810.15524454226863</v>
      </c>
      <c r="S58" s="60">
        <f ca="1">AVERAGE(OFFSET($R$3,0,0,'Données projet'!$E$9+1,1))-AVERAGE(OFFSET($H$3,0,0,'Données projet'!$E$9+1,1))</f>
        <v>570.08763950759544</v>
      </c>
      <c r="T58" s="60">
        <f t="shared" si="34"/>
        <v>297.32483725004136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278.60000000000002</v>
      </c>
      <c r="AG58" s="13">
        <f>VLOOKUP(A58,'Données projet'!$A$61:$I$81,9,0)</f>
        <v>7.3600000000000083</v>
      </c>
      <c r="AH58" s="13">
        <f t="array" ref="AH58">INDEX(AG:AG,MIN(IF(ISNUMBER(AG58:AG254),ROW(AG58:AG254),"")))</f>
        <v>7.3600000000000083</v>
      </c>
      <c r="AI58" s="14">
        <f>IF('Données projet'!$A$62&gt;35,AI57+AH58-AQ57,IF(A58&lt;'Données projet'!$A$62,$AF$205^A58,IF(A58='Données projet'!$A$62,'Données projet'!$B$62,AI57+AH58-AQ57)))</f>
        <v>278.59999999999997</v>
      </c>
      <c r="AJ58" s="14">
        <f>AI58*VLOOKUP('Données projet'!$B$10,Paramètres!$A$1:$I$89,3,0)*VLOOKUP('Données projet'!$B$10,Paramètres!$A$1:$I$89,5,0)</f>
        <v>221.65415999999999</v>
      </c>
      <c r="AK58" s="14">
        <f t="shared" si="35"/>
        <v>54.474252334510162</v>
      </c>
      <c r="AL58" s="22">
        <f t="shared" si="4"/>
        <v>480.92365148260507</v>
      </c>
      <c r="AM58" s="60">
        <f t="shared" si="5"/>
        <v>739.2461069630765</v>
      </c>
      <c r="AN58" s="60">
        <f ca="1">AVERAGE(OFFSET($AM$3,0,0,'Données projet'!$E$10+1,1))-AVERAGE(OFFSET($H$3,0,0,'Données projet'!$E$10+1,1))</f>
        <v>394.49874384716014</v>
      </c>
      <c r="AO58" s="60">
        <f t="shared" si="36"/>
        <v>423.72519584013378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215.38461538461539</v>
      </c>
      <c r="BB58" s="13">
        <f>VLOOKUP(A58,'Données projet'!$A$87:$I$107,9,0)</f>
        <v>5.6410256410256405</v>
      </c>
      <c r="BC58" s="13">
        <f t="array" ref="BC58">INDEX(BB:BB,MIN(IF(ISNUMBER(BB58:BB254),ROW(BB58:BB254),"")))</f>
        <v>5.6410256410256405</v>
      </c>
      <c r="BD58" s="13">
        <f>IF('Données projet'!$A$88&gt;35,BD57+BC58-BL57,IF(A58&lt;'Données projet'!$A$88,$BA$205^A58,IF(A58='Données projet'!$A$88,'Données projet'!$B$88,BD57+BC58-BL57)))</f>
        <v>215.38461538461527</v>
      </c>
      <c r="BE58" s="14">
        <f>BD58*VLOOKUP('Données projet'!$B$11,Paramètres!$A$1:$I$89,3,0)*VLOOKUP('Données projet'!$B$11,Paramètres!$A$1:$I$89,5,0)</f>
        <v>204.95999999999987</v>
      </c>
      <c r="BF58" s="14">
        <f t="shared" si="37"/>
        <v>50.832666587809335</v>
      </c>
      <c r="BG58" s="22">
        <f t="shared" si="7"/>
        <v>445.50556097376767</v>
      </c>
      <c r="BH58" s="60">
        <f t="shared" si="8"/>
        <v>703.8280164542391</v>
      </c>
      <c r="BI58" s="60">
        <f ca="1">AVERAGE(OFFSET($BH$3,0,0,'Données projet'!$E$11+1,1))-AVERAGE(OFFSET($H$3,0,0,'Données projet'!$E$11+1,1))</f>
        <v>441.15969139782891</v>
      </c>
      <c r="BJ58" s="60">
        <f t="shared" si="38"/>
        <v>315.06466790224783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34.615384615384613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9.375</v>
      </c>
      <c r="BY58" s="13">
        <f>IF('Données projet'!$A$114&gt;35,BY57+BX58-CG57,IF(A58&lt;'Données projet'!$A$114,$BV$205^A58,IF(A58='Données projet'!$A$114,'Données projet'!$B$114,BY57+BX58-CG57)))</f>
        <v>250.12499999999994</v>
      </c>
      <c r="BZ58" s="14">
        <f>BY58*VLOOKUP('Données projet'!$B$12,Paramètres!$A$1:$I$89,3,0)*VLOOKUP('Données projet'!$B$12,Paramètres!$A$1:$I$89,5,0)</f>
        <v>195.09749999999997</v>
      </c>
      <c r="CA58" s="14">
        <f t="shared" si="39"/>
        <v>48.66519532492584</v>
      </c>
      <c r="CB58" s="22">
        <f t="shared" si="10"/>
        <v>424.55336102424576</v>
      </c>
      <c r="CC58" s="60">
        <f t="shared" si="11"/>
        <v>682.87581650471714</v>
      </c>
      <c r="CD58" s="60">
        <f ca="1">AVERAGE(OFFSET($CC$3,0,0,'Données projet'!$E$12+1,1))-AVERAGE(OFFSET($H$3,0,0,'Données projet'!$E$12+1,1))</f>
        <v>312.59632808777332</v>
      </c>
      <c r="CE58" s="60">
        <f t="shared" si="40"/>
        <v>302.59481222418219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282</v>
      </c>
      <c r="CR58" s="13">
        <f>VLOOKUP(A58,'Données projet'!$A$139:$I$159,9,0)</f>
        <v>10.199999999999999</v>
      </c>
      <c r="CS58" s="13">
        <f t="array" ref="CS58">INDEX(CR:CR,MIN(IF(ISNUMBER(CR58:CR254),ROW(CR58:CR254),"")))</f>
        <v>10.199999999999999</v>
      </c>
      <c r="CT58" s="13">
        <f>IF('Données projet'!$A$140&gt;35,CT57+CS58-DB57,IF(A58&lt;'Données projet'!$A$140,$CQ$205^A58,IF(A58='Données projet'!$A$140,'Données projet'!$B$140,CT57+CS58-DB57)))</f>
        <v>282</v>
      </c>
      <c r="CU58" s="18">
        <f>CT58*VLOOKUP('Données projet'!$B$13,Paramètres!$A$1:$I$89,3,0)*VLOOKUP('Données projet'!$B$13,Paramètres!$A$1:$I$89,5,0)</f>
        <v>272.75040000000001</v>
      </c>
      <c r="CV58" s="14">
        <f t="shared" si="41"/>
        <v>65.43262883082069</v>
      </c>
      <c r="CW58" s="22">
        <f t="shared" si="13"/>
        <v>589.00210854701277</v>
      </c>
      <c r="CX58" s="60">
        <f t="shared" si="14"/>
        <v>847.32456402748414</v>
      </c>
      <c r="CY58" s="60">
        <f ca="1">AVERAGE(OFFSET($CX$3,0,0,'Données projet'!$E$13+1,1))-AVERAGE(OFFSET($H$3,0,0,'Données projet'!$E$13+1,1))</f>
        <v>603.52431522262032</v>
      </c>
      <c r="CZ58" s="60">
        <f t="shared" si="42"/>
        <v>313.56299786481338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56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282</v>
      </c>
      <c r="DM58" s="13">
        <f>VLOOKUP(A58,'Données projet'!$A$165:$I$185,9,0)</f>
        <v>10.199999999999999</v>
      </c>
      <c r="DN58" s="13">
        <f t="array" ref="DN58">INDEX(DM:DM,MIN(IF(ISNUMBER(DM58:DM254),ROW(DM58:DM254),"")))</f>
        <v>10.199999999999999</v>
      </c>
      <c r="DO58" s="13">
        <f>IF('Données projet'!$A$166&gt;35,DO57+DN58-DW57,IF(A58&lt;'Données projet'!$A$166,$DL$205^A58,IF(A58='Données projet'!$A$166,'Données projet'!$B$166,DO57+DN58-DW57)))</f>
        <v>282</v>
      </c>
      <c r="DP58" s="18">
        <f>DO58*VLOOKUP('Données projet'!$B$14,Paramètres!$A$1:$I$89,3,0)*VLOOKUP('Données projet'!$B$14,Paramètres!$A$1:$I$89,5,0)</f>
        <v>303.54480000000001</v>
      </c>
      <c r="DQ58" s="14">
        <f t="shared" si="43"/>
        <v>71.919080904752505</v>
      </c>
      <c r="DR58" s="22">
        <f t="shared" si="16"/>
        <v>653.93292590911062</v>
      </c>
      <c r="DS58" s="60">
        <f t="shared" si="17"/>
        <v>912.255381389582</v>
      </c>
      <c r="DT58" s="60">
        <f ca="1">AVERAGE(OFFSET($DS$3,0,0,'Données projet'!$E$14+1,1))-AVERAGE(OFFSET($H$3,0,0,'Données projet'!$E$14+1,1))</f>
        <v>661.93515988633499</v>
      </c>
      <c r="DU58" s="60">
        <f t="shared" si="44"/>
        <v>341.9250949809848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56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258.33333333333331</v>
      </c>
      <c r="EH58" s="13">
        <f>VLOOKUP(A58,'Données projet'!$A$191:$I$211,9,0)</f>
        <v>6.6666666666666625</v>
      </c>
      <c r="EI58" s="13">
        <f t="array" ref="EI58">INDEX(EH:EH,MIN(IF(ISNUMBER(EH58:EH254),ROW(EH58:EH254),"")))</f>
        <v>6.6666666666666625</v>
      </c>
      <c r="EJ58" s="13">
        <f>IF('Données projet'!$A$192&gt;35,EJ57+EI58-ER57,IF(A58&lt;'Données projet'!$A$192,$EG$205^A58,IF(A58='Données projet'!$A$192,'Données projet'!$B$192,EJ57+EI58-ER57)))</f>
        <v>258.33333333333337</v>
      </c>
      <c r="EK58" s="18">
        <f>EJ58*VLOOKUP('Données projet'!$B$15,Paramètres!$A$1:$I$89,3,0)*VLOOKUP('Données projet'!$B$15,Paramètres!$A$1:$I$89,5,0)</f>
        <v>173.29000000000002</v>
      </c>
      <c r="EL58" s="14">
        <f t="shared" si="45"/>
        <v>43.826050112896048</v>
      </c>
      <c r="EM58" s="22">
        <f t="shared" si="19"/>
        <v>378.14378727996063</v>
      </c>
      <c r="EN58" s="60">
        <f t="shared" si="20"/>
        <v>636.46624276043201</v>
      </c>
      <c r="EO58" s="60">
        <f ca="1">AVERAGE(OFFSET($EN$3,0,0,'Données projet'!$E$15+1,1))-AVERAGE(OFFSET($H$3,0,0,'Données projet'!$E$15+1,1))</f>
        <v>396.0878652679051</v>
      </c>
      <c r="EP58" s="60">
        <f t="shared" si="46"/>
        <v>327.26339199235406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278.60000000000002</v>
      </c>
      <c r="FC58" s="13">
        <f>VLOOKUP(A58,'Données projet'!$A$217:$I$237,9,0)</f>
        <v>7.3600000000000083</v>
      </c>
      <c r="FD58" s="13">
        <f t="array" ref="FD58">INDEX(FC:FC,MIN(IF(ISNUMBER(FC58:FC254),ROW(FC58:FC254),"")))</f>
        <v>7.3600000000000083</v>
      </c>
      <c r="FE58" s="13">
        <f>IF('Données projet'!$A$218&gt;35,FE57+FD58-FM57,IF(A58&lt;'Données projet'!$A$218,$FB$205^A58,IF(A58='Données projet'!$A$218,'Données projet'!$B$218,FE57+FD58-FM57)))</f>
        <v>278.59999999999997</v>
      </c>
      <c r="FF58" s="18">
        <f>FE58*VLOOKUP('Données projet'!$B$16,Paramètres!$A$1:$I$89,3,0)*VLOOKUP('Données projet'!$B$16,Paramètres!$A$1:$I$89,5,0)</f>
        <v>204.26951999999997</v>
      </c>
      <c r="FG58" s="14">
        <f t="shared" si="47"/>
        <v>50.681322367447613</v>
      </c>
      <c r="FH58" s="22">
        <f t="shared" si="22"/>
        <v>444.03938378997123</v>
      </c>
      <c r="FI58" s="60">
        <f t="shared" si="23"/>
        <v>702.3618392704426</v>
      </c>
      <c r="FJ58" s="60">
        <f ca="1">AVERAGE(OFFSET($FI$3,0,0,'Données projet'!$E$16+1,1))-AVERAGE(OFFSET($H$3,0,0,'Données projet'!$E$16+1,1))</f>
        <v>368.35775920359396</v>
      </c>
      <c r="FK58" s="60">
        <f t="shared" si="48"/>
        <v>395.5218438652638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341</v>
      </c>
      <c r="FX58" s="13">
        <f>VLOOKUP(A58,'Données projet'!$A$243:$I$263,9,0)</f>
        <v>13.4</v>
      </c>
      <c r="FY58" s="13">
        <f t="array" ref="FY58">INDEX(FX:FX,MIN(IF(ISNUMBER(FX58:FX254),ROW(FX58:FX254),"")))</f>
        <v>13.4</v>
      </c>
      <c r="FZ58" s="13">
        <f>IF('Données projet'!$A$244&gt;35,FZ57+FY58-GH57,IF(A58&lt;'Données projet'!$A$244,$FW$205^A58,IF(A58='Données projet'!$A$244,'Données projet'!$B$244,FZ57+FY58-GH57)))</f>
        <v>341.00000000000006</v>
      </c>
      <c r="GA58" s="18">
        <f>FZ58*VLOOKUP('Données projet'!$B$17,Paramètres!$A$1:$I$89,3,0)*VLOOKUP('Données projet'!$B$17,Paramètres!$A$1:$I$89,5,0)</f>
        <v>292.57800000000009</v>
      </c>
      <c r="GB58" s="14">
        <f t="shared" si="49"/>
        <v>69.618265950541101</v>
      </c>
      <c r="GC58" s="22">
        <f t="shared" si="25"/>
        <v>630.82516319719264</v>
      </c>
      <c r="GD58" s="60">
        <f t="shared" si="26"/>
        <v>889.14761867766401</v>
      </c>
      <c r="GE58" s="60">
        <f ca="1">AVERAGE(OFFSET($GD$3,0,0,'Données projet'!$E$17+1,1))-AVERAGE(OFFSET($H$3,0,0,'Données projet'!$E$17+1,1))</f>
        <v>701.44583662096022</v>
      </c>
      <c r="GF58" s="60">
        <f t="shared" si="50"/>
        <v>331.25104323342907</v>
      </c>
      <c r="GG58" s="16">
        <f>IF(ISNA(VLOOKUP(A58,'Données projet'!$A$243:$I$263,3,0)),0,VLOOKUP(A58,'Données projet'!$A$243:$I$263,3,0))</f>
        <v>4</v>
      </c>
      <c r="GH58" s="16">
        <f>IF(ISNA(VLOOKUP(A58,'Données projet'!$A$243:$I$263,4,0)),0,VLOOKUP(A58,'Données projet'!$A$243:$I$263,4,0))</f>
        <v>70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266</v>
      </c>
      <c r="GS58" s="13">
        <f>VLOOKUP(A58,'Données projet'!$A$269:$I$289,9,0)</f>
        <v>7.6</v>
      </c>
      <c r="GT58" s="13">
        <f t="array" ref="GT58">INDEX(GS:GS,MIN(IF(ISNUMBER(GS58:GS254),ROW(GS58:GS254),"")))</f>
        <v>7.6</v>
      </c>
      <c r="GU58" s="13">
        <f>IF('Données projet'!$A$270&gt;35,GU57+GT58-HC57,IF(A58&lt;'Données projet'!$A$270,$GR$205^A58,IF(A58='Données projet'!$A$270,'Données projet'!$B$270,GU57+GT58-HC57)))</f>
        <v>266</v>
      </c>
      <c r="GV58" s="18">
        <f>GU58*VLOOKUP('Données projet'!$B$18,Paramètres!$A$1:$I$89,3,0)*VLOOKUP('Données projet'!$B$18,Paramètres!$A$1:$I$89,5,0)</f>
        <v>215.7792</v>
      </c>
      <c r="GW58" s="14">
        <f t="shared" si="51"/>
        <v>53.196483976998607</v>
      </c>
      <c r="GX58" s="22">
        <f t="shared" si="28"/>
        <v>468.46598292660588</v>
      </c>
      <c r="GY58" s="60">
        <f t="shared" si="29"/>
        <v>726.78843840707725</v>
      </c>
      <c r="GZ58" s="60">
        <f ca="1">AVERAGE(OFFSET($GY$3,0,0,'Données projet'!$E$18+1,1))-AVERAGE(OFFSET($H$3,0,0,'Données projet'!$E$18+1,1))</f>
        <v>272.69564942740931</v>
      </c>
      <c r="HA58" s="60">
        <f t="shared" si="52"/>
        <v>316.57989180609252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25">
      <c r="A59" s="11">
        <f t="shared" si="31"/>
        <v>56</v>
      </c>
      <c r="B59" s="75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8">
        <f t="shared" si="1"/>
        <v>183.33333333333334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0">
        <f t="shared" si="0"/>
        <v>721.47875790189846</v>
      </c>
      <c r="S59" s="60">
        <f ca="1">AVERAGE(OFFSET($R$3,0,0,'Données projet'!$E$9+1,1))-AVERAGE(OFFSET($H$3,0,0,'Données projet'!$E$9+1,1))</f>
        <v>570.08763950759544</v>
      </c>
      <c r="T59" s="60">
        <f t="shared" si="34"/>
        <v>297.32483725004136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6.2799999999999958</v>
      </c>
      <c r="AI59" s="14">
        <f>IF('Données projet'!$A$62&gt;35,AI58+AH59-AQ58,IF(A59&lt;'Données projet'!$A$62,$AF$205^A59,IF(A59='Données projet'!$A$62,'Données projet'!$B$62,AI58+AH59-AQ58)))</f>
        <v>284.87999999999994</v>
      </c>
      <c r="AJ59" s="14">
        <f>AI59*VLOOKUP('Données projet'!$B$10,Paramètres!$A$1:$I$89,3,0)*VLOOKUP('Données projet'!$B$10,Paramètres!$A$1:$I$89,5,0)</f>
        <v>226.65052799999998</v>
      </c>
      <c r="AK59" s="14">
        <f t="shared" si="35"/>
        <v>55.557830188244751</v>
      </c>
      <c r="AL59" s="22">
        <f t="shared" si="4"/>
        <v>491.51289051119289</v>
      </c>
      <c r="AM59" s="60">
        <f t="shared" si="5"/>
        <v>750.44270644981464</v>
      </c>
      <c r="AN59" s="60">
        <f ca="1">AVERAGE(OFFSET($AM$3,0,0,'Données projet'!$E$10+1,1))-AVERAGE(OFFSET($H$3,0,0,'Données projet'!$E$10+1,1))</f>
        <v>394.49874384716014</v>
      </c>
      <c r="AO59" s="60">
        <f t="shared" si="36"/>
        <v>423.72519584013378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5.3846153846153815</v>
      </c>
      <c r="BD59" s="13">
        <f>IF('Données projet'!$A$88&gt;35,BD58+BC59-BL58,IF(A59&lt;'Données projet'!$A$88,$BA$205^A59,IF(A59='Données projet'!$A$88,'Données projet'!$B$88,BD58+BC59-BL58)))</f>
        <v>186.15384615384605</v>
      </c>
      <c r="BE59" s="14">
        <f>BD59*VLOOKUP('Données projet'!$B$11,Paramètres!$A$1:$I$89,3,0)*VLOOKUP('Données projet'!$B$11,Paramètres!$A$1:$I$89,5,0)</f>
        <v>177.14399999999989</v>
      </c>
      <c r="BF59" s="14">
        <f t="shared" si="37"/>
        <v>44.6861885307368</v>
      </c>
      <c r="BG59" s="22">
        <f t="shared" si="7"/>
        <v>386.35424502436632</v>
      </c>
      <c r="BH59" s="60">
        <f t="shared" si="8"/>
        <v>645.28406096298806</v>
      </c>
      <c r="BI59" s="60">
        <f ca="1">AVERAGE(OFFSET($BH$3,0,0,'Données projet'!$E$11+1,1))-AVERAGE(OFFSET($H$3,0,0,'Données projet'!$E$11+1,1))</f>
        <v>441.15969139782891</v>
      </c>
      <c r="BJ59" s="60">
        <f t="shared" si="38"/>
        <v>315.06466790224783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9.375</v>
      </c>
      <c r="BY59" s="13">
        <f>IF('Données projet'!$A$114&gt;35,BY58+BX59-CG58,IF(A59&lt;'Données projet'!$A$114,$BV$205^A59,IF(A59='Données projet'!$A$114,'Données projet'!$B$114,BY58+BX59-CG58)))</f>
        <v>259.49999999999994</v>
      </c>
      <c r="BZ59" s="14">
        <f>BY59*VLOOKUP('Données projet'!$B$12,Paramètres!$A$1:$I$89,3,0)*VLOOKUP('Données projet'!$B$12,Paramètres!$A$1:$I$89,5,0)</f>
        <v>202.40999999999997</v>
      </c>
      <c r="CA59" s="14">
        <f t="shared" si="39"/>
        <v>50.273442991661867</v>
      </c>
      <c r="CB59" s="22">
        <f t="shared" si="10"/>
        <v>440.09032987714431</v>
      </c>
      <c r="CC59" s="60">
        <f t="shared" si="11"/>
        <v>699.020145815766</v>
      </c>
      <c r="CD59" s="60">
        <f ca="1">AVERAGE(OFFSET($CC$3,0,0,'Données projet'!$E$12+1,1))-AVERAGE(OFFSET($H$3,0,0,'Données projet'!$E$12+1,1))</f>
        <v>312.59632808777332</v>
      </c>
      <c r="CE59" s="60">
        <f t="shared" si="40"/>
        <v>302.59481222418219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9.4</v>
      </c>
      <c r="CT59" s="13">
        <f>IF('Données projet'!$A$140&gt;35,CT58+CS59-DB58,IF(A59&lt;'Données projet'!$A$140,$CQ$205^A59,IF(A59='Données projet'!$A$140,'Données projet'!$B$140,CT58+CS59-DB58)))</f>
        <v>235.39999999999998</v>
      </c>
      <c r="CU59" s="18">
        <f>CT59*VLOOKUP('Données projet'!$B$13,Paramètres!$A$1:$I$89,3,0)*VLOOKUP('Données projet'!$B$13,Paramètres!$A$1:$I$89,5,0)</f>
        <v>227.67887999999996</v>
      </c>
      <c r="CV59" s="14">
        <f t="shared" si="41"/>
        <v>55.780505229774469</v>
      </c>
      <c r="CW59" s="22">
        <f t="shared" si="13"/>
        <v>493.69176260852379</v>
      </c>
      <c r="CX59" s="60">
        <f t="shared" si="14"/>
        <v>752.62157854714553</v>
      </c>
      <c r="CY59" s="60">
        <f ca="1">AVERAGE(OFFSET($CX$3,0,0,'Données projet'!$E$13+1,1))-AVERAGE(OFFSET($H$3,0,0,'Données projet'!$E$13+1,1))</f>
        <v>603.52431522262032</v>
      </c>
      <c r="CZ59" s="60">
        <f t="shared" si="42"/>
        <v>313.56299786481338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9.4</v>
      </c>
      <c r="DO59" s="13">
        <f>IF('Données projet'!$A$166&gt;35,DO58+DN59-DW58,IF(A59&lt;'Données projet'!$A$166,$DL$205^A59,IF(A59='Données projet'!$A$166,'Données projet'!$B$166,DO58+DN59-DW58)))</f>
        <v>235.39999999999998</v>
      </c>
      <c r="DP59" s="18">
        <f>DO59*VLOOKUP('Données projet'!$B$14,Paramètres!$A$1:$I$89,3,0)*VLOOKUP('Données projet'!$B$14,Paramètres!$A$1:$I$89,5,0)</f>
        <v>253.38455999999994</v>
      </c>
      <c r="DQ59" s="14">
        <f t="shared" si="43"/>
        <v>61.310125241957316</v>
      </c>
      <c r="DR59" s="22">
        <f t="shared" si="16"/>
        <v>548.09324346307551</v>
      </c>
      <c r="DS59" s="60">
        <f t="shared" si="17"/>
        <v>807.02305940169731</v>
      </c>
      <c r="DT59" s="60">
        <f ca="1">AVERAGE(OFFSET($DS$3,0,0,'Données projet'!$E$14+1,1))-AVERAGE(OFFSET($H$3,0,0,'Données projet'!$E$14+1,1))</f>
        <v>661.93515988633499</v>
      </c>
      <c r="DU59" s="60">
        <f t="shared" si="44"/>
        <v>341.9250949809848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6.1538461538461551</v>
      </c>
      <c r="EJ59" s="13">
        <f>IF('Données projet'!$A$192&gt;35,EJ58+EI59-ER58,IF(A59&lt;'Données projet'!$A$192,$EG$205^A59,IF(A59='Données projet'!$A$192,'Données projet'!$B$192,EJ58+EI59-ER58)))</f>
        <v>264.4871794871795</v>
      </c>
      <c r="EK59" s="18">
        <f>EJ59*VLOOKUP('Données projet'!$B$15,Paramètres!$A$1:$I$89,3,0)*VLOOKUP('Données projet'!$B$15,Paramètres!$A$1:$I$89,5,0)</f>
        <v>177.41800000000001</v>
      </c>
      <c r="EL59" s="14">
        <f t="shared" si="45"/>
        <v>44.747256581968642</v>
      </c>
      <c r="EM59" s="22">
        <f t="shared" si="19"/>
        <v>386.93782188026211</v>
      </c>
      <c r="EN59" s="60">
        <f t="shared" si="20"/>
        <v>645.86763781888385</v>
      </c>
      <c r="EO59" s="60">
        <f ca="1">AVERAGE(OFFSET($EN$3,0,0,'Données projet'!$E$15+1,1))-AVERAGE(OFFSET($H$3,0,0,'Données projet'!$E$15+1,1))</f>
        <v>396.0878652679051</v>
      </c>
      <c r="EP59" s="60">
        <f t="shared" si="46"/>
        <v>327.26339199235406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6.2799999999999958</v>
      </c>
      <c r="FE59" s="13">
        <f>IF('Données projet'!$A$218&gt;35,FE58+FD59-FM58,IF(A59&lt;'Données projet'!$A$218,$FB$205^A59,IF(A59='Données projet'!$A$218,'Données projet'!$B$218,FE58+FD59-FM58)))</f>
        <v>284.87999999999994</v>
      </c>
      <c r="FF59" s="18">
        <f>FE59*VLOOKUP('Données projet'!$B$16,Paramètres!$A$1:$I$89,3,0)*VLOOKUP('Données projet'!$B$16,Paramètres!$A$1:$I$89,5,0)</f>
        <v>208.87401599999995</v>
      </c>
      <c r="FG59" s="14">
        <f t="shared" si="47"/>
        <v>51.689452927517024</v>
      </c>
      <c r="FH59" s="22">
        <f t="shared" si="22"/>
        <v>453.81470838209202</v>
      </c>
      <c r="FI59" s="60">
        <f t="shared" si="23"/>
        <v>712.74452432071371</v>
      </c>
      <c r="FJ59" s="60">
        <f ca="1">AVERAGE(OFFSET($FI$3,0,0,'Données projet'!$E$16+1,1))-AVERAGE(OFFSET($H$3,0,0,'Données projet'!$E$16+1,1))</f>
        <v>368.35775920359396</v>
      </c>
      <c r="FK59" s="60">
        <f t="shared" si="48"/>
        <v>395.5218438652638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13</v>
      </c>
      <c r="FZ59" s="13">
        <f>IF('Données projet'!$A$244&gt;35,FZ58+FY59-GH58,IF(A59&lt;'Données projet'!$A$244,$FW$205^A59,IF(A59='Données projet'!$A$244,'Données projet'!$B$244,FZ58+FY59-GH58)))</f>
        <v>284.00000000000006</v>
      </c>
      <c r="GA59" s="18">
        <f>FZ59*VLOOKUP('Données projet'!$B$17,Paramètres!$A$1:$I$89,3,0)*VLOOKUP('Données projet'!$B$17,Paramètres!$A$1:$I$89,5,0)</f>
        <v>243.67200000000008</v>
      </c>
      <c r="GB59" s="14">
        <f t="shared" si="49"/>
        <v>59.228879636606202</v>
      </c>
      <c r="GC59" s="22">
        <f t="shared" si="25"/>
        <v>527.55236536708924</v>
      </c>
      <c r="GD59" s="60">
        <f t="shared" si="26"/>
        <v>786.48218130571104</v>
      </c>
      <c r="GE59" s="60">
        <f ca="1">AVERAGE(OFFSET($GD$3,0,0,'Données projet'!$E$17+1,1))-AVERAGE(OFFSET($H$3,0,0,'Données projet'!$E$17+1,1))</f>
        <v>701.44583662096022</v>
      </c>
      <c r="GF59" s="60">
        <f t="shared" si="50"/>
        <v>331.25104323342907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7.4</v>
      </c>
      <c r="GU59" s="13">
        <f>IF('Données projet'!$A$270&gt;35,GU58+GT59-HC58,IF(A59&lt;'Données projet'!$A$270,$GR$205^A59,IF(A59='Données projet'!$A$270,'Données projet'!$B$270,GU58+GT59-HC58)))</f>
        <v>273.39999999999998</v>
      </c>
      <c r="GV59" s="18">
        <f>GU59*VLOOKUP('Données projet'!$B$18,Paramètres!$A$1:$I$89,3,0)*VLOOKUP('Données projet'!$B$18,Paramètres!$A$1:$I$89,5,0)</f>
        <v>221.78208000000001</v>
      </c>
      <c r="GW59" s="14">
        <f t="shared" si="51"/>
        <v>54.502029950220781</v>
      </c>
      <c r="GX59" s="22">
        <f t="shared" si="28"/>
        <v>481.19482482996779</v>
      </c>
      <c r="GY59" s="60">
        <f t="shared" si="29"/>
        <v>740.12464076858953</v>
      </c>
      <c r="GZ59" s="60">
        <f ca="1">AVERAGE(OFFSET($GY$3,0,0,'Données projet'!$E$18+1,1))-AVERAGE(OFFSET($H$3,0,0,'Données projet'!$E$18+1,1))</f>
        <v>272.69564942740931</v>
      </c>
      <c r="HA59" s="60">
        <f t="shared" si="52"/>
        <v>316.57989180609252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25">
      <c r="A60" s="11">
        <f t="shared" si="31"/>
        <v>57</v>
      </c>
      <c r="B60" s="75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8">
        <f t="shared" si="1"/>
        <v>183.33333333333334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0">
        <f t="shared" si="0"/>
        <v>740.11297380909809</v>
      </c>
      <c r="S60" s="60">
        <f ca="1">AVERAGE(OFFSET($R$3,0,0,'Données projet'!$E$9+1,1))-AVERAGE(OFFSET($H$3,0,0,'Données projet'!$E$9+1,1))</f>
        <v>570.08763950759544</v>
      </c>
      <c r="T60" s="60">
        <f t="shared" si="34"/>
        <v>297.32483725004136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6.2799999999999958</v>
      </c>
      <c r="AI60" s="14">
        <f>IF('Données projet'!$A$62&gt;35,AI59+AH60-AQ59,IF(A60&lt;'Données projet'!$A$62,$AF$205^A60,IF(A60='Données projet'!$A$62,'Données projet'!$B$62,AI59+AH60-AQ59)))</f>
        <v>291.15999999999991</v>
      </c>
      <c r="AJ60" s="14">
        <f>AI60*VLOOKUP('Données projet'!$B$10,Paramètres!$A$1:$I$89,3,0)*VLOOKUP('Données projet'!$B$10,Paramètres!$A$1:$I$89,5,0)</f>
        <v>231.64689599999994</v>
      </c>
      <c r="AK60" s="14">
        <f t="shared" si="35"/>
        <v>56.63863094599396</v>
      </c>
      <c r="AL60" s="22">
        <f t="shared" si="4"/>
        <v>502.09729276427265</v>
      </c>
      <c r="AM60" s="60">
        <f t="shared" si="5"/>
        <v>761.62393281495042</v>
      </c>
      <c r="AN60" s="60">
        <f ca="1">AVERAGE(OFFSET($AM$3,0,0,'Données projet'!$E$10+1,1))-AVERAGE(OFFSET($H$3,0,0,'Données projet'!$E$10+1,1))</f>
        <v>394.49874384716014</v>
      </c>
      <c r="AO60" s="60">
        <f t="shared" si="36"/>
        <v>423.72519584013378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5.3846153846153815</v>
      </c>
      <c r="BD60" s="13">
        <f>IF('Données projet'!$A$88&gt;35,BD59+BC60-BL59,IF(A60&lt;'Données projet'!$A$88,$BA$205^A60,IF(A60='Données projet'!$A$88,'Données projet'!$B$88,BD59+BC60-BL59)))</f>
        <v>191.53846153846143</v>
      </c>
      <c r="BE60" s="14">
        <f>BD60*VLOOKUP('Données projet'!$B$11,Paramètres!$A$1:$I$89,3,0)*VLOOKUP('Données projet'!$B$11,Paramètres!$A$1:$I$89,5,0)</f>
        <v>182.26799999999992</v>
      </c>
      <c r="BF60" s="14">
        <f t="shared" si="37"/>
        <v>45.82640608003836</v>
      </c>
      <c r="BG60" s="22">
        <f t="shared" si="7"/>
        <v>397.26442392273333</v>
      </c>
      <c r="BH60" s="60">
        <f t="shared" si="8"/>
        <v>656.79106397341104</v>
      </c>
      <c r="BI60" s="60">
        <f ca="1">AVERAGE(OFFSET($BH$3,0,0,'Données projet'!$E$11+1,1))-AVERAGE(OFFSET($H$3,0,0,'Données projet'!$E$11+1,1))</f>
        <v>441.15969139782891</v>
      </c>
      <c r="BJ60" s="60">
        <f t="shared" si="38"/>
        <v>315.06466790224783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9.375</v>
      </c>
      <c r="BY60" s="13">
        <f>IF('Données projet'!$A$114&gt;35,BY59+BX60-CG59,IF(A60&lt;'Données projet'!$A$114,$BV$205^A60,IF(A60='Données projet'!$A$114,'Données projet'!$B$114,BY59+BX60-CG59)))</f>
        <v>268.87499999999994</v>
      </c>
      <c r="BZ60" s="14">
        <f>BY60*VLOOKUP('Données projet'!$B$12,Paramètres!$A$1:$I$89,3,0)*VLOOKUP('Données projet'!$B$12,Paramètres!$A$1:$I$89,5,0)</f>
        <v>209.72249999999997</v>
      </c>
      <c r="CA60" s="14">
        <f t="shared" si="39"/>
        <v>51.874940300502296</v>
      </c>
      <c r="CB60" s="22">
        <f t="shared" si="10"/>
        <v>455.61554185670815</v>
      </c>
      <c r="CC60" s="60">
        <f t="shared" si="11"/>
        <v>715.14218190738586</v>
      </c>
      <c r="CD60" s="60">
        <f ca="1">AVERAGE(OFFSET($CC$3,0,0,'Données projet'!$E$12+1,1))-AVERAGE(OFFSET($H$3,0,0,'Données projet'!$E$12+1,1))</f>
        <v>312.59632808777332</v>
      </c>
      <c r="CE60" s="60">
        <f t="shared" si="40"/>
        <v>302.59481222418219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9.4</v>
      </c>
      <c r="CT60" s="13">
        <f>IF('Données projet'!$A$140&gt;35,CT59+CS60-DB59,IF(A60&lt;'Données projet'!$A$140,$CQ$205^A60,IF(A60='Données projet'!$A$140,'Données projet'!$B$140,CT59+CS60-DB59)))</f>
        <v>244.79999999999998</v>
      </c>
      <c r="CU60" s="18">
        <f>CT60*VLOOKUP('Données projet'!$B$13,Paramètres!$A$1:$I$89,3,0)*VLOOKUP('Données projet'!$B$13,Paramètres!$A$1:$I$89,5,0)</f>
        <v>236.77055999999999</v>
      </c>
      <c r="CV60" s="14">
        <f t="shared" si="41"/>
        <v>57.744153841586929</v>
      </c>
      <c r="CW60" s="22">
        <f t="shared" si="13"/>
        <v>512.94645994076382</v>
      </c>
      <c r="CX60" s="60">
        <f t="shared" si="14"/>
        <v>772.47309999144159</v>
      </c>
      <c r="CY60" s="60">
        <f ca="1">AVERAGE(OFFSET($CX$3,0,0,'Données projet'!$E$13+1,1))-AVERAGE(OFFSET($H$3,0,0,'Données projet'!$E$13+1,1))</f>
        <v>603.52431522262032</v>
      </c>
      <c r="CZ60" s="60">
        <f t="shared" si="42"/>
        <v>313.56299786481338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9.4</v>
      </c>
      <c r="DO60" s="13">
        <f>IF('Données projet'!$A$166&gt;35,DO59+DN60-DW59,IF(A60&lt;'Données projet'!$A$166,$DL$205^A60,IF(A60='Données projet'!$A$166,'Données projet'!$B$166,DO59+DN60-DW59)))</f>
        <v>244.79999999999998</v>
      </c>
      <c r="DP60" s="18">
        <f>DO60*VLOOKUP('Données projet'!$B$14,Paramètres!$A$1:$I$89,3,0)*VLOOKUP('Données projet'!$B$14,Paramètres!$A$1:$I$89,5,0)</f>
        <v>263.50271999999995</v>
      </c>
      <c r="DQ60" s="14">
        <f t="shared" si="43"/>
        <v>63.468433809179686</v>
      </c>
      <c r="DR60" s="22">
        <f t="shared" si="16"/>
        <v>569.47475955098787</v>
      </c>
      <c r="DS60" s="60">
        <f t="shared" si="17"/>
        <v>829.00139960166553</v>
      </c>
      <c r="DT60" s="60">
        <f ca="1">AVERAGE(OFFSET($DS$3,0,0,'Données projet'!$E$14+1,1))-AVERAGE(OFFSET($H$3,0,0,'Données projet'!$E$14+1,1))</f>
        <v>661.93515988633499</v>
      </c>
      <c r="DU60" s="60">
        <f t="shared" si="44"/>
        <v>341.9250949809848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6.1538461538461551</v>
      </c>
      <c r="EJ60" s="13">
        <f>IF('Données projet'!$A$192&gt;35,EJ59+EI60-ER59,IF(A60&lt;'Données projet'!$A$192,$EG$205^A60,IF(A60='Données projet'!$A$192,'Données projet'!$B$192,EJ59+EI60-ER59)))</f>
        <v>270.64102564102564</v>
      </c>
      <c r="EK60" s="18">
        <f>EJ60*VLOOKUP('Données projet'!$B$15,Paramètres!$A$1:$I$89,3,0)*VLOOKUP('Données projet'!$B$15,Paramètres!$A$1:$I$89,5,0)</f>
        <v>181.54599999999999</v>
      </c>
      <c r="EL60" s="14">
        <f t="shared" si="45"/>
        <v>45.665971295569292</v>
      </c>
      <c r="EM60" s="22">
        <f t="shared" si="19"/>
        <v>395.7275166731165</v>
      </c>
      <c r="EN60" s="60">
        <f t="shared" si="20"/>
        <v>655.25415672379427</v>
      </c>
      <c r="EO60" s="60">
        <f ca="1">AVERAGE(OFFSET($EN$3,0,0,'Données projet'!$E$15+1,1))-AVERAGE(OFFSET($H$3,0,0,'Données projet'!$E$15+1,1))</f>
        <v>396.0878652679051</v>
      </c>
      <c r="EP60" s="60">
        <f t="shared" si="46"/>
        <v>327.26339199235406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6.2799999999999958</v>
      </c>
      <c r="FE60" s="13">
        <f>IF('Données projet'!$A$218&gt;35,FE59+FD60-FM59,IF(A60&lt;'Données projet'!$A$218,$FB$205^A60,IF(A60='Données projet'!$A$218,'Données projet'!$B$218,FE59+FD60-FM59)))</f>
        <v>291.15999999999991</v>
      </c>
      <c r="FF60" s="18">
        <f>FE60*VLOOKUP('Données projet'!$B$16,Paramètres!$A$1:$I$89,3,0)*VLOOKUP('Données projet'!$B$16,Paramètres!$A$1:$I$89,5,0)</f>
        <v>213.47851199999994</v>
      </c>
      <c r="FG60" s="14">
        <f t="shared" si="47"/>
        <v>52.694999755073347</v>
      </c>
      <c r="FH60" s="22">
        <f t="shared" si="22"/>
        <v>463.58553297341928</v>
      </c>
      <c r="FI60" s="60">
        <f t="shared" si="23"/>
        <v>723.11217302409705</v>
      </c>
      <c r="FJ60" s="60">
        <f ca="1">AVERAGE(OFFSET($FI$3,0,0,'Données projet'!$E$16+1,1))-AVERAGE(OFFSET($H$3,0,0,'Données projet'!$E$16+1,1))</f>
        <v>368.35775920359396</v>
      </c>
      <c r="FK60" s="60">
        <f t="shared" si="48"/>
        <v>395.5218438652638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13</v>
      </c>
      <c r="FZ60" s="13">
        <f>IF('Données projet'!$A$244&gt;35,FZ59+FY60-GH59,IF(A60&lt;'Données projet'!$A$244,$FW$205^A60,IF(A60='Données projet'!$A$244,'Données projet'!$B$244,FZ59+FY60-GH59)))</f>
        <v>297.00000000000006</v>
      </c>
      <c r="GA60" s="18">
        <f>FZ60*VLOOKUP('Données projet'!$B$17,Paramètres!$A$1:$I$89,3,0)*VLOOKUP('Données projet'!$B$17,Paramètres!$A$1:$I$89,5,0)</f>
        <v>254.82600000000008</v>
      </c>
      <c r="GB60" s="14">
        <f t="shared" si="49"/>
        <v>61.618203339594587</v>
      </c>
      <c r="GC60" s="22">
        <f t="shared" si="25"/>
        <v>551.14032081646064</v>
      </c>
      <c r="GD60" s="60">
        <f t="shared" si="26"/>
        <v>810.66696086713841</v>
      </c>
      <c r="GE60" s="60">
        <f ca="1">AVERAGE(OFFSET($GD$3,0,0,'Données projet'!$E$17+1,1))-AVERAGE(OFFSET($H$3,0,0,'Données projet'!$E$17+1,1))</f>
        <v>701.44583662096022</v>
      </c>
      <c r="GF60" s="60">
        <f t="shared" si="50"/>
        <v>331.25104323342907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7.4</v>
      </c>
      <c r="GU60" s="13">
        <f>IF('Données projet'!$A$270&gt;35,GU59+GT60-HC59,IF(A60&lt;'Données projet'!$A$270,$GR$205^A60,IF(A60='Données projet'!$A$270,'Données projet'!$B$270,GU59+GT60-HC59)))</f>
        <v>280.79999999999995</v>
      </c>
      <c r="GV60" s="18">
        <f>GU60*VLOOKUP('Données projet'!$B$18,Paramètres!$A$1:$I$89,3,0)*VLOOKUP('Données projet'!$B$18,Paramètres!$A$1:$I$89,5,0)</f>
        <v>227.78495999999998</v>
      </c>
      <c r="GW60" s="14">
        <f t="shared" si="51"/>
        <v>55.803468680001743</v>
      </c>
      <c r="GX60" s="22">
        <f t="shared" si="28"/>
        <v>493.91651328433619</v>
      </c>
      <c r="GY60" s="60">
        <f t="shared" si="29"/>
        <v>753.4431533350139</v>
      </c>
      <c r="GZ60" s="60">
        <f ca="1">AVERAGE(OFFSET($GY$3,0,0,'Données projet'!$E$18+1,1))-AVERAGE(OFFSET($H$3,0,0,'Données projet'!$E$18+1,1))</f>
        <v>272.69564942740931</v>
      </c>
      <c r="HA60" s="60">
        <f t="shared" si="52"/>
        <v>316.57989180609252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25">
      <c r="A61" s="11">
        <f t="shared" si="31"/>
        <v>58</v>
      </c>
      <c r="B61" s="75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8">
        <f t="shared" si="1"/>
        <v>183.33333333333334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0">
        <f t="shared" si="0"/>
        <v>758.7224531863385</v>
      </c>
      <c r="S61" s="60">
        <f ca="1">AVERAGE(OFFSET($R$3,0,0,'Données projet'!$E$9+1,1))-AVERAGE(OFFSET($H$3,0,0,'Données projet'!$E$9+1,1))</f>
        <v>570.08763950759544</v>
      </c>
      <c r="T61" s="60">
        <f t="shared" si="34"/>
        <v>297.32483725004136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6.2799999999999958</v>
      </c>
      <c r="AI61" s="14">
        <f>IF('Données projet'!$A$62&gt;35,AI60+AH61-AQ60,IF(A61&lt;'Données projet'!$A$62,$AF$205^A61,IF(A61='Données projet'!$A$62,'Données projet'!$B$62,AI60+AH61-AQ60)))</f>
        <v>297.43999999999988</v>
      </c>
      <c r="AJ61" s="14">
        <f>AI61*VLOOKUP('Données projet'!$B$10,Paramètres!$A$1:$I$89,3,0)*VLOOKUP('Données projet'!$B$10,Paramètres!$A$1:$I$89,5,0)</f>
        <v>236.64326399999993</v>
      </c>
      <c r="AK61" s="14">
        <f t="shared" si="35"/>
        <v>57.716721405473052</v>
      </c>
      <c r="AL61" s="22">
        <f t="shared" si="4"/>
        <v>512.67697458119881</v>
      </c>
      <c r="AM61" s="60">
        <f t="shared" si="5"/>
        <v>772.79008517988723</v>
      </c>
      <c r="AN61" s="60">
        <f ca="1">AVERAGE(OFFSET($AM$3,0,0,'Données projet'!$E$10+1,1))-AVERAGE(OFFSET($H$3,0,0,'Données projet'!$E$10+1,1))</f>
        <v>394.49874384716014</v>
      </c>
      <c r="AO61" s="60">
        <f t="shared" si="36"/>
        <v>423.72519584013378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5.3846153846153815</v>
      </c>
      <c r="BD61" s="13">
        <f>IF('Données projet'!$A$88&gt;35,BD60+BC61-BL60,IF(A61&lt;'Données projet'!$A$88,$BA$205^A61,IF(A61='Données projet'!$A$88,'Données projet'!$B$88,BD60+BC61-BL60)))</f>
        <v>196.92307692307682</v>
      </c>
      <c r="BE61" s="14">
        <f>BD61*VLOOKUP('Données projet'!$B$11,Paramètres!$A$1:$I$89,3,0)*VLOOKUP('Données projet'!$B$11,Paramètres!$A$1:$I$89,5,0)</f>
        <v>187.39199999999988</v>
      </c>
      <c r="BF61" s="14">
        <f t="shared" si="37"/>
        <v>46.962898087285787</v>
      </c>
      <c r="BG61" s="22">
        <f t="shared" si="7"/>
        <v>408.16811416868921</v>
      </c>
      <c r="BH61" s="60">
        <f t="shared" si="8"/>
        <v>668.28122476737758</v>
      </c>
      <c r="BI61" s="60">
        <f ca="1">AVERAGE(OFFSET($BH$3,0,0,'Données projet'!$E$11+1,1))-AVERAGE(OFFSET($H$3,0,0,'Données projet'!$E$11+1,1))</f>
        <v>441.15969139782891</v>
      </c>
      <c r="BJ61" s="60">
        <f t="shared" si="38"/>
        <v>315.06466790224783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9.375</v>
      </c>
      <c r="BY61" s="13">
        <f>IF('Données projet'!$A$114&gt;35,BY60+BX61-CG60,IF(A61&lt;'Données projet'!$A$114,$BV$205^A61,IF(A61='Données projet'!$A$114,'Données projet'!$B$114,BY60+BX61-CG60)))</f>
        <v>278.24999999999994</v>
      </c>
      <c r="BZ61" s="14">
        <f>BY61*VLOOKUP('Données projet'!$B$12,Paramètres!$A$1:$I$89,3,0)*VLOOKUP('Données projet'!$B$12,Paramètres!$A$1:$I$89,5,0)</f>
        <v>217.03499999999997</v>
      </c>
      <c r="CA61" s="14">
        <f t="shared" si="39"/>
        <v>53.469949591969474</v>
      </c>
      <c r="CB61" s="22">
        <f t="shared" si="10"/>
        <v>471.12945387268002</v>
      </c>
      <c r="CC61" s="60">
        <f t="shared" si="11"/>
        <v>731.2425644713685</v>
      </c>
      <c r="CD61" s="60">
        <f ca="1">AVERAGE(OFFSET($CC$3,0,0,'Données projet'!$E$12+1,1))-AVERAGE(OFFSET($H$3,0,0,'Données projet'!$E$12+1,1))</f>
        <v>312.59632808777332</v>
      </c>
      <c r="CE61" s="60">
        <f t="shared" si="40"/>
        <v>302.59481222418219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9.4</v>
      </c>
      <c r="CT61" s="13">
        <f>IF('Données projet'!$A$140&gt;35,CT60+CS61-DB60,IF(A61&lt;'Données projet'!$A$140,$CQ$205^A61,IF(A61='Données projet'!$A$140,'Données projet'!$B$140,CT60+CS61-DB60)))</f>
        <v>254.2</v>
      </c>
      <c r="CU61" s="18">
        <f>CT61*VLOOKUP('Données projet'!$B$13,Paramètres!$A$1:$I$89,3,0)*VLOOKUP('Données projet'!$B$13,Paramètres!$A$1:$I$89,5,0)</f>
        <v>245.86223999999999</v>
      </c>
      <c r="CV61" s="14">
        <f t="shared" si="41"/>
        <v>59.699043025687963</v>
      </c>
      <c r="CW61" s="22">
        <f t="shared" si="13"/>
        <v>532.18590126973982</v>
      </c>
      <c r="CX61" s="60">
        <f t="shared" si="14"/>
        <v>792.29901186842824</v>
      </c>
      <c r="CY61" s="60">
        <f ca="1">AVERAGE(OFFSET($CX$3,0,0,'Données projet'!$E$13+1,1))-AVERAGE(OFFSET($H$3,0,0,'Données projet'!$E$13+1,1))</f>
        <v>603.52431522262032</v>
      </c>
      <c r="CZ61" s="60">
        <f t="shared" si="42"/>
        <v>313.56299786481338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9.4</v>
      </c>
      <c r="DO61" s="13">
        <f>IF('Données projet'!$A$166&gt;35,DO60+DN61-DW60,IF(A61&lt;'Données projet'!$A$166,$DL$205^A61,IF(A61='Données projet'!$A$166,'Données projet'!$B$166,DO60+DN61-DW60)))</f>
        <v>254.2</v>
      </c>
      <c r="DP61" s="18">
        <f>DO61*VLOOKUP('Données projet'!$B$14,Paramètres!$A$1:$I$89,3,0)*VLOOKUP('Données projet'!$B$14,Paramètres!$A$1:$I$89,5,0)</f>
        <v>273.62087999999994</v>
      </c>
      <c r="DQ61" s="14">
        <f t="shared" si="43"/>
        <v>65.617114611149361</v>
      </c>
      <c r="DR61" s="22">
        <f t="shared" si="16"/>
        <v>590.83950728108505</v>
      </c>
      <c r="DS61" s="60">
        <f t="shared" si="17"/>
        <v>850.95261787977347</v>
      </c>
      <c r="DT61" s="60">
        <f ca="1">AVERAGE(OFFSET($DS$3,0,0,'Données projet'!$E$14+1,1))-AVERAGE(OFFSET($H$3,0,0,'Données projet'!$E$14+1,1))</f>
        <v>661.93515988633499</v>
      </c>
      <c r="DU61" s="60">
        <f t="shared" si="44"/>
        <v>341.9250949809848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6.1538461538461551</v>
      </c>
      <c r="EJ61" s="13">
        <f>IF('Données projet'!$A$192&gt;35,EJ60+EI61-ER60,IF(A61&lt;'Données projet'!$A$192,$EG$205^A61,IF(A61='Données projet'!$A$192,'Données projet'!$B$192,EJ60+EI61-ER60)))</f>
        <v>276.79487179487177</v>
      </c>
      <c r="EK61" s="18">
        <f>EJ61*VLOOKUP('Données projet'!$B$15,Paramètres!$A$1:$I$89,3,0)*VLOOKUP('Données projet'!$B$15,Paramètres!$A$1:$I$89,5,0)</f>
        <v>185.67399999999998</v>
      </c>
      <c r="EL61" s="14">
        <f t="shared" si="45"/>
        <v>46.582257433649239</v>
      </c>
      <c r="EM61" s="22">
        <f t="shared" si="19"/>
        <v>404.51298169693899</v>
      </c>
      <c r="EN61" s="60">
        <f t="shared" si="20"/>
        <v>664.62609229562736</v>
      </c>
      <c r="EO61" s="60">
        <f ca="1">AVERAGE(OFFSET($EN$3,0,0,'Données projet'!$E$15+1,1))-AVERAGE(OFFSET($H$3,0,0,'Données projet'!$E$15+1,1))</f>
        <v>396.0878652679051</v>
      </c>
      <c r="EP61" s="60">
        <f t="shared" si="46"/>
        <v>327.26339199235406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6.2799999999999958</v>
      </c>
      <c r="FE61" s="13">
        <f>IF('Données projet'!$A$218&gt;35,FE60+FD61-FM60,IF(A61&lt;'Données projet'!$A$218,$FB$205^A61,IF(A61='Données projet'!$A$218,'Données projet'!$B$218,FE60+FD61-FM60)))</f>
        <v>297.43999999999988</v>
      </c>
      <c r="FF61" s="18">
        <f>FE61*VLOOKUP('Données projet'!$B$16,Paramètres!$A$1:$I$89,3,0)*VLOOKUP('Données projet'!$B$16,Paramètres!$A$1:$I$89,5,0)</f>
        <v>218.08300799999989</v>
      </c>
      <c r="FG61" s="14">
        <f t="shared" si="47"/>
        <v>53.698024996844545</v>
      </c>
      <c r="FH61" s="22">
        <f t="shared" si="22"/>
        <v>473.35196580283736</v>
      </c>
      <c r="FI61" s="60">
        <f t="shared" si="23"/>
        <v>733.46507640152572</v>
      </c>
      <c r="FJ61" s="60">
        <f ca="1">AVERAGE(OFFSET($FI$3,0,0,'Données projet'!$E$16+1,1))-AVERAGE(OFFSET($H$3,0,0,'Données projet'!$E$16+1,1))</f>
        <v>368.35775920359396</v>
      </c>
      <c r="FK61" s="60">
        <f t="shared" si="48"/>
        <v>395.5218438652638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13</v>
      </c>
      <c r="FZ61" s="13">
        <f>IF('Données projet'!$A$244&gt;35,FZ60+FY61-GH60,IF(A61&lt;'Données projet'!$A$244,$FW$205^A61,IF(A61='Données projet'!$A$244,'Données projet'!$B$244,FZ60+FY61-GH60)))</f>
        <v>310.00000000000006</v>
      </c>
      <c r="GA61" s="18">
        <f>FZ61*VLOOKUP('Données projet'!$B$17,Paramètres!$A$1:$I$89,3,0)*VLOOKUP('Données projet'!$B$17,Paramètres!$A$1:$I$89,5,0)</f>
        <v>265.98000000000008</v>
      </c>
      <c r="GB61" s="14">
        <f t="shared" si="49"/>
        <v>63.995380422211646</v>
      </c>
      <c r="GC61" s="22">
        <f t="shared" si="25"/>
        <v>574.7071209020188</v>
      </c>
      <c r="GD61" s="60">
        <f t="shared" si="26"/>
        <v>834.82023150070722</v>
      </c>
      <c r="GE61" s="60">
        <f ca="1">AVERAGE(OFFSET($GD$3,0,0,'Données projet'!$E$17+1,1))-AVERAGE(OFFSET($H$3,0,0,'Données projet'!$E$17+1,1))</f>
        <v>701.44583662096022</v>
      </c>
      <c r="GF61" s="60">
        <f t="shared" si="50"/>
        <v>331.25104323342907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7.4</v>
      </c>
      <c r="GU61" s="13">
        <f>IF('Données projet'!$A$270&gt;35,GU60+GT61-HC60,IF(A61&lt;'Données projet'!$A$270,$GR$205^A61,IF(A61='Données projet'!$A$270,'Données projet'!$B$270,GU60+GT61-HC60)))</f>
        <v>288.19999999999993</v>
      </c>
      <c r="GV61" s="18">
        <f>GU61*VLOOKUP('Données projet'!$B$18,Paramètres!$A$1:$I$89,3,0)*VLOOKUP('Données projet'!$B$18,Paramètres!$A$1:$I$89,5,0)</f>
        <v>233.78783999999996</v>
      </c>
      <c r="GW61" s="14">
        <f t="shared" si="51"/>
        <v>57.100920847849451</v>
      </c>
      <c r="GX61" s="22">
        <f t="shared" si="28"/>
        <v>506.63125847667106</v>
      </c>
      <c r="GY61" s="60">
        <f t="shared" si="29"/>
        <v>766.74436907535949</v>
      </c>
      <c r="GZ61" s="60">
        <f ca="1">AVERAGE(OFFSET($GY$3,0,0,'Données projet'!$E$18+1,1))-AVERAGE(OFFSET($H$3,0,0,'Données projet'!$E$18+1,1))</f>
        <v>272.69564942740931</v>
      </c>
      <c r="HA61" s="60">
        <f t="shared" si="52"/>
        <v>316.57989180609252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25">
      <c r="A62" s="11">
        <f t="shared" si="31"/>
        <v>59</v>
      </c>
      <c r="B62" s="75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8">
        <f t="shared" si="1"/>
        <v>183.33333333333334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0">
        <f t="shared" si="0"/>
        <v>777.30796841682741</v>
      </c>
      <c r="S62" s="60">
        <f ca="1">AVERAGE(OFFSET($R$3,0,0,'Données projet'!$E$9+1,1))-AVERAGE(OFFSET($H$3,0,0,'Données projet'!$E$9+1,1))</f>
        <v>570.08763950759544</v>
      </c>
      <c r="T62" s="60">
        <f t="shared" si="34"/>
        <v>297.32483725004136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6.2799999999999958</v>
      </c>
      <c r="AI62" s="14">
        <f>IF('Données projet'!$A$62&gt;35,AI61+AH62-AQ61,IF(A62&lt;'Données projet'!$A$62,$AF$205^A62,IF(A62='Données projet'!$A$62,'Données projet'!$B$62,AI61+AH62-AQ61)))</f>
        <v>303.71999999999986</v>
      </c>
      <c r="AJ62" s="14">
        <f>AI62*VLOOKUP('Données projet'!$B$10,Paramètres!$A$1:$I$89,3,0)*VLOOKUP('Données projet'!$B$10,Paramètres!$A$1:$I$89,5,0)</f>
        <v>241.63963199999992</v>
      </c>
      <c r="AK62" s="14">
        <f t="shared" si="35"/>
        <v>58.792165382566672</v>
      </c>
      <c r="AL62" s="22">
        <f t="shared" si="4"/>
        <v>523.25204710797016</v>
      </c>
      <c r="AM62" s="60">
        <f t="shared" si="5"/>
        <v>783.94145430181288</v>
      </c>
      <c r="AN62" s="60">
        <f ca="1">AVERAGE(OFFSET($AM$3,0,0,'Données projet'!$E$10+1,1))-AVERAGE(OFFSET($H$3,0,0,'Données projet'!$E$10+1,1))</f>
        <v>394.49874384716014</v>
      </c>
      <c r="AO62" s="60">
        <f t="shared" si="36"/>
        <v>423.72519584013378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5.3846153846153815</v>
      </c>
      <c r="BD62" s="13">
        <f>IF('Données projet'!$A$88&gt;35,BD61+BC62-BL61,IF(A62&lt;'Données projet'!$A$88,$BA$205^A62,IF(A62='Données projet'!$A$88,'Données projet'!$B$88,BD61+BC62-BL61)))</f>
        <v>202.30769230769221</v>
      </c>
      <c r="BE62" s="14">
        <f>BD62*VLOOKUP('Données projet'!$B$11,Paramètres!$A$1:$I$89,3,0)*VLOOKUP('Données projet'!$B$11,Paramètres!$A$1:$I$89,5,0)</f>
        <v>192.51599999999991</v>
      </c>
      <c r="BF62" s="14">
        <f t="shared" si="37"/>
        <v>48.095778128339838</v>
      </c>
      <c r="BG62" s="22">
        <f t="shared" si="7"/>
        <v>419.06551357352504</v>
      </c>
      <c r="BH62" s="60">
        <f t="shared" si="8"/>
        <v>679.75492076736782</v>
      </c>
      <c r="BI62" s="60">
        <f ca="1">AVERAGE(OFFSET($BH$3,0,0,'Données projet'!$E$11+1,1))-AVERAGE(OFFSET($H$3,0,0,'Données projet'!$E$11+1,1))</f>
        <v>441.15969139782891</v>
      </c>
      <c r="BJ62" s="60">
        <f t="shared" si="38"/>
        <v>315.06466790224783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9.375</v>
      </c>
      <c r="BY62" s="13">
        <f>IF('Données projet'!$A$114&gt;35,BY61+BX62-CG61,IF(A62&lt;'Données projet'!$A$114,$BV$205^A62,IF(A62='Données projet'!$A$114,'Données projet'!$B$114,BY61+BX62-CG61)))</f>
        <v>287.62499999999994</v>
      </c>
      <c r="BZ62" s="14">
        <f>BY62*VLOOKUP('Données projet'!$B$12,Paramètres!$A$1:$I$89,3,0)*VLOOKUP('Données projet'!$B$12,Paramètres!$A$1:$I$89,5,0)</f>
        <v>224.34749999999997</v>
      </c>
      <c r="CA62" s="14">
        <f t="shared" si="39"/>
        <v>55.058714525680479</v>
      </c>
      <c r="CB62" s="22">
        <f t="shared" si="10"/>
        <v>486.63249029889352</v>
      </c>
      <c r="CC62" s="60">
        <f t="shared" si="11"/>
        <v>747.3218974927363</v>
      </c>
      <c r="CD62" s="60">
        <f ca="1">AVERAGE(OFFSET($CC$3,0,0,'Données projet'!$E$12+1,1))-AVERAGE(OFFSET($H$3,0,0,'Données projet'!$E$12+1,1))</f>
        <v>312.59632808777332</v>
      </c>
      <c r="CE62" s="60">
        <f t="shared" si="40"/>
        <v>302.59481222418219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9.4</v>
      </c>
      <c r="CT62" s="13">
        <f>IF('Données projet'!$A$140&gt;35,CT61+CS62-DB61,IF(A62&lt;'Données projet'!$A$140,$CQ$205^A62,IF(A62='Données projet'!$A$140,'Données projet'!$B$140,CT61+CS62-DB61)))</f>
        <v>263.59999999999997</v>
      </c>
      <c r="CU62" s="18">
        <f>CT62*VLOOKUP('Données projet'!$B$13,Paramètres!$A$1:$I$89,3,0)*VLOOKUP('Données projet'!$B$13,Paramètres!$A$1:$I$89,5,0)</f>
        <v>254.95391999999998</v>
      </c>
      <c r="CV62" s="14">
        <f t="shared" si="41"/>
        <v>61.645533788540583</v>
      </c>
      <c r="CW62" s="22">
        <f t="shared" si="13"/>
        <v>551.41071534837477</v>
      </c>
      <c r="CX62" s="60">
        <f t="shared" si="14"/>
        <v>812.1001225422176</v>
      </c>
      <c r="CY62" s="60">
        <f ca="1">AVERAGE(OFFSET($CX$3,0,0,'Données projet'!$E$13+1,1))-AVERAGE(OFFSET($H$3,0,0,'Données projet'!$E$13+1,1))</f>
        <v>603.52431522262032</v>
      </c>
      <c r="CZ62" s="60">
        <f t="shared" si="42"/>
        <v>313.56299786481338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9.4</v>
      </c>
      <c r="DO62" s="13">
        <f>IF('Données projet'!$A$166&gt;35,DO61+DN62-DW61,IF(A62&lt;'Données projet'!$A$166,$DL$205^A62,IF(A62='Données projet'!$A$166,'Données projet'!$B$166,DO61+DN62-DW61)))</f>
        <v>263.59999999999997</v>
      </c>
      <c r="DP62" s="18">
        <f>DO62*VLOOKUP('Données projet'!$B$14,Paramètres!$A$1:$I$89,3,0)*VLOOKUP('Données projet'!$B$14,Paramètres!$A$1:$I$89,5,0)</f>
        <v>283.73903999999993</v>
      </c>
      <c r="DQ62" s="14">
        <f t="shared" si="43"/>
        <v>67.756564441537463</v>
      </c>
      <c r="DR62" s="22">
        <f t="shared" si="16"/>
        <v>612.18817773567764</v>
      </c>
      <c r="DS62" s="60">
        <f t="shared" si="17"/>
        <v>872.87758492952048</v>
      </c>
      <c r="DT62" s="60">
        <f ca="1">AVERAGE(OFFSET($DS$3,0,0,'Données projet'!$E$14+1,1))-AVERAGE(OFFSET($H$3,0,0,'Données projet'!$E$14+1,1))</f>
        <v>661.93515988633499</v>
      </c>
      <c r="DU62" s="60">
        <f t="shared" si="44"/>
        <v>341.9250949809848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6.1538461538461551</v>
      </c>
      <c r="EJ62" s="13">
        <f>IF('Données projet'!$A$192&gt;35,EJ61+EI62-ER61,IF(A62&lt;'Données projet'!$A$192,$EG$205^A62,IF(A62='Données projet'!$A$192,'Données projet'!$B$192,EJ61+EI62-ER61)))</f>
        <v>282.9487179487179</v>
      </c>
      <c r="EK62" s="18">
        <f>EJ62*VLOOKUP('Données projet'!$B$15,Paramètres!$A$1:$I$89,3,0)*VLOOKUP('Données projet'!$B$15,Paramètres!$A$1:$I$89,5,0)</f>
        <v>189.80199999999996</v>
      </c>
      <c r="EL62" s="14">
        <f t="shared" si="45"/>
        <v>47.496175206468138</v>
      </c>
      <c r="EM62" s="22">
        <f t="shared" si="19"/>
        <v>413.29432181793192</v>
      </c>
      <c r="EN62" s="60">
        <f t="shared" si="20"/>
        <v>673.9837290117747</v>
      </c>
      <c r="EO62" s="60">
        <f ca="1">AVERAGE(OFFSET($EN$3,0,0,'Données projet'!$E$15+1,1))-AVERAGE(OFFSET($H$3,0,0,'Données projet'!$E$15+1,1))</f>
        <v>396.0878652679051</v>
      </c>
      <c r="EP62" s="60">
        <f t="shared" si="46"/>
        <v>327.26339199235406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6.2799999999999958</v>
      </c>
      <c r="FE62" s="13">
        <f>IF('Données projet'!$A$218&gt;35,FE61+FD62-FM61,IF(A62&lt;'Données projet'!$A$218,$FB$205^A62,IF(A62='Données projet'!$A$218,'Données projet'!$B$218,FE61+FD62-FM61)))</f>
        <v>303.71999999999986</v>
      </c>
      <c r="FF62" s="18">
        <f>FE62*VLOOKUP('Données projet'!$B$16,Paramètres!$A$1:$I$89,3,0)*VLOOKUP('Données projet'!$B$16,Paramètres!$A$1:$I$89,5,0)</f>
        <v>222.68750399999988</v>
      </c>
      <c r="FG62" s="14">
        <f t="shared" si="47"/>
        <v>54.698588025346766</v>
      </c>
      <c r="FH62" s="22">
        <f t="shared" si="22"/>
        <v>483.1141102774788</v>
      </c>
      <c r="FI62" s="60">
        <f t="shared" si="23"/>
        <v>743.80351747132158</v>
      </c>
      <c r="FJ62" s="60">
        <f ca="1">AVERAGE(OFFSET($FI$3,0,0,'Données projet'!$E$16+1,1))-AVERAGE(OFFSET($H$3,0,0,'Données projet'!$E$16+1,1))</f>
        <v>368.35775920359396</v>
      </c>
      <c r="FK62" s="60">
        <f t="shared" si="48"/>
        <v>395.5218438652638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13</v>
      </c>
      <c r="FZ62" s="13">
        <f>IF('Données projet'!$A$244&gt;35,FZ61+FY62-GH61,IF(A62&lt;'Données projet'!$A$244,$FW$205^A62,IF(A62='Données projet'!$A$244,'Données projet'!$B$244,FZ61+FY62-GH61)))</f>
        <v>323.00000000000006</v>
      </c>
      <c r="GA62" s="18">
        <f>FZ62*VLOOKUP('Données projet'!$B$17,Paramètres!$A$1:$I$89,3,0)*VLOOKUP('Données projet'!$B$17,Paramètres!$A$1:$I$89,5,0)</f>
        <v>277.13400000000007</v>
      </c>
      <c r="GB62" s="14">
        <f t="shared" si="49"/>
        <v>66.360978503745613</v>
      </c>
      <c r="GC62" s="22">
        <f t="shared" si="25"/>
        <v>598.25375422735704</v>
      </c>
      <c r="GD62" s="60">
        <f t="shared" si="26"/>
        <v>858.94316142119987</v>
      </c>
      <c r="GE62" s="60">
        <f ca="1">AVERAGE(OFFSET($GD$3,0,0,'Données projet'!$E$17+1,1))-AVERAGE(OFFSET($H$3,0,0,'Données projet'!$E$17+1,1))</f>
        <v>701.44583662096022</v>
      </c>
      <c r="GF62" s="60">
        <f t="shared" si="50"/>
        <v>331.25104323342907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7.4</v>
      </c>
      <c r="GU62" s="13">
        <f>IF('Données projet'!$A$270&gt;35,GU61+GT62-HC61,IF(A62&lt;'Données projet'!$A$270,$GR$205^A62,IF(A62='Données projet'!$A$270,'Données projet'!$B$270,GU61+GT62-HC61)))</f>
        <v>295.59999999999991</v>
      </c>
      <c r="GV62" s="18">
        <f>GU62*VLOOKUP('Données projet'!$B$18,Paramètres!$A$1:$I$89,3,0)*VLOOKUP('Données projet'!$B$18,Paramètres!$A$1:$I$89,5,0)</f>
        <v>239.79071999999994</v>
      </c>
      <c r="GW62" s="14">
        <f t="shared" si="51"/>
        <v>58.394500584818381</v>
      </c>
      <c r="GX62" s="22">
        <f t="shared" si="28"/>
        <v>519.33925918522516</v>
      </c>
      <c r="GY62" s="60">
        <f t="shared" si="29"/>
        <v>780.028666379068</v>
      </c>
      <c r="GZ62" s="60">
        <f ca="1">AVERAGE(OFFSET($GY$3,0,0,'Données projet'!$E$18+1,1))-AVERAGE(OFFSET($H$3,0,0,'Données projet'!$E$18+1,1))</f>
        <v>272.69564942740931</v>
      </c>
      <c r="HA62" s="60">
        <f t="shared" si="52"/>
        <v>316.57989180609252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25">
      <c r="A63" s="11">
        <f t="shared" si="31"/>
        <v>60</v>
      </c>
      <c r="B63" s="75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8">
        <f t="shared" si="1"/>
        <v>183.33333333333334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0">
        <f t="shared" si="0"/>
        <v>795.87024409467267</v>
      </c>
      <c r="S63" s="60">
        <f ca="1">AVERAGE(OFFSET($R$3,0,0,'Données projet'!$E$9+1,1))-AVERAGE(OFFSET($H$3,0,0,'Données projet'!$E$9+1,1))</f>
        <v>570.08763950759544</v>
      </c>
      <c r="T63" s="60">
        <f t="shared" si="34"/>
        <v>297.32483725004136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310</v>
      </c>
      <c r="AG63" s="13">
        <f>VLOOKUP(A63,'Données projet'!$A$61:$I$81,9,0)</f>
        <v>6.2799999999999958</v>
      </c>
      <c r="AH63" s="13">
        <f t="array" ref="AH63">INDEX(AG:AG,MIN(IF(ISNUMBER(AG63:AG259),ROW(AG63:AG259),"")))</f>
        <v>6.2799999999999958</v>
      </c>
      <c r="AI63" s="14">
        <f>IF('Données projet'!$A$62&gt;35,AI62+AH63-AQ62,IF(A63&lt;'Données projet'!$A$62,$AF$205^A63,IF(A63='Données projet'!$A$62,'Données projet'!$B$62,AI62+AH63-AQ62)))</f>
        <v>309.99999999999983</v>
      </c>
      <c r="AJ63" s="14">
        <f>AI63*VLOOKUP('Données projet'!$B$10,Paramètres!$A$1:$I$89,3,0)*VLOOKUP('Données projet'!$B$10,Paramètres!$A$1:$I$89,5,0)</f>
        <v>246.63599999999985</v>
      </c>
      <c r="AK63" s="14">
        <f t="shared" si="35"/>
        <v>59.865023903294535</v>
      </c>
      <c r="AL63" s="22">
        <f t="shared" si="4"/>
        <v>533.8226166315709</v>
      </c>
      <c r="AM63" s="60">
        <f t="shared" si="5"/>
        <v>795.07832296304832</v>
      </c>
      <c r="AN63" s="60">
        <f ca="1">AVERAGE(OFFSET($AM$3,0,0,'Données projet'!$E$10+1,1))-AVERAGE(OFFSET($H$3,0,0,'Données projet'!$E$10+1,1))</f>
        <v>394.49874384716014</v>
      </c>
      <c r="AO63" s="60">
        <f t="shared" si="36"/>
        <v>423.72519584013378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30.2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207.69230769230768</v>
      </c>
      <c r="BB63" s="13">
        <f>VLOOKUP(A63,'Données projet'!$A$87:$I$107,9,0)</f>
        <v>5.3846153846153815</v>
      </c>
      <c r="BC63" s="13">
        <f t="array" ref="BC63">INDEX(BB:BB,MIN(IF(ISNUMBER(BB63:BB259),ROW(BB63:BB259),"")))</f>
        <v>5.3846153846153815</v>
      </c>
      <c r="BD63" s="13">
        <f>IF('Données projet'!$A$88&gt;35,BD62+BC63-BL62,IF(A63&lt;'Données projet'!$A$88,$BA$205^A63,IF(A63='Données projet'!$A$88,'Données projet'!$B$88,BD62+BC63-BL62)))</f>
        <v>207.69230769230759</v>
      </c>
      <c r="BE63" s="14">
        <f>BD63*VLOOKUP('Données projet'!$B$11,Paramètres!$A$1:$I$89,3,0)*VLOOKUP('Données projet'!$B$11,Paramètres!$A$1:$I$89,5,0)</f>
        <v>197.63999999999993</v>
      </c>
      <c r="BF63" s="14">
        <f t="shared" si="37"/>
        <v>49.22515338895078</v>
      </c>
      <c r="BG63" s="22">
        <f t="shared" si="7"/>
        <v>429.95680881908919</v>
      </c>
      <c r="BH63" s="60">
        <f t="shared" si="8"/>
        <v>691.21251515056667</v>
      </c>
      <c r="BI63" s="60">
        <f ca="1">AVERAGE(OFFSET($BH$3,0,0,'Données projet'!$E$11+1,1))-AVERAGE(OFFSET($H$3,0,0,'Données projet'!$E$11+1,1))</f>
        <v>441.15969139782891</v>
      </c>
      <c r="BJ63" s="60">
        <f t="shared" si="38"/>
        <v>315.06466790224783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297</v>
      </c>
      <c r="BW63" s="13">
        <f>VLOOKUP(A63,'Données projet'!$A$113:$I$133,9,0)</f>
        <v>9.375</v>
      </c>
      <c r="BX63" s="13">
        <f t="array" ref="BX63">INDEX(BW:BW,MIN(IF(ISNUMBER(BW63:BW259),ROW(BW63:BW259),"")))</f>
        <v>9.375</v>
      </c>
      <c r="BY63" s="13">
        <f>IF('Données projet'!$A$114&gt;35,BY62+BX63-CG62,IF(A63&lt;'Données projet'!$A$114,$BV$205^A63,IF(A63='Données projet'!$A$114,'Données projet'!$B$114,BY62+BX63-CG62)))</f>
        <v>296.99999999999994</v>
      </c>
      <c r="BZ63" s="14">
        <f>BY63*VLOOKUP('Données projet'!$B$12,Paramètres!$A$1:$I$89,3,0)*VLOOKUP('Données projet'!$B$12,Paramètres!$A$1:$I$89,5,0)</f>
        <v>231.65999999999997</v>
      </c>
      <c r="CA63" s="14">
        <f t="shared" si="39"/>
        <v>56.641461975682766</v>
      </c>
      <c r="CB63" s="22">
        <f t="shared" si="10"/>
        <v>502.12504627431412</v>
      </c>
      <c r="CC63" s="60">
        <f t="shared" si="11"/>
        <v>763.3807526057916</v>
      </c>
      <c r="CD63" s="60">
        <f ca="1">AVERAGE(OFFSET($CC$3,0,0,'Données projet'!$E$12+1,1))-AVERAGE(OFFSET($H$3,0,0,'Données projet'!$E$12+1,1))</f>
        <v>312.59632808777332</v>
      </c>
      <c r="CE63" s="60">
        <f t="shared" si="40"/>
        <v>302.59481222418219</v>
      </c>
      <c r="CF63" s="16">
        <f>IF(ISNA(VLOOKUP(A63,'Données projet'!$A$113:$I$133,3,0)),0,VLOOKUP(A63,'Données projet'!$A$113:$I$133,3,0))</f>
        <v>6</v>
      </c>
      <c r="CG63" s="16">
        <f>IF(ISNA(VLOOKUP(A63,'Données projet'!$A$113:$I$133,4,0)),0,VLOOKUP(A63,'Données projet'!$A$113:$I$133,4,0))</f>
        <v>47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273</v>
      </c>
      <c r="CR63" s="13">
        <f>VLOOKUP(A63,'Données projet'!$A$139:$I$159,9,0)</f>
        <v>9.4</v>
      </c>
      <c r="CS63" s="13">
        <f t="array" ref="CS63">INDEX(CR:CR,MIN(IF(ISNUMBER(CR63:CR259),ROW(CR63:CR259),"")))</f>
        <v>9.4</v>
      </c>
      <c r="CT63" s="13">
        <f>IF('Données projet'!$A$140&gt;35,CT62+CS63-DB62,IF(A63&lt;'Données projet'!$A$140,$CQ$205^A63,IF(A63='Données projet'!$A$140,'Données projet'!$B$140,CT62+CS63-DB62)))</f>
        <v>272.99999999999994</v>
      </c>
      <c r="CU63" s="18">
        <f>CT63*VLOOKUP('Données projet'!$B$13,Paramètres!$A$1:$I$89,3,0)*VLOOKUP('Données projet'!$B$13,Paramètres!$A$1:$I$89,5,0)</f>
        <v>264.04559999999992</v>
      </c>
      <c r="CV63" s="14">
        <f t="shared" si="41"/>
        <v>63.58395992997368</v>
      </c>
      <c r="CW63" s="22">
        <f t="shared" si="13"/>
        <v>570.62148354470401</v>
      </c>
      <c r="CX63" s="60">
        <f t="shared" si="14"/>
        <v>831.87718987618155</v>
      </c>
      <c r="CY63" s="60">
        <f ca="1">AVERAGE(OFFSET($CX$3,0,0,'Données projet'!$E$13+1,1))-AVERAGE(OFFSET($H$3,0,0,'Données projet'!$E$13+1,1))</f>
        <v>603.52431522262032</v>
      </c>
      <c r="CZ63" s="60">
        <f t="shared" si="42"/>
        <v>313.56299786481338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273</v>
      </c>
      <c r="DM63" s="13">
        <f>VLOOKUP(A63,'Données projet'!$A$165:$I$185,9,0)</f>
        <v>9.4</v>
      </c>
      <c r="DN63" s="13">
        <f t="array" ref="DN63">INDEX(DM:DM,MIN(IF(ISNUMBER(DM63:DM259),ROW(DM63:DM259),"")))</f>
        <v>9.4</v>
      </c>
      <c r="DO63" s="13">
        <f>IF('Données projet'!$A$166&gt;35,DO62+DN63-DW62,IF(A63&lt;'Données projet'!$A$166,$DL$205^A63,IF(A63='Données projet'!$A$166,'Données projet'!$B$166,DO62+DN63-DW62)))</f>
        <v>272.99999999999994</v>
      </c>
      <c r="DP63" s="18">
        <f>DO63*VLOOKUP('Données projet'!$B$14,Paramètres!$A$1:$I$89,3,0)*VLOOKUP('Données projet'!$B$14,Paramètres!$A$1:$I$89,5,0)</f>
        <v>293.85719999999992</v>
      </c>
      <c r="DQ63" s="14">
        <f t="shared" si="43"/>
        <v>69.887150190339781</v>
      </c>
      <c r="DR63" s="22">
        <f t="shared" si="16"/>
        <v>633.52140991484157</v>
      </c>
      <c r="DS63" s="60">
        <f t="shared" si="17"/>
        <v>894.77711624631911</v>
      </c>
      <c r="DT63" s="60">
        <f ca="1">AVERAGE(OFFSET($DS$3,0,0,'Données projet'!$E$14+1,1))-AVERAGE(OFFSET($H$3,0,0,'Données projet'!$E$14+1,1))</f>
        <v>661.93515988633499</v>
      </c>
      <c r="DU63" s="60">
        <f t="shared" si="44"/>
        <v>341.9250949809848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289.10256410256409</v>
      </c>
      <c r="EH63" s="13">
        <f>VLOOKUP(A63,'Données projet'!$A$191:$I$211,9,0)</f>
        <v>6.1538461538461551</v>
      </c>
      <c r="EI63" s="13">
        <f t="array" ref="EI63">INDEX(EH:EH,MIN(IF(ISNUMBER(EH63:EH259),ROW(EH63:EH259),"")))</f>
        <v>6.1538461538461551</v>
      </c>
      <c r="EJ63" s="13">
        <f>IF('Données projet'!$A$192&gt;35,EJ62+EI63-ER62,IF(A63&lt;'Données projet'!$A$192,$EG$205^A63,IF(A63='Données projet'!$A$192,'Données projet'!$B$192,EJ62+EI63-ER62)))</f>
        <v>289.10256410256403</v>
      </c>
      <c r="EK63" s="18">
        <f>EJ63*VLOOKUP('Données projet'!$B$15,Paramètres!$A$1:$I$89,3,0)*VLOOKUP('Données projet'!$B$15,Paramètres!$A$1:$I$89,5,0)</f>
        <v>193.92999999999995</v>
      </c>
      <c r="EL63" s="14">
        <f t="shared" si="45"/>
        <v>48.407782055683938</v>
      </c>
      <c r="EM63" s="22">
        <f t="shared" si="19"/>
        <v>422.07163708031607</v>
      </c>
      <c r="EN63" s="60">
        <f t="shared" si="20"/>
        <v>683.32734341179355</v>
      </c>
      <c r="EO63" s="60">
        <f ca="1">AVERAGE(OFFSET($EN$3,0,0,'Données projet'!$E$15+1,1))-AVERAGE(OFFSET($H$3,0,0,'Données projet'!$E$15+1,1))</f>
        <v>396.0878652679051</v>
      </c>
      <c r="EP63" s="60">
        <f t="shared" si="46"/>
        <v>327.26339199235406</v>
      </c>
      <c r="EQ63" s="16">
        <f>IF(ISNA(VLOOKUP(A63,'Données projet'!$A$191:$I$211,3,0)),0,VLOOKUP(A63,'Données projet'!$A$191:$I$211,3,0))</f>
        <v>5</v>
      </c>
      <c r="ER63" s="16">
        <f>IF(ISNA(VLOOKUP(A63,'Données projet'!$A$191:$I$211,4,0)),0,VLOOKUP(A63,'Données projet'!$A$191:$I$211,4,0))</f>
        <v>35.256410256410255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310</v>
      </c>
      <c r="FC63" s="13">
        <f>VLOOKUP(A63,'Données projet'!$A$217:$I$237,9,0)</f>
        <v>6.2799999999999958</v>
      </c>
      <c r="FD63" s="13">
        <f t="array" ref="FD63">INDEX(FC:FC,MIN(IF(ISNUMBER(FC63:FC259),ROW(FC63:FC259),"")))</f>
        <v>6.2799999999999958</v>
      </c>
      <c r="FE63" s="13">
        <f>IF('Données projet'!$A$218&gt;35,FE62+FD63-FM62,IF(A63&lt;'Données projet'!$A$218,$FB$205^A63,IF(A63='Données projet'!$A$218,'Données projet'!$B$218,FE62+FD63-FM62)))</f>
        <v>309.99999999999983</v>
      </c>
      <c r="FF63" s="18">
        <f>FE63*VLOOKUP('Données projet'!$B$16,Paramètres!$A$1:$I$89,3,0)*VLOOKUP('Données projet'!$B$16,Paramètres!$A$1:$I$89,5,0)</f>
        <v>227.29199999999986</v>
      </c>
      <c r="FG63" s="14">
        <f t="shared" si="47"/>
        <v>55.69674561748365</v>
      </c>
      <c r="FH63" s="22">
        <f t="shared" si="22"/>
        <v>492.8720652837838</v>
      </c>
      <c r="FI63" s="60">
        <f t="shared" si="23"/>
        <v>754.12777161526128</v>
      </c>
      <c r="FJ63" s="60">
        <f ca="1">AVERAGE(OFFSET($FI$3,0,0,'Données projet'!$E$16+1,1))-AVERAGE(OFFSET($H$3,0,0,'Données projet'!$E$16+1,1))</f>
        <v>368.35775920359396</v>
      </c>
      <c r="FK63" s="60">
        <f t="shared" si="48"/>
        <v>395.5218438652638</v>
      </c>
      <c r="FL63" s="16">
        <f>IF(ISNA(VLOOKUP(A63,'Données projet'!$A$217:$I$237,3,0)),0,VLOOKUP(A63,'Données projet'!$A$217:$I$237,3,0))</f>
        <v>5</v>
      </c>
      <c r="FM63" s="16">
        <f>IF(ISNA(VLOOKUP(A63,'Données projet'!$A$217:$I$237,4,0)),0,VLOOKUP(A63,'Données projet'!$A$217:$I$237,4,0))</f>
        <v>30.2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336</v>
      </c>
      <c r="FX63" s="13">
        <f>VLOOKUP(A63,'Données projet'!$A$243:$I$263,9,0)</f>
        <v>13</v>
      </c>
      <c r="FY63" s="13">
        <f t="array" ref="FY63">INDEX(FX:FX,MIN(IF(ISNUMBER(FX63:FX259),ROW(FX63:FX259),"")))</f>
        <v>13</v>
      </c>
      <c r="FZ63" s="13">
        <f>IF('Données projet'!$A$244&gt;35,FZ62+FY63-GH62,IF(A63&lt;'Données projet'!$A$244,$FW$205^A63,IF(A63='Données projet'!$A$244,'Données projet'!$B$244,FZ62+FY63-GH62)))</f>
        <v>336.00000000000006</v>
      </c>
      <c r="GA63" s="18">
        <f>FZ63*VLOOKUP('Données projet'!$B$17,Paramètres!$A$1:$I$89,3,0)*VLOOKUP('Données projet'!$B$17,Paramètres!$A$1:$I$89,5,0)</f>
        <v>288.28800000000007</v>
      </c>
      <c r="GB63" s="14">
        <f t="shared" si="49"/>
        <v>68.715516926722444</v>
      </c>
      <c r="GC63" s="22">
        <f t="shared" si="25"/>
        <v>621.78112531404167</v>
      </c>
      <c r="GD63" s="60">
        <f t="shared" si="26"/>
        <v>883.03683164551921</v>
      </c>
      <c r="GE63" s="60">
        <f ca="1">AVERAGE(OFFSET($GD$3,0,0,'Données projet'!$E$17+1,1))-AVERAGE(OFFSET($H$3,0,0,'Données projet'!$E$17+1,1))</f>
        <v>701.44583662096022</v>
      </c>
      <c r="GF63" s="60">
        <f t="shared" si="50"/>
        <v>331.25104323342907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303</v>
      </c>
      <c r="GS63" s="13">
        <f>VLOOKUP(A63,'Données projet'!$A$269:$I$289,9,0)</f>
        <v>7.4</v>
      </c>
      <c r="GT63" s="13">
        <f t="array" ref="GT63">INDEX(GS:GS,MIN(IF(ISNUMBER(GS63:GS259),ROW(GS63:GS259),"")))</f>
        <v>7.4</v>
      </c>
      <c r="GU63" s="13">
        <f>IF('Données projet'!$A$270&gt;35,GU62+GT63-HC62,IF(A63&lt;'Données projet'!$A$270,$GR$205^A63,IF(A63='Données projet'!$A$270,'Données projet'!$B$270,GU62+GT63-HC62)))</f>
        <v>302.99999999999989</v>
      </c>
      <c r="GV63" s="18">
        <f>GU63*VLOOKUP('Données projet'!$B$18,Paramètres!$A$1:$I$89,3,0)*VLOOKUP('Données projet'!$B$18,Paramètres!$A$1:$I$89,5,0)</f>
        <v>245.79359999999991</v>
      </c>
      <c r="GW63" s="14">
        <f t="shared" si="51"/>
        <v>59.684315982017168</v>
      </c>
      <c r="GX63" s="22">
        <f t="shared" si="28"/>
        <v>532.04070366867973</v>
      </c>
      <c r="GY63" s="60">
        <f t="shared" si="29"/>
        <v>793.29641000015727</v>
      </c>
      <c r="GZ63" s="60">
        <f ca="1">AVERAGE(OFFSET($GY$3,0,0,'Données projet'!$E$18+1,1))-AVERAGE(OFFSET($H$3,0,0,'Données projet'!$E$18+1,1))</f>
        <v>272.69564942740931</v>
      </c>
      <c r="HA63" s="60">
        <f t="shared" si="52"/>
        <v>316.57989180609252</v>
      </c>
      <c r="HB63" s="16">
        <f>IF(ISNA(VLOOKUP(A63,'Données projet'!$A$269:$I$289,3,0)),0,VLOOKUP(A63,'Données projet'!$A$269:$I$289,3,0))</f>
        <v>3</v>
      </c>
      <c r="HC63" s="16">
        <f>IF(ISNA(VLOOKUP(A63,'Données projet'!$A$269:$I$289,4,0)),0,VLOOKUP(A63,'Données projet'!$A$269:$I$289,4,0))</f>
        <v>303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25">
      <c r="A64" s="11">
        <f t="shared" si="31"/>
        <v>61</v>
      </c>
      <c r="B64" s="75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8">
        <f t="shared" si="1"/>
        <v>183.33333333333334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projet'!$B$9,Paramètres!$A$1:$I$89,3,0)*VLOOKUP('Données projet'!$B$9,Paramètres!$A$1:$I$89,5,0)</f>
        <v>254.97263999999996</v>
      </c>
      <c r="P64" s="14">
        <f t="shared" si="33"/>
        <v>61.649533232533919</v>
      </c>
      <c r="Q64" s="22">
        <f t="shared" si="53"/>
        <v>551.45028504666311</v>
      </c>
      <c r="R64" s="60">
        <f t="shared" si="0"/>
        <v>813.26246649179245</v>
      </c>
      <c r="S64" s="60">
        <f ca="1">AVERAGE(OFFSET($R$3,0,0,'Données projet'!$E$9+1,1))-AVERAGE(OFFSET($H$3,0,0,'Données projet'!$E$9+1,1))</f>
        <v>570.08763950759544</v>
      </c>
      <c r="T64" s="60">
        <f t="shared" si="34"/>
        <v>297.32483725004136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5.2399999999999975</v>
      </c>
      <c r="AI64" s="14">
        <f>IF('Données projet'!$A$62&gt;35,AI63+AH64-AQ63,IF(A64&lt;'Données projet'!$A$62,$AF$205^A64,IF(A64='Données projet'!$A$62,'Données projet'!$B$62,AI63+AH64-AQ63)))</f>
        <v>285.03999999999985</v>
      </c>
      <c r="AJ64" s="14">
        <f>AI64*VLOOKUP('Données projet'!$B$10,Paramètres!$A$1:$I$89,3,0)*VLOOKUP('Données projet'!$B$10,Paramètres!$A$1:$I$89,5,0)</f>
        <v>226.7778239999999</v>
      </c>
      <c r="AK64" s="14">
        <f t="shared" si="35"/>
        <v>55.585400699018884</v>
      </c>
      <c r="AL64" s="22">
        <f t="shared" si="4"/>
        <v>491.78261635079099</v>
      </c>
      <c r="AM64" s="60">
        <f t="shared" si="5"/>
        <v>753.59479779592039</v>
      </c>
      <c r="AN64" s="60">
        <f ca="1">AVERAGE(OFFSET($AM$3,0,0,'Données projet'!$E$10+1,1))-AVERAGE(OFFSET($H$3,0,0,'Données projet'!$E$10+1,1))</f>
        <v>394.49874384716014</v>
      </c>
      <c r="AO64" s="60">
        <f t="shared" si="36"/>
        <v>423.72519584013378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</v>
      </c>
      <c r="BD64" s="13">
        <f>IF('Données projet'!$A$88&gt;35,BD63+BC64-BL63,IF(A64&lt;'Données projet'!$A$88,$BA$205^A64,IF(A64='Données projet'!$A$88,'Données projet'!$B$88,BD63+BC64-BL63)))</f>
        <v>212.69230769230759</v>
      </c>
      <c r="BE64" s="14">
        <f>BD64*VLOOKUP('Données projet'!$B$11,Paramètres!$A$1:$I$89,3,0)*VLOOKUP('Données projet'!$B$11,Paramètres!$A$1:$I$89,5,0)</f>
        <v>202.39799999999991</v>
      </c>
      <c r="BF64" s="14">
        <f t="shared" si="37"/>
        <v>50.270809420148282</v>
      </c>
      <c r="BG64" s="22">
        <f t="shared" si="7"/>
        <v>440.06484307342475</v>
      </c>
      <c r="BH64" s="60">
        <f t="shared" si="8"/>
        <v>701.87702451855409</v>
      </c>
      <c r="BI64" s="60">
        <f ca="1">AVERAGE(OFFSET($BH$3,0,0,'Données projet'!$E$11+1,1))-AVERAGE(OFFSET($H$3,0,0,'Données projet'!$E$11+1,1))</f>
        <v>441.15969139782891</v>
      </c>
      <c r="BJ64" s="60">
        <f t="shared" si="38"/>
        <v>315.06466790224783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8.6666666666666661</v>
      </c>
      <c r="BY64" s="13">
        <f>IF('Données projet'!$A$114&gt;35,BY63+BX64-CG63,IF(A64&lt;'Données projet'!$A$114,$BV$205^A64,IF(A64='Données projet'!$A$114,'Données projet'!$B$114,BY63+BX64-CG63)))</f>
        <v>258.66666666666663</v>
      </c>
      <c r="BZ64" s="14">
        <f>BY64*VLOOKUP('Données projet'!$B$12,Paramètres!$A$1:$I$89,3,0)*VLOOKUP('Données projet'!$B$12,Paramètres!$A$1:$I$89,5,0)</f>
        <v>201.76</v>
      </c>
      <c r="CA64" s="14">
        <f t="shared" si="39"/>
        <v>50.130765000424212</v>
      </c>
      <c r="CB64" s="22">
        <f t="shared" si="10"/>
        <v>438.70974904240546</v>
      </c>
      <c r="CC64" s="60">
        <f t="shared" si="11"/>
        <v>700.52193048753475</v>
      </c>
      <c r="CD64" s="60">
        <f ca="1">AVERAGE(OFFSET($CC$3,0,0,'Données projet'!$E$12+1,1))-AVERAGE(OFFSET($H$3,0,0,'Données projet'!$E$12+1,1))</f>
        <v>312.59632808777332</v>
      </c>
      <c r="CE64" s="60">
        <f t="shared" si="40"/>
        <v>302.59481222418219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8.8000000000000007</v>
      </c>
      <c r="CT64" s="13">
        <f>IF('Données projet'!$A$140&gt;35,CT63+CS64-DB63,IF(A64&lt;'Données projet'!$A$140,$CQ$205^A64,IF(A64='Données projet'!$A$140,'Données projet'!$B$140,CT63+CS64-DB63)))</f>
        <v>281.79999999999995</v>
      </c>
      <c r="CU64" s="18">
        <f>CT64*VLOOKUP('Données projet'!$B$13,Paramètres!$A$1:$I$89,3,0)*VLOOKUP('Données projet'!$B$13,Paramètres!$A$1:$I$89,5,0)</f>
        <v>272.55696</v>
      </c>
      <c r="CV64" s="14">
        <f t="shared" si="41"/>
        <v>65.391622690449097</v>
      </c>
      <c r="CW64" s="22">
        <f t="shared" si="13"/>
        <v>588.59378151919873</v>
      </c>
      <c r="CX64" s="60">
        <f t="shared" si="14"/>
        <v>850.40596296432807</v>
      </c>
      <c r="CY64" s="60">
        <f ca="1">AVERAGE(OFFSET($CX$3,0,0,'Données projet'!$E$13+1,1))-AVERAGE(OFFSET($H$3,0,0,'Données projet'!$E$13+1,1))</f>
        <v>603.52431522262032</v>
      </c>
      <c r="CZ64" s="60">
        <f t="shared" si="42"/>
        <v>313.56299786481338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8.8000000000000007</v>
      </c>
      <c r="DO64" s="13">
        <f>IF('Données projet'!$A$166&gt;35,DO63+DN64-DW63,IF(A64&lt;'Données projet'!$A$166,$DL$205^A64,IF(A64='Données projet'!$A$166,'Données projet'!$B$166,DO63+DN64-DW63)))</f>
        <v>281.79999999999995</v>
      </c>
      <c r="DP64" s="18">
        <f>DO64*VLOOKUP('Données projet'!$B$14,Paramètres!$A$1:$I$89,3,0)*VLOOKUP('Données projet'!$B$14,Paramètres!$A$1:$I$89,5,0)</f>
        <v>303.32951999999995</v>
      </c>
      <c r="DQ64" s="14">
        <f t="shared" si="43"/>
        <v>71.874009753254171</v>
      </c>
      <c r="DR64" s="22">
        <f t="shared" si="16"/>
        <v>653.47948098691757</v>
      </c>
      <c r="DS64" s="60">
        <f t="shared" si="17"/>
        <v>915.29166243204691</v>
      </c>
      <c r="DT64" s="60">
        <f ca="1">AVERAGE(OFFSET($DS$3,0,0,'Données projet'!$E$14+1,1))-AVERAGE(OFFSET($H$3,0,0,'Données projet'!$E$14+1,1))</f>
        <v>661.93515988633499</v>
      </c>
      <c r="DU64" s="60">
        <f t="shared" si="44"/>
        <v>341.9250949809848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5.7692307692307683</v>
      </c>
      <c r="EJ64" s="13">
        <f>IF('Données projet'!$A$192&gt;35,EJ63+EI64-ER63,IF(A64&lt;'Données projet'!$A$192,$EG$205^A64,IF(A64='Données projet'!$A$192,'Données projet'!$B$192,EJ63+EI64-ER63)))</f>
        <v>259.61538461538453</v>
      </c>
      <c r="EK64" s="18">
        <f>EJ64*VLOOKUP('Données projet'!$B$15,Paramètres!$A$1:$I$89,3,0)*VLOOKUP('Données projet'!$B$15,Paramètres!$A$1:$I$89,5,0)</f>
        <v>174.14999999999995</v>
      </c>
      <c r="EL64" s="14">
        <f t="shared" si="45"/>
        <v>44.018176829931868</v>
      </c>
      <c r="EM64" s="22">
        <f t="shared" si="19"/>
        <v>379.97624131213121</v>
      </c>
      <c r="EN64" s="60">
        <f t="shared" si="20"/>
        <v>641.78842275726061</v>
      </c>
      <c r="EO64" s="60">
        <f ca="1">AVERAGE(OFFSET($EN$3,0,0,'Données projet'!$E$15+1,1))-AVERAGE(OFFSET($H$3,0,0,'Données projet'!$E$15+1,1))</f>
        <v>396.0878652679051</v>
      </c>
      <c r="EP64" s="60">
        <f t="shared" si="46"/>
        <v>327.26339199235406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5.2399999999999975</v>
      </c>
      <c r="FE64" s="13">
        <f>IF('Données projet'!$A$218&gt;35,FE63+FD64-FM63,IF(A64&lt;'Données projet'!$A$218,$FB$205^A64,IF(A64='Données projet'!$A$218,'Données projet'!$B$218,FE63+FD64-FM63)))</f>
        <v>285.03999999999985</v>
      </c>
      <c r="FF64" s="18">
        <f>FE64*VLOOKUP('Données projet'!$B$16,Paramètres!$A$1:$I$89,3,0)*VLOOKUP('Données projet'!$B$16,Paramètres!$A$1:$I$89,5,0)</f>
        <v>208.9913279999999</v>
      </c>
      <c r="FG64" s="14">
        <f t="shared" si="47"/>
        <v>51.715103760424256</v>
      </c>
      <c r="FH64" s="22">
        <f t="shared" si="22"/>
        <v>454.06370198273868</v>
      </c>
      <c r="FI64" s="60">
        <f t="shared" si="23"/>
        <v>715.87588342786808</v>
      </c>
      <c r="FJ64" s="60">
        <f ca="1">AVERAGE(OFFSET($FI$3,0,0,'Données projet'!$E$16+1,1))-AVERAGE(OFFSET($H$3,0,0,'Données projet'!$E$16+1,1))</f>
        <v>368.35775920359396</v>
      </c>
      <c r="FK64" s="60">
        <f t="shared" si="48"/>
        <v>395.5218438652638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12.4</v>
      </c>
      <c r="FZ64" s="13">
        <f>IF('Données projet'!$A$244&gt;35,FZ63+FY64-GH63,IF(A64&lt;'Données projet'!$A$244,$FW$205^A64,IF(A64='Données projet'!$A$244,'Données projet'!$B$244,FZ63+FY64-GH63)))</f>
        <v>348.40000000000003</v>
      </c>
      <c r="GA64" s="18">
        <f>FZ64*VLOOKUP('Données projet'!$B$17,Paramètres!$A$1:$I$89,3,0)*VLOOKUP('Données projet'!$B$17,Paramètres!$A$1:$I$89,5,0)</f>
        <v>298.92720000000008</v>
      </c>
      <c r="GB64" s="14">
        <f t="shared" si="49"/>
        <v>70.951516519653637</v>
      </c>
      <c r="GC64" s="22">
        <f t="shared" si="25"/>
        <v>644.20543127173016</v>
      </c>
      <c r="GD64" s="60">
        <f t="shared" si="26"/>
        <v>906.0176127168595</v>
      </c>
      <c r="GE64" s="60">
        <f ca="1">AVERAGE(OFFSET($GD$3,0,0,'Données projet'!$E$17+1,1))-AVERAGE(OFFSET($H$3,0,0,'Données projet'!$E$17+1,1))</f>
        <v>701.44583662096022</v>
      </c>
      <c r="GF64" s="60">
        <f t="shared" si="50"/>
        <v>331.25104323342907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-1.1368683772161603E-13</v>
      </c>
      <c r="GV64" s="18">
        <f>GU64*VLOOKUP('Données projet'!$B$18,Paramètres!$A$1:$I$89,3,0)*VLOOKUP('Données projet'!$B$18,Paramètres!$A$1:$I$89,5,0)</f>
        <v>-9.2222762759774927E-14</v>
      </c>
      <c r="GW64" s="14" t="e">
        <f t="shared" si="51"/>
        <v>#NUM!</v>
      </c>
      <c r="GX64" s="22" t="e">
        <f t="shared" si="28"/>
        <v>#NUM!</v>
      </c>
      <c r="GY64" s="60" t="e">
        <f t="shared" si="29"/>
        <v>#NUM!</v>
      </c>
      <c r="GZ64" s="60">
        <f ca="1">AVERAGE(OFFSET($GY$3,0,0,'Données projet'!$E$18+1,1))-AVERAGE(OFFSET($H$3,0,0,'Données projet'!$E$18+1,1))</f>
        <v>272.69564942740931</v>
      </c>
      <c r="HA64" s="60">
        <f t="shared" si="52"/>
        <v>316.57989180609252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25">
      <c r="A65" s="11">
        <f t="shared" si="31"/>
        <v>62</v>
      </c>
      <c r="B65" s="75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8">
        <f t="shared" si="1"/>
        <v>183.33333333333334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projet'!$B$9,Paramètres!$A$1:$I$89,3,0)*VLOOKUP('Données projet'!$B$9,Paramètres!$A$1:$I$89,5,0)</f>
        <v>262.93487999999996</v>
      </c>
      <c r="P65" s="14">
        <f t="shared" si="33"/>
        <v>63.347566493432765</v>
      </c>
      <c r="Q65" s="22">
        <f t="shared" si="53"/>
        <v>568.27526097606199</v>
      </c>
      <c r="R65" s="60">
        <f t="shared" si="0"/>
        <v>830.63426393571331</v>
      </c>
      <c r="S65" s="60">
        <f ca="1">AVERAGE(OFFSET($R$3,0,0,'Données projet'!$E$9+1,1))-AVERAGE(OFFSET($H$3,0,0,'Données projet'!$E$9+1,1))</f>
        <v>570.08763950759544</v>
      </c>
      <c r="T65" s="60">
        <f t="shared" si="34"/>
        <v>297.32483725004136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5.2399999999999975</v>
      </c>
      <c r="AI65" s="14">
        <f>IF('Données projet'!$A$62&gt;35,AI64+AH65-AQ64,IF(A65&lt;'Données projet'!$A$62,$AF$205^A65,IF(A65='Données projet'!$A$62,'Données projet'!$B$62,AI64+AH65-AQ64)))</f>
        <v>290.27999999999986</v>
      </c>
      <c r="AJ65" s="14">
        <f>AI65*VLOOKUP('Données projet'!$B$10,Paramètres!$A$1:$I$89,3,0)*VLOOKUP('Données projet'!$B$10,Paramètres!$A$1:$I$89,5,0)</f>
        <v>230.94676799999991</v>
      </c>
      <c r="AK65" s="14">
        <f t="shared" si="35"/>
        <v>56.487345939251334</v>
      </c>
      <c r="AL65" s="22">
        <f t="shared" si="4"/>
        <v>500.61441511086258</v>
      </c>
      <c r="AM65" s="60">
        <f t="shared" si="5"/>
        <v>762.97341807051384</v>
      </c>
      <c r="AN65" s="60">
        <f ca="1">AVERAGE(OFFSET($AM$3,0,0,'Données projet'!$E$10+1,1))-AVERAGE(OFFSET($H$3,0,0,'Données projet'!$E$10+1,1))</f>
        <v>394.49874384716014</v>
      </c>
      <c r="AO65" s="60">
        <f t="shared" si="36"/>
        <v>423.72519584013378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</v>
      </c>
      <c r="BD65" s="13">
        <f>IF('Données projet'!$A$88&gt;35,BD64+BC65-BL64,IF(A65&lt;'Données projet'!$A$88,$BA$205^A65,IF(A65='Données projet'!$A$88,'Données projet'!$B$88,BD64+BC65-BL64)))</f>
        <v>217.69230769230759</v>
      </c>
      <c r="BE65" s="14">
        <f>BD65*VLOOKUP('Données projet'!$B$11,Paramètres!$A$1:$I$89,3,0)*VLOOKUP('Données projet'!$B$11,Paramètres!$A$1:$I$89,5,0)</f>
        <v>207.15599999999989</v>
      </c>
      <c r="BF65" s="14">
        <f t="shared" si="37"/>
        <v>51.313607806372978</v>
      </c>
      <c r="BG65" s="22">
        <f t="shared" si="7"/>
        <v>450.16790026276612</v>
      </c>
      <c r="BH65" s="60">
        <f t="shared" si="8"/>
        <v>712.52690322241745</v>
      </c>
      <c r="BI65" s="60">
        <f ca="1">AVERAGE(OFFSET($BH$3,0,0,'Données projet'!$E$11+1,1))-AVERAGE(OFFSET($H$3,0,0,'Données projet'!$E$11+1,1))</f>
        <v>441.15969139782891</v>
      </c>
      <c r="BJ65" s="60">
        <f t="shared" si="38"/>
        <v>315.06466790224783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8.6666666666666661</v>
      </c>
      <c r="BY65" s="13">
        <f>IF('Données projet'!$A$114&gt;35,BY64+BX65-CG64,IF(A65&lt;'Données projet'!$A$114,$BV$205^A65,IF(A65='Données projet'!$A$114,'Données projet'!$B$114,BY64+BX65-CG64)))</f>
        <v>267.33333333333331</v>
      </c>
      <c r="BZ65" s="14">
        <f>BY65*VLOOKUP('Données projet'!$B$12,Paramètres!$A$1:$I$89,3,0)*VLOOKUP('Données projet'!$B$12,Paramètres!$A$1:$I$89,5,0)</f>
        <v>208.51999999999998</v>
      </c>
      <c r="CA65" s="14">
        <f t="shared" si="39"/>
        <v>51.612035456318509</v>
      </c>
      <c r="CB65" s="22">
        <f t="shared" si="10"/>
        <v>453.06329508642131</v>
      </c>
      <c r="CC65" s="60">
        <f t="shared" si="11"/>
        <v>715.42229804607268</v>
      </c>
      <c r="CD65" s="60">
        <f ca="1">AVERAGE(OFFSET($CC$3,0,0,'Données projet'!$E$12+1,1))-AVERAGE(OFFSET($H$3,0,0,'Données projet'!$E$12+1,1))</f>
        <v>312.59632808777332</v>
      </c>
      <c r="CE65" s="60">
        <f t="shared" si="40"/>
        <v>302.59481222418219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8.8000000000000007</v>
      </c>
      <c r="CT65" s="13">
        <f>IF('Données projet'!$A$140&gt;35,CT64+CS65-DB64,IF(A65&lt;'Données projet'!$A$140,$CQ$205^A65,IF(A65='Données projet'!$A$140,'Données projet'!$B$140,CT64+CS65-DB64)))</f>
        <v>290.59999999999997</v>
      </c>
      <c r="CU65" s="18">
        <f>CT65*VLOOKUP('Données projet'!$B$13,Paramètres!$A$1:$I$89,3,0)*VLOOKUP('Données projet'!$B$13,Paramètres!$A$1:$I$89,5,0)</f>
        <v>281.06831999999997</v>
      </c>
      <c r="CV65" s="14">
        <f t="shared" si="41"/>
        <v>67.19272554541665</v>
      </c>
      <c r="CW65" s="22">
        <f t="shared" si="13"/>
        <v>606.55465432493395</v>
      </c>
      <c r="CX65" s="60">
        <f t="shared" si="14"/>
        <v>868.91365728458527</v>
      </c>
      <c r="CY65" s="60">
        <f ca="1">AVERAGE(OFFSET($CX$3,0,0,'Données projet'!$E$13+1,1))-AVERAGE(OFFSET($H$3,0,0,'Données projet'!$E$13+1,1))</f>
        <v>603.52431522262032</v>
      </c>
      <c r="CZ65" s="60">
        <f t="shared" si="42"/>
        <v>313.56299786481338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8.8000000000000007</v>
      </c>
      <c r="DO65" s="13">
        <f>IF('Données projet'!$A$166&gt;35,DO64+DN65-DW64,IF(A65&lt;'Données projet'!$A$166,$DL$205^A65,IF(A65='Données projet'!$A$166,'Données projet'!$B$166,DO64+DN65-DW64)))</f>
        <v>290.59999999999997</v>
      </c>
      <c r="DP65" s="18">
        <f>DO65*VLOOKUP('Données projet'!$B$14,Paramètres!$A$1:$I$89,3,0)*VLOOKUP('Données projet'!$B$14,Paramètres!$A$1:$I$89,5,0)</f>
        <v>312.80183999999991</v>
      </c>
      <c r="DQ65" s="14">
        <f t="shared" si="43"/>
        <v>73.853659115640383</v>
      </c>
      <c r="DR65" s="22">
        <f t="shared" si="16"/>
        <v>673.42499429307338</v>
      </c>
      <c r="DS65" s="60">
        <f t="shared" si="17"/>
        <v>935.7839972527247</v>
      </c>
      <c r="DT65" s="60">
        <f ca="1">AVERAGE(OFFSET($DS$3,0,0,'Données projet'!$E$14+1,1))-AVERAGE(OFFSET($H$3,0,0,'Données projet'!$E$14+1,1))</f>
        <v>661.93515988633499</v>
      </c>
      <c r="DU65" s="60">
        <f t="shared" si="44"/>
        <v>341.9250949809848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5.7692307692307683</v>
      </c>
      <c r="EJ65" s="13">
        <f>IF('Données projet'!$A$192&gt;35,EJ64+EI65-ER64,IF(A65&lt;'Données projet'!$A$192,$EG$205^A65,IF(A65='Données projet'!$A$192,'Données projet'!$B$192,EJ64+EI65-ER64)))</f>
        <v>265.3846153846153</v>
      </c>
      <c r="EK65" s="18">
        <f>EJ65*VLOOKUP('Données projet'!$B$15,Paramètres!$A$1:$I$89,3,0)*VLOOKUP('Données projet'!$B$15,Paramètres!$A$1:$I$89,5,0)</f>
        <v>178.01999999999995</v>
      </c>
      <c r="EL65" s="14">
        <f t="shared" si="45"/>
        <v>44.881389467952083</v>
      </c>
      <c r="EM65" s="22">
        <f t="shared" si="19"/>
        <v>388.21991999001648</v>
      </c>
      <c r="EN65" s="60">
        <f t="shared" si="20"/>
        <v>650.5789229496678</v>
      </c>
      <c r="EO65" s="60">
        <f ca="1">AVERAGE(OFFSET($EN$3,0,0,'Données projet'!$E$15+1,1))-AVERAGE(OFFSET($H$3,0,0,'Données projet'!$E$15+1,1))</f>
        <v>396.0878652679051</v>
      </c>
      <c r="EP65" s="60">
        <f t="shared" si="46"/>
        <v>327.26339199235406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5.2399999999999975</v>
      </c>
      <c r="FE65" s="13">
        <f>IF('Données projet'!$A$218&gt;35,FE64+FD65-FM64,IF(A65&lt;'Données projet'!$A$218,$FB$205^A65,IF(A65='Données projet'!$A$218,'Données projet'!$B$218,FE64+FD65-FM64)))</f>
        <v>290.27999999999986</v>
      </c>
      <c r="FF65" s="18">
        <f>FE65*VLOOKUP('Données projet'!$B$16,Paramètres!$A$1:$I$89,3,0)*VLOOKUP('Données projet'!$B$16,Paramètres!$A$1:$I$89,5,0)</f>
        <v>212.83329599999988</v>
      </c>
      <c r="FG65" s="14">
        <f t="shared" si="47"/>
        <v>52.554248411686309</v>
      </c>
      <c r="FH65" s="22">
        <f t="shared" si="22"/>
        <v>462.21663985035343</v>
      </c>
      <c r="FI65" s="60">
        <f t="shared" si="23"/>
        <v>724.57564281000475</v>
      </c>
      <c r="FJ65" s="60">
        <f ca="1">AVERAGE(OFFSET($FI$3,0,0,'Données projet'!$E$16+1,1))-AVERAGE(OFFSET($H$3,0,0,'Données projet'!$E$16+1,1))</f>
        <v>368.35775920359396</v>
      </c>
      <c r="FK65" s="60">
        <f t="shared" si="48"/>
        <v>395.5218438652638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12.4</v>
      </c>
      <c r="FZ65" s="13">
        <f>IF('Données projet'!$A$244&gt;35,FZ64+FY65-GH64,IF(A65&lt;'Données projet'!$A$244,$FW$205^A65,IF(A65='Données projet'!$A$244,'Données projet'!$B$244,FZ64+FY65-GH64)))</f>
        <v>360.8</v>
      </c>
      <c r="GA65" s="18">
        <f>FZ65*VLOOKUP('Données projet'!$B$17,Paramètres!$A$1:$I$89,3,0)*VLOOKUP('Données projet'!$B$17,Paramètres!$A$1:$I$89,5,0)</f>
        <v>309.56640000000004</v>
      </c>
      <c r="GB65" s="14">
        <f t="shared" si="49"/>
        <v>73.178269858732605</v>
      </c>
      <c r="GC65" s="22">
        <f t="shared" si="25"/>
        <v>666.61363333729264</v>
      </c>
      <c r="GD65" s="60">
        <f t="shared" si="26"/>
        <v>928.97263629694396</v>
      </c>
      <c r="GE65" s="60">
        <f ca="1">AVERAGE(OFFSET($GD$3,0,0,'Données projet'!$E$17+1,1))-AVERAGE(OFFSET($H$3,0,0,'Données projet'!$E$17+1,1))</f>
        <v>701.44583662096022</v>
      </c>
      <c r="GF65" s="60">
        <f t="shared" si="50"/>
        <v>331.25104323342907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-1.1368683772161603E-13</v>
      </c>
      <c r="GV65" s="18">
        <f>GU65*VLOOKUP('Données projet'!$B$18,Paramètres!$A$1:$I$89,3,0)*VLOOKUP('Données projet'!$B$18,Paramètres!$A$1:$I$89,5,0)</f>
        <v>-9.2222762759774927E-14</v>
      </c>
      <c r="GW65" s="14" t="e">
        <f t="shared" si="51"/>
        <v>#NUM!</v>
      </c>
      <c r="GX65" s="22" t="e">
        <f t="shared" si="28"/>
        <v>#NUM!</v>
      </c>
      <c r="GY65" s="60" t="e">
        <f t="shared" si="29"/>
        <v>#NUM!</v>
      </c>
      <c r="GZ65" s="60">
        <f ca="1">AVERAGE(OFFSET($GY$3,0,0,'Données projet'!$E$18+1,1))-AVERAGE(OFFSET($H$3,0,0,'Données projet'!$E$18+1,1))</f>
        <v>272.69564942740931</v>
      </c>
      <c r="HA65" s="60">
        <f t="shared" si="52"/>
        <v>316.57989180609252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25">
      <c r="A66" s="11">
        <f t="shared" si="31"/>
        <v>63</v>
      </c>
      <c r="B66" s="75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8">
        <f t="shared" si="1"/>
        <v>183.33333333333334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projet'!$B$9,Paramètres!$A$1:$I$89,3,0)*VLOOKUP('Données projet'!$B$9,Paramètres!$A$1:$I$89,5,0)</f>
        <v>270.89711999999997</v>
      </c>
      <c r="P66" s="14">
        <f t="shared" si="33"/>
        <v>65.039624021315475</v>
      </c>
      <c r="Q66" s="22">
        <f t="shared" si="53"/>
        <v>585.08982917045773</v>
      </c>
      <c r="R66" s="60">
        <f t="shared" si="0"/>
        <v>847.98616751386385</v>
      </c>
      <c r="S66" s="60">
        <f ca="1">AVERAGE(OFFSET($R$3,0,0,'Données projet'!$E$9+1,1))-AVERAGE(OFFSET($H$3,0,0,'Données projet'!$E$9+1,1))</f>
        <v>570.08763950759544</v>
      </c>
      <c r="T66" s="60">
        <f t="shared" si="34"/>
        <v>297.32483725004136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5.2399999999999975</v>
      </c>
      <c r="AI66" s="14">
        <f>IF('Données projet'!$A$62&gt;35,AI65+AH66-AQ65,IF(A66&lt;'Données projet'!$A$62,$AF$205^A66,IF(A66='Données projet'!$A$62,'Données projet'!$B$62,AI65+AH66-AQ65)))</f>
        <v>295.51999999999987</v>
      </c>
      <c r="AJ66" s="14">
        <f>AI66*VLOOKUP('Données projet'!$B$10,Paramètres!$A$1:$I$89,3,0)*VLOOKUP('Données projet'!$B$10,Paramètres!$A$1:$I$89,5,0)</f>
        <v>235.11571199999989</v>
      </c>
      <c r="AK66" s="14">
        <f t="shared" si="35"/>
        <v>57.387397894153374</v>
      </c>
      <c r="AL66" s="22">
        <f t="shared" si="4"/>
        <v>509.44291639898364</v>
      </c>
      <c r="AM66" s="60">
        <f t="shared" si="5"/>
        <v>772.33925474238981</v>
      </c>
      <c r="AN66" s="60">
        <f ca="1">AVERAGE(OFFSET($AM$3,0,0,'Données projet'!$E$10+1,1))-AVERAGE(OFFSET($H$3,0,0,'Données projet'!$E$10+1,1))</f>
        <v>394.49874384716014</v>
      </c>
      <c r="AO66" s="60">
        <f t="shared" si="36"/>
        <v>423.72519584013378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</v>
      </c>
      <c r="BD66" s="13">
        <f>IF('Données projet'!$A$88&gt;35,BD65+BC66-BL65,IF(A66&lt;'Données projet'!$A$88,$BA$205^A66,IF(A66='Données projet'!$A$88,'Données projet'!$B$88,BD65+BC66-BL65)))</f>
        <v>222.69230769230759</v>
      </c>
      <c r="BE66" s="14">
        <f>BD66*VLOOKUP('Données projet'!$B$11,Paramètres!$A$1:$I$89,3,0)*VLOOKUP('Données projet'!$B$11,Paramètres!$A$1:$I$89,5,0)</f>
        <v>211.9139999999999</v>
      </c>
      <c r="BF66" s="14">
        <f t="shared" si="37"/>
        <v>52.353621737631663</v>
      </c>
      <c r="BG66" s="22">
        <f t="shared" si="7"/>
        <v>460.26610785970826</v>
      </c>
      <c r="BH66" s="60">
        <f t="shared" si="8"/>
        <v>723.16244620311431</v>
      </c>
      <c r="BI66" s="60">
        <f ca="1">AVERAGE(OFFSET($BH$3,0,0,'Données projet'!$E$11+1,1))-AVERAGE(OFFSET($H$3,0,0,'Données projet'!$E$11+1,1))</f>
        <v>441.15969139782891</v>
      </c>
      <c r="BJ66" s="60">
        <f t="shared" si="38"/>
        <v>315.06466790224783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8.6666666666666661</v>
      </c>
      <c r="BY66" s="13">
        <f>IF('Données projet'!$A$114&gt;35,BY65+BX66-CG65,IF(A66&lt;'Données projet'!$A$114,$BV$205^A66,IF(A66='Données projet'!$A$114,'Données projet'!$B$114,BY65+BX66-CG65)))</f>
        <v>276</v>
      </c>
      <c r="BZ66" s="14">
        <f>BY66*VLOOKUP('Données projet'!$B$12,Paramètres!$A$1:$I$89,3,0)*VLOOKUP('Données projet'!$B$12,Paramètres!$A$1:$I$89,5,0)</f>
        <v>215.28</v>
      </c>
      <c r="CA66" s="14">
        <f t="shared" si="39"/>
        <v>53.087725740853138</v>
      </c>
      <c r="CB66" s="22">
        <f t="shared" si="10"/>
        <v>467.40712233198587</v>
      </c>
      <c r="CC66" s="60">
        <f t="shared" si="11"/>
        <v>730.30346067539199</v>
      </c>
      <c r="CD66" s="60">
        <f ca="1">AVERAGE(OFFSET($CC$3,0,0,'Données projet'!$E$12+1,1))-AVERAGE(OFFSET($H$3,0,0,'Données projet'!$E$12+1,1))</f>
        <v>312.59632808777332</v>
      </c>
      <c r="CE66" s="60">
        <f t="shared" si="40"/>
        <v>302.59481222418219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8.8000000000000007</v>
      </c>
      <c r="CT66" s="13">
        <f>IF('Données projet'!$A$140&gt;35,CT65+CS66-DB65,IF(A66&lt;'Données projet'!$A$140,$CQ$205^A66,IF(A66='Données projet'!$A$140,'Données projet'!$B$140,CT65+CS66-DB65)))</f>
        <v>299.39999999999998</v>
      </c>
      <c r="CU66" s="18">
        <f>CT66*VLOOKUP('Données projet'!$B$13,Paramètres!$A$1:$I$89,3,0)*VLOOKUP('Données projet'!$B$13,Paramètres!$A$1:$I$89,5,0)</f>
        <v>289.57968</v>
      </c>
      <c r="CV66" s="14">
        <f t="shared" si="41"/>
        <v>68.987489943980663</v>
      </c>
      <c r="CW66" s="22">
        <f t="shared" si="13"/>
        <v>624.504487652433</v>
      </c>
      <c r="CX66" s="60">
        <f t="shared" si="14"/>
        <v>887.40082599583911</v>
      </c>
      <c r="CY66" s="60">
        <f ca="1">AVERAGE(OFFSET($CX$3,0,0,'Données projet'!$E$13+1,1))-AVERAGE(OFFSET($H$3,0,0,'Données projet'!$E$13+1,1))</f>
        <v>603.52431522262032</v>
      </c>
      <c r="CZ66" s="60">
        <f t="shared" si="42"/>
        <v>313.56299786481338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8.8000000000000007</v>
      </c>
      <c r="DO66" s="13">
        <f>IF('Données projet'!$A$166&gt;35,DO65+DN66-DW65,IF(A66&lt;'Données projet'!$A$166,$DL$205^A66,IF(A66='Données projet'!$A$166,'Données projet'!$B$166,DO65+DN66-DW65)))</f>
        <v>299.39999999999998</v>
      </c>
      <c r="DP66" s="18">
        <f>DO66*VLOOKUP('Données projet'!$B$14,Paramètres!$A$1:$I$89,3,0)*VLOOKUP('Données projet'!$B$14,Paramètres!$A$1:$I$89,5,0)</f>
        <v>322.27415999999994</v>
      </c>
      <c r="DQ66" s="14">
        <f t="shared" si="43"/>
        <v>75.826341679243811</v>
      </c>
      <c r="DR66" s="22">
        <f t="shared" si="16"/>
        <v>693.35837375801611</v>
      </c>
      <c r="DS66" s="60">
        <f t="shared" si="17"/>
        <v>956.25471210142223</v>
      </c>
      <c r="DT66" s="60">
        <f ca="1">AVERAGE(OFFSET($DS$3,0,0,'Données projet'!$E$14+1,1))-AVERAGE(OFFSET($H$3,0,0,'Données projet'!$E$14+1,1))</f>
        <v>661.93515988633499</v>
      </c>
      <c r="DU66" s="60">
        <f t="shared" si="44"/>
        <v>341.9250949809848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5.7692307692307683</v>
      </c>
      <c r="EJ66" s="13">
        <f>IF('Données projet'!$A$192&gt;35,EJ65+EI66-ER65,IF(A66&lt;'Données projet'!$A$192,$EG$205^A66,IF(A66='Données projet'!$A$192,'Données projet'!$B$192,EJ65+EI66-ER65)))</f>
        <v>271.15384615384608</v>
      </c>
      <c r="EK66" s="18">
        <f>EJ66*VLOOKUP('Données projet'!$B$15,Paramètres!$A$1:$I$89,3,0)*VLOOKUP('Données projet'!$B$15,Paramètres!$A$1:$I$89,5,0)</f>
        <v>181.88999999999996</v>
      </c>
      <c r="EL66" s="14">
        <f t="shared" si="45"/>
        <v>45.742420382341599</v>
      </c>
      <c r="EM66" s="22">
        <f t="shared" si="19"/>
        <v>396.4597988325782</v>
      </c>
      <c r="EN66" s="60">
        <f t="shared" si="20"/>
        <v>659.35613717598426</v>
      </c>
      <c r="EO66" s="60">
        <f ca="1">AVERAGE(OFFSET($EN$3,0,0,'Données projet'!$E$15+1,1))-AVERAGE(OFFSET($H$3,0,0,'Données projet'!$E$15+1,1))</f>
        <v>396.0878652679051</v>
      </c>
      <c r="EP66" s="60">
        <f t="shared" si="46"/>
        <v>327.26339199235406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5.2399999999999975</v>
      </c>
      <c r="FE66" s="13">
        <f>IF('Données projet'!$A$218&gt;35,FE65+FD66-FM65,IF(A66&lt;'Données projet'!$A$218,$FB$205^A66,IF(A66='Données projet'!$A$218,'Données projet'!$B$218,FE65+FD66-FM65)))</f>
        <v>295.51999999999987</v>
      </c>
      <c r="FF66" s="18">
        <f>FE66*VLOOKUP('Données projet'!$B$16,Paramètres!$A$1:$I$89,3,0)*VLOOKUP('Données projet'!$B$16,Paramètres!$A$1:$I$89,5,0)</f>
        <v>216.67526399999991</v>
      </c>
      <c r="FG66" s="14">
        <f t="shared" si="47"/>
        <v>53.391631603175213</v>
      </c>
      <c r="FH66" s="22">
        <f t="shared" si="22"/>
        <v>470.36650984219659</v>
      </c>
      <c r="FI66" s="60">
        <f t="shared" si="23"/>
        <v>733.26284818560271</v>
      </c>
      <c r="FJ66" s="60">
        <f ca="1">AVERAGE(OFFSET($FI$3,0,0,'Données projet'!$E$16+1,1))-AVERAGE(OFFSET($H$3,0,0,'Données projet'!$E$16+1,1))</f>
        <v>368.35775920359396</v>
      </c>
      <c r="FK66" s="60">
        <f t="shared" si="48"/>
        <v>395.5218438652638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12.4</v>
      </c>
      <c r="FZ66" s="13">
        <f>IF('Données projet'!$A$244&gt;35,FZ65+FY66-GH65,IF(A66&lt;'Données projet'!$A$244,$FW$205^A66,IF(A66='Données projet'!$A$244,'Données projet'!$B$244,FZ65+FY66-GH65)))</f>
        <v>373.2</v>
      </c>
      <c r="GA66" s="18">
        <f>FZ66*VLOOKUP('Données projet'!$B$17,Paramètres!$A$1:$I$89,3,0)*VLOOKUP('Données projet'!$B$17,Paramètres!$A$1:$I$89,5,0)</f>
        <v>320.20560000000006</v>
      </c>
      <c r="GB66" s="14">
        <f t="shared" si="49"/>
        <v>75.39613114202001</v>
      </c>
      <c r="GC66" s="22">
        <f t="shared" si="25"/>
        <v>689.006348405685</v>
      </c>
      <c r="GD66" s="60">
        <f t="shared" si="26"/>
        <v>951.90268674909112</v>
      </c>
      <c r="GE66" s="60">
        <f ca="1">AVERAGE(OFFSET($GD$3,0,0,'Données projet'!$E$17+1,1))-AVERAGE(OFFSET($H$3,0,0,'Données projet'!$E$17+1,1))</f>
        <v>701.44583662096022</v>
      </c>
      <c r="GF66" s="60">
        <f t="shared" si="50"/>
        <v>331.25104323342907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-1.1368683772161603E-13</v>
      </c>
      <c r="GV66" s="18">
        <f>GU66*VLOOKUP('Données projet'!$B$18,Paramètres!$A$1:$I$89,3,0)*VLOOKUP('Données projet'!$B$18,Paramètres!$A$1:$I$89,5,0)</f>
        <v>-9.2222762759774927E-14</v>
      </c>
      <c r="GW66" s="14" t="e">
        <f t="shared" si="51"/>
        <v>#NUM!</v>
      </c>
      <c r="GX66" s="22" t="e">
        <f t="shared" si="28"/>
        <v>#NUM!</v>
      </c>
      <c r="GY66" s="60" t="e">
        <f t="shared" si="29"/>
        <v>#NUM!</v>
      </c>
      <c r="GZ66" s="60">
        <f ca="1">AVERAGE(OFFSET($GY$3,0,0,'Données projet'!$E$18+1,1))-AVERAGE(OFFSET($H$3,0,0,'Données projet'!$E$18+1,1))</f>
        <v>272.69564942740931</v>
      </c>
      <c r="HA66" s="60">
        <f t="shared" si="52"/>
        <v>316.57989180609252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25">
      <c r="A67" s="11">
        <f t="shared" si="31"/>
        <v>64</v>
      </c>
      <c r="B67" s="75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8">
        <f t="shared" si="1"/>
        <v>183.33333333333334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projet'!$B$9,Paramètres!$A$1:$I$89,3,0)*VLOOKUP('Données projet'!$B$9,Paramètres!$A$1:$I$89,5,0)</f>
        <v>278.85935999999998</v>
      </c>
      <c r="P67" s="14">
        <f t="shared" si="33"/>
        <v>66.725901622172444</v>
      </c>
      <c r="Q67" s="22">
        <f t="shared" ref="Q67:Q98" si="54">(O67+P67)*0.475*44/12</f>
        <v>601.89433065861692</v>
      </c>
      <c r="R67" s="60">
        <f t="shared" ref="R67:R130" si="55">Q67+(I67+J67)*44/12</f>
        <v>865.31868281817174</v>
      </c>
      <c r="S67" s="60">
        <f ca="1">AVERAGE(OFFSET($R$3,0,0,'Données projet'!$E$9+1,1))-AVERAGE(OFFSET($H$3,0,0,'Données projet'!$E$9+1,1))</f>
        <v>570.08763950759544</v>
      </c>
      <c r="T67" s="60">
        <f t="shared" si="34"/>
        <v>297.32483725004136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5.2399999999999975</v>
      </c>
      <c r="AI67" s="14">
        <f>IF('Données projet'!$A$62&gt;35,AI66+AH67-AQ66,IF(A67&lt;'Données projet'!$A$62,$AF$205^A67,IF(A67='Données projet'!$A$62,'Données projet'!$B$62,AI66+AH67-AQ66)))</f>
        <v>300.75999999999988</v>
      </c>
      <c r="AJ67" s="14">
        <f>AI67*VLOOKUP('Données projet'!$B$10,Paramètres!$A$1:$I$89,3,0)*VLOOKUP('Données projet'!$B$10,Paramètres!$A$1:$I$89,5,0)</f>
        <v>239.2846559999999</v>
      </c>
      <c r="AK67" s="14">
        <f t="shared" si="35"/>
        <v>58.285594007367486</v>
      </c>
      <c r="AL67" s="22">
        <f t="shared" si="4"/>
        <v>518.2681854294982</v>
      </c>
      <c r="AM67" s="60">
        <f t="shared" si="5"/>
        <v>781.69253758905302</v>
      </c>
      <c r="AN67" s="60">
        <f ca="1">AVERAGE(OFFSET($AM$3,0,0,'Données projet'!$E$10+1,1))-AVERAGE(OFFSET($H$3,0,0,'Données projet'!$E$10+1,1))</f>
        <v>394.49874384716014</v>
      </c>
      <c r="AO67" s="60">
        <f t="shared" si="36"/>
        <v>423.72519584013378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</v>
      </c>
      <c r="BD67" s="13">
        <f>IF('Données projet'!$A$88&gt;35,BD66+BC67-BL66,IF(A67&lt;'Données projet'!$A$88,$BA$205^A67,IF(A67='Données projet'!$A$88,'Données projet'!$B$88,BD66+BC67-BL66)))</f>
        <v>227.69230769230759</v>
      </c>
      <c r="BE67" s="14">
        <f>BD67*VLOOKUP('Données projet'!$B$11,Paramètres!$A$1:$I$89,3,0)*VLOOKUP('Données projet'!$B$11,Paramètres!$A$1:$I$89,5,0)</f>
        <v>216.67199999999991</v>
      </c>
      <c r="BF67" s="14">
        <f t="shared" si="37"/>
        <v>53.390920929716366</v>
      </c>
      <c r="BG67" s="22">
        <f t="shared" si="7"/>
        <v>470.35958728592249</v>
      </c>
      <c r="BH67" s="60">
        <f t="shared" si="8"/>
        <v>733.78393944547724</v>
      </c>
      <c r="BI67" s="60">
        <f ca="1">AVERAGE(OFFSET($BH$3,0,0,'Données projet'!$E$11+1,1))-AVERAGE(OFFSET($H$3,0,0,'Données projet'!$E$11+1,1))</f>
        <v>441.15969139782891</v>
      </c>
      <c r="BJ67" s="60">
        <f t="shared" si="38"/>
        <v>315.06466790224783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8.6666666666666661</v>
      </c>
      <c r="BY67" s="13">
        <f>IF('Données projet'!$A$114&gt;35,BY66+BX67-CG66,IF(A67&lt;'Données projet'!$A$114,$BV$205^A67,IF(A67='Données projet'!$A$114,'Données projet'!$B$114,BY66+BX67-CG66)))</f>
        <v>284.66666666666669</v>
      </c>
      <c r="BZ67" s="14">
        <f>BY67*VLOOKUP('Données projet'!$B$12,Paramètres!$A$1:$I$89,3,0)*VLOOKUP('Données projet'!$B$12,Paramètres!$A$1:$I$89,5,0)</f>
        <v>222.04000000000002</v>
      </c>
      <c r="CA67" s="14">
        <f t="shared" si="39"/>
        <v>54.558031180803596</v>
      </c>
      <c r="CB67" s="22">
        <f t="shared" si="10"/>
        <v>481.74157097323291</v>
      </c>
      <c r="CC67" s="60">
        <f t="shared" si="11"/>
        <v>745.16592313278761</v>
      </c>
      <c r="CD67" s="60">
        <f ca="1">AVERAGE(OFFSET($CC$3,0,0,'Données projet'!$E$12+1,1))-AVERAGE(OFFSET($H$3,0,0,'Données projet'!$E$12+1,1))</f>
        <v>312.59632808777332</v>
      </c>
      <c r="CE67" s="60">
        <f t="shared" si="40"/>
        <v>302.59481222418219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8.8000000000000007</v>
      </c>
      <c r="CT67" s="13">
        <f>IF('Données projet'!$A$140&gt;35,CT66+CS67-DB66,IF(A67&lt;'Données projet'!$A$140,$CQ$205^A67,IF(A67='Données projet'!$A$140,'Données projet'!$B$140,CT66+CS67-DB66)))</f>
        <v>308.2</v>
      </c>
      <c r="CU67" s="18">
        <f>CT67*VLOOKUP('Données projet'!$B$13,Paramètres!$A$1:$I$89,3,0)*VLOOKUP('Données projet'!$B$13,Paramètres!$A$1:$I$89,5,0)</f>
        <v>298.09104000000002</v>
      </c>
      <c r="CV67" s="14">
        <f t="shared" si="41"/>
        <v>70.776123577436934</v>
      </c>
      <c r="CW67" s="22">
        <f t="shared" si="13"/>
        <v>642.44364323070261</v>
      </c>
      <c r="CX67" s="60">
        <f t="shared" si="14"/>
        <v>905.86799539025742</v>
      </c>
      <c r="CY67" s="60">
        <f ca="1">AVERAGE(OFFSET($CX$3,0,0,'Données projet'!$E$13+1,1))-AVERAGE(OFFSET($H$3,0,0,'Données projet'!$E$13+1,1))</f>
        <v>603.52431522262032</v>
      </c>
      <c r="CZ67" s="60">
        <f t="shared" si="42"/>
        <v>313.56299786481338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8.8000000000000007</v>
      </c>
      <c r="DO67" s="13">
        <f>IF('Données projet'!$A$166&gt;35,DO66+DN67-DW66,IF(A67&lt;'Données projet'!$A$166,$DL$205^A67,IF(A67='Données projet'!$A$166,'Données projet'!$B$166,DO66+DN67-DW66)))</f>
        <v>308.2</v>
      </c>
      <c r="DP67" s="18">
        <f>DO67*VLOOKUP('Données projet'!$B$14,Paramètres!$A$1:$I$89,3,0)*VLOOKUP('Données projet'!$B$14,Paramètres!$A$1:$I$89,5,0)</f>
        <v>331.74647999999996</v>
      </c>
      <c r="DQ67" s="14">
        <f t="shared" si="43"/>
        <v>77.792285724165268</v>
      </c>
      <c r="DR67" s="22">
        <f t="shared" si="16"/>
        <v>713.28001696958779</v>
      </c>
      <c r="DS67" s="60">
        <f t="shared" si="17"/>
        <v>976.70436912914261</v>
      </c>
      <c r="DT67" s="60">
        <f ca="1">AVERAGE(OFFSET($DS$3,0,0,'Données projet'!$E$14+1,1))-AVERAGE(OFFSET($H$3,0,0,'Données projet'!$E$14+1,1))</f>
        <v>661.93515988633499</v>
      </c>
      <c r="DU67" s="60">
        <f t="shared" si="44"/>
        <v>341.9250949809848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5.7692307692307683</v>
      </c>
      <c r="EJ67" s="13">
        <f>IF('Données projet'!$A$192&gt;35,EJ66+EI67-ER66,IF(A67&lt;'Données projet'!$A$192,$EG$205^A67,IF(A67='Données projet'!$A$192,'Données projet'!$B$192,EJ66+EI67-ER66)))</f>
        <v>276.92307692307685</v>
      </c>
      <c r="EK67" s="18">
        <f>EJ67*VLOOKUP('Données projet'!$B$15,Paramètres!$A$1:$I$89,3,0)*VLOOKUP('Données projet'!$B$15,Paramètres!$A$1:$I$89,5,0)</f>
        <v>185.75999999999993</v>
      </c>
      <c r="EL67" s="14">
        <f t="shared" si="45"/>
        <v>46.601321339767978</v>
      </c>
      <c r="EM67" s="22">
        <f t="shared" si="19"/>
        <v>404.69596800009577</v>
      </c>
      <c r="EN67" s="60">
        <f t="shared" si="20"/>
        <v>668.12032015965053</v>
      </c>
      <c r="EO67" s="60">
        <f ca="1">AVERAGE(OFFSET($EN$3,0,0,'Données projet'!$E$15+1,1))-AVERAGE(OFFSET($H$3,0,0,'Données projet'!$E$15+1,1))</f>
        <v>396.0878652679051</v>
      </c>
      <c r="EP67" s="60">
        <f t="shared" si="46"/>
        <v>327.26339199235406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5.2399999999999975</v>
      </c>
      <c r="FE67" s="13">
        <f>IF('Données projet'!$A$218&gt;35,FE66+FD67-FM66,IF(A67&lt;'Données projet'!$A$218,$FB$205^A67,IF(A67='Données projet'!$A$218,'Données projet'!$B$218,FE66+FD67-FM66)))</f>
        <v>300.75999999999988</v>
      </c>
      <c r="FF67" s="18">
        <f>FE67*VLOOKUP('Données projet'!$B$16,Paramètres!$A$1:$I$89,3,0)*VLOOKUP('Données projet'!$B$16,Paramètres!$A$1:$I$89,5,0)</f>
        <v>220.51723199999989</v>
      </c>
      <c r="FG67" s="14">
        <f t="shared" si="47"/>
        <v>54.22728817140964</v>
      </c>
      <c r="FH67" s="22">
        <f t="shared" si="22"/>
        <v>478.51337263187162</v>
      </c>
      <c r="FI67" s="60">
        <f t="shared" si="23"/>
        <v>741.93772479142638</v>
      </c>
      <c r="FJ67" s="60">
        <f ca="1">AVERAGE(OFFSET($FI$3,0,0,'Données projet'!$E$16+1,1))-AVERAGE(OFFSET($H$3,0,0,'Données projet'!$E$16+1,1))</f>
        <v>368.35775920359396</v>
      </c>
      <c r="FK67" s="60">
        <f t="shared" si="48"/>
        <v>395.5218438652638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12.4</v>
      </c>
      <c r="FZ67" s="13">
        <f>IF('Données projet'!$A$244&gt;35,FZ66+FY67-GH66,IF(A67&lt;'Données projet'!$A$244,$FW$205^A67,IF(A67='Données projet'!$A$244,'Données projet'!$B$244,FZ66+FY67-GH66)))</f>
        <v>385.59999999999997</v>
      </c>
      <c r="GA67" s="18">
        <f>FZ67*VLOOKUP('Données projet'!$B$17,Paramètres!$A$1:$I$89,3,0)*VLOOKUP('Données projet'!$B$17,Paramètres!$A$1:$I$89,5,0)</f>
        <v>330.84480000000002</v>
      </c>
      <c r="GB67" s="14">
        <f t="shared" si="49"/>
        <v>77.605429694617001</v>
      </c>
      <c r="GC67" s="22">
        <f t="shared" si="25"/>
        <v>711.38415005145782</v>
      </c>
      <c r="GD67" s="60">
        <f t="shared" si="26"/>
        <v>974.80850221101264</v>
      </c>
      <c r="GE67" s="60">
        <f ca="1">AVERAGE(OFFSET($GD$3,0,0,'Données projet'!$E$17+1,1))-AVERAGE(OFFSET($H$3,0,0,'Données projet'!$E$17+1,1))</f>
        <v>701.44583662096022</v>
      </c>
      <c r="GF67" s="60">
        <f t="shared" si="50"/>
        <v>331.25104323342907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-1.1368683772161603E-13</v>
      </c>
      <c r="GV67" s="18">
        <f>GU67*VLOOKUP('Données projet'!$B$18,Paramètres!$A$1:$I$89,3,0)*VLOOKUP('Données projet'!$B$18,Paramètres!$A$1:$I$89,5,0)</f>
        <v>-9.2222762759774927E-14</v>
      </c>
      <c r="GW67" s="14" t="e">
        <f t="shared" si="51"/>
        <v>#NUM!</v>
      </c>
      <c r="GX67" s="22" t="e">
        <f t="shared" si="28"/>
        <v>#NUM!</v>
      </c>
      <c r="GY67" s="60" t="e">
        <f t="shared" si="29"/>
        <v>#NUM!</v>
      </c>
      <c r="GZ67" s="60">
        <f ca="1">AVERAGE(OFFSET($GY$3,0,0,'Données projet'!$E$18+1,1))-AVERAGE(OFFSET($H$3,0,0,'Données projet'!$E$18+1,1))</f>
        <v>272.69564942740931</v>
      </c>
      <c r="HA67" s="60">
        <f t="shared" si="52"/>
        <v>316.57989180609252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25">
      <c r="A68" s="11">
        <f t="shared" si="31"/>
        <v>65</v>
      </c>
      <c r="B68" s="75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8">
        <f t="shared" ref="H68:H131" si="56">(B68+E68+F68)*44/12+(C68+D68)*0.475*44/12</f>
        <v>183.33333333333334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projet'!$B$9,Paramètres!$A$1:$I$89,3,0)*VLOOKUP('Données projet'!$B$9,Paramètres!$A$1:$I$89,5,0)</f>
        <v>286.82159999999999</v>
      </c>
      <c r="P68" s="14">
        <f t="shared" si="33"/>
        <v>68.406583284351484</v>
      </c>
      <c r="Q68" s="22">
        <f t="shared" si="54"/>
        <v>618.68908588691215</v>
      </c>
      <c r="R68" s="60">
        <f t="shared" si="55"/>
        <v>882.63229200336741</v>
      </c>
      <c r="S68" s="60">
        <f ca="1">AVERAGE(OFFSET($R$3,0,0,'Données projet'!$E$9+1,1))-AVERAGE(OFFSET($H$3,0,0,'Données projet'!$E$9+1,1))</f>
        <v>570.08763950759544</v>
      </c>
      <c r="T68" s="60">
        <f t="shared" si="34"/>
        <v>297.32483725004136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306</v>
      </c>
      <c r="AG68" s="13">
        <f>VLOOKUP(A68,'Données projet'!$A$61:$I$81,9,0)</f>
        <v>5.2399999999999975</v>
      </c>
      <c r="AH68" s="13">
        <f t="array" ref="AH68">INDEX(AG:AG,MIN(IF(ISNUMBER(AG68:AG264),ROW(AG68:AG264),"")))</f>
        <v>5.2399999999999975</v>
      </c>
      <c r="AI68" s="14">
        <f>IF('Données projet'!$A$62&gt;35,AI67+AH68-AQ67,IF(A68&lt;'Données projet'!$A$62,$AF$205^A68,IF(A68='Données projet'!$A$62,'Données projet'!$B$62,AI67+AH68-AQ67)))</f>
        <v>305.99999999999989</v>
      </c>
      <c r="AJ68" s="14">
        <f>AI68*VLOOKUP('Données projet'!$B$10,Paramètres!$A$1:$I$89,3,0)*VLOOKUP('Données projet'!$B$10,Paramètres!$A$1:$I$89,5,0)</f>
        <v>243.45359999999991</v>
      </c>
      <c r="AK68" s="14">
        <f t="shared" si="35"/>
        <v>59.181970343065267</v>
      </c>
      <c r="AL68" s="22">
        <f t="shared" ref="AL68:AL131" si="58">(AJ68+AK68)*0.475*44/12</f>
        <v>527.09028501417185</v>
      </c>
      <c r="AM68" s="60">
        <f t="shared" ref="AM68:AM131" si="59">AL68+(AD68+AE68)*44/12</f>
        <v>791.033491130627</v>
      </c>
      <c r="AN68" s="60">
        <f ca="1">AVERAGE(OFFSET($AM$3,0,0,'Données projet'!$E$10+1,1))-AVERAGE(OFFSET($H$3,0,0,'Données projet'!$E$10+1,1))</f>
        <v>394.49874384716014</v>
      </c>
      <c r="AO68" s="60">
        <f t="shared" si="36"/>
        <v>423.72519584013378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232.69230769230768</v>
      </c>
      <c r="BB68" s="13">
        <f>VLOOKUP(A68,'Données projet'!$A$87:$I$107,9,0)</f>
        <v>5</v>
      </c>
      <c r="BC68" s="13">
        <f t="array" ref="BC68">INDEX(BB:BB,MIN(IF(ISNUMBER(BB68:BB264),ROW(BB68:BB264),"")))</f>
        <v>5</v>
      </c>
      <c r="BD68" s="13">
        <f>IF('Données projet'!$A$88&gt;35,BD67+BC68-BL67,IF(A68&lt;'Données projet'!$A$88,$BA$205^A68,IF(A68='Données projet'!$A$88,'Données projet'!$B$88,BD67+BC68-BL67)))</f>
        <v>232.69230769230759</v>
      </c>
      <c r="BE68" s="14">
        <f>BD68*VLOOKUP('Données projet'!$B$11,Paramètres!$A$1:$I$89,3,0)*VLOOKUP('Données projet'!$B$11,Paramètres!$A$1:$I$89,5,0)</f>
        <v>221.42999999999989</v>
      </c>
      <c r="BF68" s="14">
        <f t="shared" si="37"/>
        <v>54.425571861733111</v>
      </c>
      <c r="BG68" s="22">
        <f t="shared" ref="BG68:BG131" si="61">(BE68+BF68)*0.475*44/12</f>
        <v>480.44845432585157</v>
      </c>
      <c r="BH68" s="60">
        <f t="shared" ref="BH68:BH131" si="62">BG68+(AY68+AZ68)*44/12</f>
        <v>744.39166044230683</v>
      </c>
      <c r="BI68" s="60">
        <f ca="1">AVERAGE(OFFSET($BH$3,0,0,'Données projet'!$E$11+1,1))-AVERAGE(OFFSET($H$3,0,0,'Données projet'!$E$11+1,1))</f>
        <v>441.15969139782891</v>
      </c>
      <c r="BJ68" s="60">
        <f t="shared" si="38"/>
        <v>315.06466790224783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32.692307692307693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8.6666666666666661</v>
      </c>
      <c r="BY68" s="13">
        <f>IF('Données projet'!$A$114&gt;35,BY67+BX68-CG67,IF(A68&lt;'Données projet'!$A$114,$BV$205^A68,IF(A68='Données projet'!$A$114,'Données projet'!$B$114,BY67+BX68-CG67)))</f>
        <v>293.33333333333337</v>
      </c>
      <c r="BZ68" s="14">
        <f>BY68*VLOOKUP('Données projet'!$B$12,Paramètres!$A$1:$I$89,3,0)*VLOOKUP('Données projet'!$B$12,Paramètres!$A$1:$I$89,5,0)</f>
        <v>228.80000000000004</v>
      </c>
      <c r="CA68" s="14">
        <f t="shared" si="39"/>
        <v>56.023134533701196</v>
      </c>
      <c r="CB68" s="22">
        <f t="shared" ref="CB68:CB131" si="64">(BZ68+CA68)*0.475*44/12</f>
        <v>496.06695931286299</v>
      </c>
      <c r="CC68" s="60">
        <f t="shared" ref="CC68:CC131" si="65">CB68+(BT68+BU68)*44/12</f>
        <v>760.01016542931825</v>
      </c>
      <c r="CD68" s="60">
        <f ca="1">AVERAGE(OFFSET($CC$3,0,0,'Données projet'!$E$12+1,1))-AVERAGE(OFFSET($H$3,0,0,'Données projet'!$E$12+1,1))</f>
        <v>312.59632808777332</v>
      </c>
      <c r="CE68" s="60">
        <f t="shared" si="40"/>
        <v>302.59481222418219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317</v>
      </c>
      <c r="CR68" s="13">
        <f>VLOOKUP(A68,'Données projet'!$A$139:$I$159,9,0)</f>
        <v>8.8000000000000007</v>
      </c>
      <c r="CS68" s="13">
        <f t="array" ref="CS68">INDEX(CR:CR,MIN(IF(ISNUMBER(CR68:CR264),ROW(CR68:CR264),"")))</f>
        <v>8.8000000000000007</v>
      </c>
      <c r="CT68" s="13">
        <f>IF('Données projet'!$A$140&gt;35,CT67+CS68-DB67,IF(A68&lt;'Données projet'!$A$140,$CQ$205^A68,IF(A68='Données projet'!$A$140,'Données projet'!$B$140,CT67+CS68-DB67)))</f>
        <v>317</v>
      </c>
      <c r="CU68" s="18">
        <f>CT68*VLOOKUP('Données projet'!$B$13,Paramètres!$A$1:$I$89,3,0)*VLOOKUP('Données projet'!$B$13,Paramètres!$A$1:$I$89,5,0)</f>
        <v>306.60239999999999</v>
      </c>
      <c r="CV68" s="14">
        <f t="shared" si="41"/>
        <v>72.558821602115088</v>
      </c>
      <c r="CW68" s="22">
        <f t="shared" ref="CW68:CW131" si="67">(CU68+CV68)*0.475*44/12</f>
        <v>660.3724609570171</v>
      </c>
      <c r="CX68" s="60">
        <f t="shared" ref="CX68:CX131" si="68">CW68+(CO68+CP68)*44/12</f>
        <v>924.31566707347224</v>
      </c>
      <c r="CY68" s="60">
        <f ca="1">AVERAGE(OFFSET($CX$3,0,0,'Données projet'!$E$13+1,1))-AVERAGE(OFFSET($H$3,0,0,'Données projet'!$E$13+1,1))</f>
        <v>603.52431522262032</v>
      </c>
      <c r="CZ68" s="60">
        <f t="shared" si="42"/>
        <v>313.56299786481338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56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317</v>
      </c>
      <c r="DM68" s="13">
        <f>VLOOKUP(A68,'Données projet'!$A$165:$I$185,9,0)</f>
        <v>8.8000000000000007</v>
      </c>
      <c r="DN68" s="13">
        <f t="array" ref="DN68">INDEX(DM:DM,MIN(IF(ISNUMBER(DM68:DM264),ROW(DM68:DM264),"")))</f>
        <v>8.8000000000000007</v>
      </c>
      <c r="DO68" s="13">
        <f>IF('Données projet'!$A$166&gt;35,DO67+DN68-DW67,IF(A68&lt;'Données projet'!$A$166,$DL$205^A68,IF(A68='Données projet'!$A$166,'Données projet'!$B$166,DO67+DN68-DW67)))</f>
        <v>317</v>
      </c>
      <c r="DP68" s="18">
        <f>DO68*VLOOKUP('Données projet'!$B$14,Paramètres!$A$1:$I$89,3,0)*VLOOKUP('Données projet'!$B$14,Paramètres!$A$1:$I$89,5,0)</f>
        <v>341.21879999999999</v>
      </c>
      <c r="DQ68" s="14">
        <f t="shared" si="43"/>
        <v>79.751705752925901</v>
      </c>
      <c r="DR68" s="22">
        <f t="shared" ref="DR68:DR131" si="70">(DP68+DQ68)*0.475*44/12</f>
        <v>733.19029751967912</v>
      </c>
      <c r="DS68" s="60">
        <f t="shared" ref="DS68:DS131" si="71">DR68+(DJ68+DK68)*44/12</f>
        <v>997.13350363613426</v>
      </c>
      <c r="DT68" s="60">
        <f ca="1">AVERAGE(OFFSET($DS$3,0,0,'Données projet'!$E$14+1,1))-AVERAGE(OFFSET($H$3,0,0,'Données projet'!$E$14+1,1))</f>
        <v>661.93515988633499</v>
      </c>
      <c r="DU68" s="60">
        <f t="shared" si="44"/>
        <v>341.9250949809848</v>
      </c>
      <c r="DV68" s="16">
        <f>IF(ISNA(VLOOKUP(A68,'Données projet'!$A$165:$I$185,3,0)),0,VLOOKUP(A68,'Données projet'!$A$165:$I$185,3,0))</f>
        <v>5</v>
      </c>
      <c r="DW68" s="16">
        <f>IF(ISNA(VLOOKUP(A68,'Données projet'!$A$165:$I$185,4,0)),0,VLOOKUP(A68,'Données projet'!$A$165:$I$185,4,0))</f>
        <v>56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282.69230769230768</v>
      </c>
      <c r="EH68" s="13">
        <f>VLOOKUP(A68,'Données projet'!$A$191:$I$211,9,0)</f>
        <v>5.7692307692307683</v>
      </c>
      <c r="EI68" s="13">
        <f t="array" ref="EI68">INDEX(EH:EH,MIN(IF(ISNUMBER(EH68:EH264),ROW(EH68:EH264),"")))</f>
        <v>5.7692307692307683</v>
      </c>
      <c r="EJ68" s="13">
        <f>IF('Données projet'!$A$192&gt;35,EJ67+EI68-ER67,IF(A68&lt;'Données projet'!$A$192,$EG$205^A68,IF(A68='Données projet'!$A$192,'Données projet'!$B$192,EJ67+EI68-ER67)))</f>
        <v>282.69230769230762</v>
      </c>
      <c r="EK68" s="18">
        <f>EJ68*VLOOKUP('Données projet'!$B$15,Paramètres!$A$1:$I$89,3,0)*VLOOKUP('Données projet'!$B$15,Paramètres!$A$1:$I$89,5,0)</f>
        <v>189.62999999999997</v>
      </c>
      <c r="EL68" s="14">
        <f t="shared" si="45"/>
        <v>47.458141826690017</v>
      </c>
      <c r="EM68" s="22">
        <f t="shared" ref="EM68:EM131" si="73">(EK68+EL68)*0.475*44/12</f>
        <v>412.92851368148507</v>
      </c>
      <c r="EN68" s="60">
        <f t="shared" ref="EN68:EN131" si="74">EM68+(EE68+EF68)*44/12</f>
        <v>676.87171979794027</v>
      </c>
      <c r="EO68" s="60">
        <f ca="1">AVERAGE(OFFSET($EN$3,0,0,'Données projet'!$E$15+1,1))-AVERAGE(OFFSET($H$3,0,0,'Données projet'!$E$15+1,1))</f>
        <v>396.0878652679051</v>
      </c>
      <c r="EP68" s="60">
        <f t="shared" si="46"/>
        <v>327.26339199235406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306</v>
      </c>
      <c r="FC68" s="13">
        <f>VLOOKUP(A68,'Données projet'!$A$217:$I$237,9,0)</f>
        <v>5.2399999999999975</v>
      </c>
      <c r="FD68" s="13">
        <f t="array" ref="FD68">INDEX(FC:FC,MIN(IF(ISNUMBER(FC68:FC264),ROW(FC68:FC264),"")))</f>
        <v>5.2399999999999975</v>
      </c>
      <c r="FE68" s="13">
        <f>IF('Données projet'!$A$218&gt;35,FE67+FD68-FM67,IF(A68&lt;'Données projet'!$A$218,$FB$205^A68,IF(A68='Données projet'!$A$218,'Données projet'!$B$218,FE67+FD68-FM67)))</f>
        <v>305.99999999999989</v>
      </c>
      <c r="FF68" s="18">
        <f>FE68*VLOOKUP('Données projet'!$B$16,Paramètres!$A$1:$I$89,3,0)*VLOOKUP('Données projet'!$B$16,Paramètres!$A$1:$I$89,5,0)</f>
        <v>224.3591999999999</v>
      </c>
      <c r="FG68" s="14">
        <f t="shared" si="47"/>
        <v>55.061251669487255</v>
      </c>
      <c r="FH68" s="22">
        <f t="shared" ref="FH68:FH131" si="76">(FF68+FG68)*0.475*44/12</f>
        <v>486.65728665769001</v>
      </c>
      <c r="FI68" s="60">
        <f t="shared" ref="FI68:FI131" si="77">FH68+(EZ68+FA68)*44/12</f>
        <v>750.60049277414521</v>
      </c>
      <c r="FJ68" s="60">
        <f ca="1">AVERAGE(OFFSET($FI$3,0,0,'Données projet'!$E$16+1,1))-AVERAGE(OFFSET($H$3,0,0,'Données projet'!$E$16+1,1))</f>
        <v>368.35775920359396</v>
      </c>
      <c r="FK68" s="60">
        <f t="shared" si="48"/>
        <v>395.5218438652638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398</v>
      </c>
      <c r="FX68" s="13">
        <f>VLOOKUP(A68,'Données projet'!$A$243:$I$263,9,0)</f>
        <v>12.4</v>
      </c>
      <c r="FY68" s="13">
        <f t="array" ref="FY68">INDEX(FX:FX,MIN(IF(ISNUMBER(FX68:FX264),ROW(FX68:FX264),"")))</f>
        <v>12.4</v>
      </c>
      <c r="FZ68" s="13">
        <f>IF('Données projet'!$A$244&gt;35,FZ67+FY68-GH67,IF(A68&lt;'Données projet'!$A$244,$FW$205^A68,IF(A68='Données projet'!$A$244,'Données projet'!$B$244,FZ67+FY68-GH67)))</f>
        <v>397.99999999999994</v>
      </c>
      <c r="GA68" s="18">
        <f>FZ68*VLOOKUP('Données projet'!$B$17,Paramètres!$A$1:$I$89,3,0)*VLOOKUP('Données projet'!$B$17,Paramètres!$A$1:$I$89,5,0)</f>
        <v>341.48399999999998</v>
      </c>
      <c r="GB68" s="14">
        <f t="shared" si="49"/>
        <v>79.806472458430065</v>
      </c>
      <c r="GC68" s="22">
        <f t="shared" ref="GC68:GC131" si="79">(GA68+GB68)*0.475*44/12</f>
        <v>733.74757286509896</v>
      </c>
      <c r="GD68" s="60">
        <f t="shared" ref="GD68:GD131" si="80">GC68+(FU68+FV68)*44/12</f>
        <v>997.6907789815541</v>
      </c>
      <c r="GE68" s="60">
        <f ca="1">AVERAGE(OFFSET($GD$3,0,0,'Données projet'!$E$17+1,1))-AVERAGE(OFFSET($H$3,0,0,'Données projet'!$E$17+1,1))</f>
        <v>701.44583662096022</v>
      </c>
      <c r="GF68" s="60">
        <f t="shared" si="50"/>
        <v>331.25104323342907</v>
      </c>
      <c r="GG68" s="16">
        <f>IF(ISNA(VLOOKUP(A68,'Données projet'!$A$243:$I$263,3,0)),0,VLOOKUP(A68,'Données projet'!$A$243:$I$263,3,0))</f>
        <v>5</v>
      </c>
      <c r="GH68" s="16">
        <f>IF(ISNA(VLOOKUP(A68,'Données projet'!$A$243:$I$263,4,0)),0,VLOOKUP(A68,'Données projet'!$A$243:$I$263,4,0))</f>
        <v>70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-1.1368683772161603E-13</v>
      </c>
      <c r="GV68" s="18">
        <f>GU68*VLOOKUP('Données projet'!$B$18,Paramètres!$A$1:$I$89,3,0)*VLOOKUP('Données projet'!$B$18,Paramètres!$A$1:$I$89,5,0)</f>
        <v>-9.2222762759774927E-14</v>
      </c>
      <c r="GW68" s="14" t="e">
        <f t="shared" si="51"/>
        <v>#NUM!</v>
      </c>
      <c r="GX68" s="22" t="e">
        <f t="shared" ref="GX68:GX131" si="82">(GV68+GW68)*0.475*44/12</f>
        <v>#NUM!</v>
      </c>
      <c r="GY68" s="60" t="e">
        <f t="shared" ref="GY68:GY131" si="83">GX68+(GP68+GQ68)*44/12</f>
        <v>#NUM!</v>
      </c>
      <c r="GZ68" s="60">
        <f ca="1">AVERAGE(OFFSET($GY$3,0,0,'Données projet'!$E$18+1,1))-AVERAGE(OFFSET($H$3,0,0,'Données projet'!$E$18+1,1))</f>
        <v>272.69564942740931</v>
      </c>
      <c r="HA68" s="60">
        <f t="shared" si="52"/>
        <v>316.57989180609252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25">
      <c r="A69" s="11">
        <f t="shared" ref="A69:A132" si="85">A68+1</f>
        <v>66</v>
      </c>
      <c r="B69" s="75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8">
        <f t="shared" si="56"/>
        <v>183.33333333333334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0">
        <f t="shared" si="55"/>
        <v>791.79418880959736</v>
      </c>
      <c r="S69" s="60">
        <f ca="1">AVERAGE(OFFSET($R$3,0,0,'Données projet'!$E$9+1,1))-AVERAGE(OFFSET($H$3,0,0,'Données projet'!$E$9+1,1))</f>
        <v>570.08763950759544</v>
      </c>
      <c r="T69" s="60">
        <f t="shared" ref="T69:T132" si="88">$T$3</f>
        <v>297.32483725004136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4.5</v>
      </c>
      <c r="AI69" s="14">
        <f>IF('Données projet'!$A$62&gt;35,AI68+AH69-AQ68,IF(A69&lt;'Données projet'!$A$62,$AF$205^A69,IF(A69='Données projet'!$A$62,'Données projet'!$B$62,AI68+AH69-AQ68)))</f>
        <v>310.49999999999989</v>
      </c>
      <c r="AJ69" s="14">
        <f>AI69*VLOOKUP('Données projet'!$B$10,Paramètres!$A$1:$I$89,3,0)*VLOOKUP('Données projet'!$B$10,Paramètres!$A$1:$I$89,5,0)</f>
        <v>247.0337999999999</v>
      </c>
      <c r="AK69" s="14">
        <f t="shared" ref="AK69:AK132" si="89">EXP(-1.0587+0.8836*LN(AJ69)+0.284)</f>
        <v>59.950333213989722</v>
      </c>
      <c r="AL69" s="22">
        <f t="shared" si="58"/>
        <v>534.66403201436515</v>
      </c>
      <c r="AM69" s="60">
        <f t="shared" si="59"/>
        <v>799.11709113155223</v>
      </c>
      <c r="AN69" s="60">
        <f ca="1">AVERAGE(OFFSET($AM$3,0,0,'Données projet'!$E$10+1,1))-AVERAGE(OFFSET($H$3,0,0,'Données projet'!$E$10+1,1))</f>
        <v>394.49874384716014</v>
      </c>
      <c r="AO69" s="60">
        <f t="shared" ref="AO69:AO132" si="90">$AO$3</f>
        <v>423.72519584013378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4.7435897435897401</v>
      </c>
      <c r="BD69" s="13">
        <f>IF('Données projet'!$A$88&gt;35,BD68+BC69-BL68,IF(A69&lt;'Données projet'!$A$88,$BA$205^A69,IF(A69='Données projet'!$A$88,'Données projet'!$B$88,BD68+BC69-BL68)))</f>
        <v>204.74358974358967</v>
      </c>
      <c r="BE69" s="14">
        <f>BD69*VLOOKUP('Données projet'!$B$11,Paramètres!$A$1:$I$89,3,0)*VLOOKUP('Données projet'!$B$11,Paramètres!$A$1:$I$89,5,0)</f>
        <v>194.83399999999995</v>
      </c>
      <c r="BF69" s="14">
        <f t="shared" ref="BF69:BF132" si="91">EXP(-1.0587+0.8836*LN(BE69)+0.284)</f>
        <v>48.607113902081203</v>
      </c>
      <c r="BG69" s="22">
        <f t="shared" si="61"/>
        <v>423.993273379458</v>
      </c>
      <c r="BH69" s="60">
        <f t="shared" si="62"/>
        <v>688.44633249664503</v>
      </c>
      <c r="BI69" s="60">
        <f ca="1">AVERAGE(OFFSET($BH$3,0,0,'Données projet'!$E$11+1,1))-AVERAGE(OFFSET($H$3,0,0,'Données projet'!$E$11+1,1))</f>
        <v>441.15969139782891</v>
      </c>
      <c r="BJ69" s="60">
        <f t="shared" ref="BJ69:BJ132" si="92">$BJ$3</f>
        <v>315.06466790224783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8.6666666666666661</v>
      </c>
      <c r="BY69" s="13">
        <f>IF('Données projet'!$A$114&gt;35,BY68+BX69-CG68,IF(A69&lt;'Données projet'!$A$114,$BV$205^A69,IF(A69='Données projet'!$A$114,'Données projet'!$B$114,BY68+BX69-CG68)))</f>
        <v>302.00000000000006</v>
      </c>
      <c r="BZ69" s="14">
        <f>BY69*VLOOKUP('Données projet'!$B$12,Paramètres!$A$1:$I$89,3,0)*VLOOKUP('Données projet'!$B$12,Paramètres!$A$1:$I$89,5,0)</f>
        <v>235.56000000000006</v>
      </c>
      <c r="CA69" s="14">
        <f t="shared" ref="CA69:CA132" si="93">EXP(-1.0587+0.8836*LN(BZ69)+0.284)</f>
        <v>57.483207143847771</v>
      </c>
      <c r="CB69" s="22">
        <f t="shared" si="64"/>
        <v>510.38358577553487</v>
      </c>
      <c r="CC69" s="60">
        <f t="shared" si="65"/>
        <v>774.83664489272201</v>
      </c>
      <c r="CD69" s="60">
        <f ca="1">AVERAGE(OFFSET($CC$3,0,0,'Données projet'!$E$12+1,1))-AVERAGE(OFFSET($H$3,0,0,'Données projet'!$E$12+1,1))</f>
        <v>312.59632808777332</v>
      </c>
      <c r="CE69" s="60">
        <f t="shared" ref="CE69:CE132" si="94">$CE$3</f>
        <v>302.59481222418219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8.1999999999999993</v>
      </c>
      <c r="CT69" s="13">
        <f>IF('Données projet'!$A$140&gt;35,CT68+CS69-DB68,IF(A69&lt;'Données projet'!$A$140,$CQ$205^A69,IF(A69='Données projet'!$A$140,'Données projet'!$B$140,CT68+CS69-DB68)))</f>
        <v>269.2</v>
      </c>
      <c r="CU69" s="18">
        <f>CT69*VLOOKUP('Données projet'!$B$13,Paramètres!$A$1:$I$89,3,0)*VLOOKUP('Données projet'!$B$13,Paramètres!$A$1:$I$89,5,0)</f>
        <v>260.37024000000002</v>
      </c>
      <c r="CV69" s="14">
        <f t="shared" ref="CV69:CV132" si="95">EXP(-1.0587+0.8836*LN(CU69)+0.284)</f>
        <v>62.801291625234725</v>
      </c>
      <c r="CW69" s="22">
        <f t="shared" si="67"/>
        <v>562.85708424728386</v>
      </c>
      <c r="CX69" s="60">
        <f t="shared" si="68"/>
        <v>827.31014336447095</v>
      </c>
      <c r="CY69" s="60">
        <f ca="1">AVERAGE(OFFSET($CX$3,0,0,'Données projet'!$E$13+1,1))-AVERAGE(OFFSET($H$3,0,0,'Données projet'!$E$13+1,1))</f>
        <v>603.52431522262032</v>
      </c>
      <c r="CZ69" s="60">
        <f t="shared" ref="CZ69:CZ132" si="96">$CZ$3</f>
        <v>313.56299786481338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8.1999999999999993</v>
      </c>
      <c r="DO69" s="13">
        <f>IF('Données projet'!$A$166&gt;35,DO68+DN69-DW68,IF(A69&lt;'Données projet'!$A$166,$DL$205^A69,IF(A69='Données projet'!$A$166,'Données projet'!$B$166,DO68+DN69-DW68)))</f>
        <v>269.2</v>
      </c>
      <c r="DP69" s="18">
        <f>DO69*VLOOKUP('Données projet'!$B$14,Paramètres!$A$1:$I$89,3,0)*VLOOKUP('Données projet'!$B$14,Paramètres!$A$1:$I$89,5,0)</f>
        <v>289.76688000000001</v>
      </c>
      <c r="DQ69" s="14">
        <f t="shared" ref="DQ69:DQ132" si="97">EXP(-1.0587+0.8836*LN(DP69)+0.284)</f>
        <v>69.026894594073823</v>
      </c>
      <c r="DR69" s="22">
        <f t="shared" si="70"/>
        <v>624.8991574180119</v>
      </c>
      <c r="DS69" s="60">
        <f t="shared" si="71"/>
        <v>889.35221653519898</v>
      </c>
      <c r="DT69" s="60">
        <f ca="1">AVERAGE(OFFSET($DS$3,0,0,'Données projet'!$E$14+1,1))-AVERAGE(OFFSET($H$3,0,0,'Données projet'!$E$14+1,1))</f>
        <v>661.93515988633499</v>
      </c>
      <c r="DU69" s="60">
        <f t="shared" ref="DU69:DU132" si="98">$DU$3</f>
        <v>341.9250949809848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5.2564102564102537</v>
      </c>
      <c r="EJ69" s="13">
        <f>IF('Données projet'!$A$192&gt;35,EJ68+EI69-ER68,IF(A69&lt;'Données projet'!$A$192,$EG$205^A69,IF(A69='Données projet'!$A$192,'Données projet'!$B$192,EJ68+EI69-ER68)))</f>
        <v>287.9487179487179</v>
      </c>
      <c r="EK69" s="18">
        <f>EJ69*VLOOKUP('Données projet'!$B$15,Paramètres!$A$1:$I$89,3,0)*VLOOKUP('Données projet'!$B$15,Paramètres!$A$1:$I$89,5,0)</f>
        <v>193.15599999999998</v>
      </c>
      <c r="EL69" s="14">
        <f t="shared" ref="EL69:EL132" si="99">EXP(-1.0587+0.8836*LN(EK69)+0.284)</f>
        <v>48.237029240325811</v>
      </c>
      <c r="EM69" s="22">
        <f t="shared" si="73"/>
        <v>420.42619259356735</v>
      </c>
      <c r="EN69" s="60">
        <f t="shared" si="74"/>
        <v>684.87925171075449</v>
      </c>
      <c r="EO69" s="60">
        <f ca="1">AVERAGE(OFFSET($EN$3,0,0,'Données projet'!$E$15+1,1))-AVERAGE(OFFSET($H$3,0,0,'Données projet'!$E$15+1,1))</f>
        <v>396.0878652679051</v>
      </c>
      <c r="EP69" s="60">
        <f t="shared" ref="EP69:EP132" si="100">$EP$3</f>
        <v>327.26339199235406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4.5</v>
      </c>
      <c r="FE69" s="13">
        <f>IF('Données projet'!$A$218&gt;35,FE68+FD69-FM68,IF(A69&lt;'Données projet'!$A$218,$FB$205^A69,IF(A69='Données projet'!$A$218,'Données projet'!$B$218,FE68+FD69-FM68)))</f>
        <v>310.49999999999989</v>
      </c>
      <c r="FF69" s="18">
        <f>FE69*VLOOKUP('Données projet'!$B$16,Paramètres!$A$1:$I$89,3,0)*VLOOKUP('Données projet'!$B$16,Paramètres!$A$1:$I$89,5,0)</f>
        <v>227.65859999999992</v>
      </c>
      <c r="FG69" s="14">
        <f t="shared" ref="FG69:FG132" si="101">EXP(-1.0587+0.8836*LN(FF69)+0.284)</f>
        <v>55.776115016621809</v>
      </c>
      <c r="FH69" s="22">
        <f t="shared" si="76"/>
        <v>493.64879532061622</v>
      </c>
      <c r="FI69" s="60">
        <f t="shared" si="77"/>
        <v>758.10185443780324</v>
      </c>
      <c r="FJ69" s="60">
        <f ca="1">AVERAGE(OFFSET($FI$3,0,0,'Données projet'!$E$16+1,1))-AVERAGE(OFFSET($H$3,0,0,'Données projet'!$E$16+1,1))</f>
        <v>368.35775920359396</v>
      </c>
      <c r="FK69" s="60">
        <f t="shared" ref="FK69:FK132" si="102">$FK$3</f>
        <v>395.5218438652638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11.8</v>
      </c>
      <c r="FZ69" s="13">
        <f>IF('Données projet'!$A$244&gt;35,FZ68+FY69-GH68,IF(A69&lt;'Données projet'!$A$244,$FW$205^A69,IF(A69='Données projet'!$A$244,'Données projet'!$B$244,FZ68+FY69-GH68)))</f>
        <v>339.79999999999995</v>
      </c>
      <c r="GA69" s="18">
        <f>FZ69*VLOOKUP('Données projet'!$B$17,Paramètres!$A$1:$I$89,3,0)*VLOOKUP('Données projet'!$B$17,Paramètres!$A$1:$I$89,5,0)</f>
        <v>291.54840000000002</v>
      </c>
      <c r="GB69" s="14">
        <f t="shared" ref="GB69:GB132" si="103">EXP(-1.0587+0.8836*LN(GA69)+0.284)</f>
        <v>69.40174753959208</v>
      </c>
      <c r="GC69" s="22">
        <f t="shared" si="79"/>
        <v>628.65484029812285</v>
      </c>
      <c r="GD69" s="60">
        <f t="shared" si="80"/>
        <v>893.10789941530993</v>
      </c>
      <c r="GE69" s="60">
        <f ca="1">AVERAGE(OFFSET($GD$3,0,0,'Données projet'!$E$17+1,1))-AVERAGE(OFFSET($H$3,0,0,'Données projet'!$E$17+1,1))</f>
        <v>701.44583662096022</v>
      </c>
      <c r="GF69" s="60">
        <f t="shared" ref="GF69:GF132" si="104">$GF$3</f>
        <v>331.25104323342907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-1.1368683772161603E-13</v>
      </c>
      <c r="GV69" s="18">
        <f>GU69*VLOOKUP('Données projet'!$B$18,Paramètres!$A$1:$I$89,3,0)*VLOOKUP('Données projet'!$B$18,Paramètres!$A$1:$I$89,5,0)</f>
        <v>-9.2222762759774927E-14</v>
      </c>
      <c r="GW69" s="14" t="e">
        <f t="shared" ref="GW69:GW132" si="105">EXP(-1.0587+0.8836*LN(GV69)+0.284)</f>
        <v>#NUM!</v>
      </c>
      <c r="GX69" s="22" t="e">
        <f t="shared" si="82"/>
        <v>#NUM!</v>
      </c>
      <c r="GY69" s="60" t="e">
        <f t="shared" si="83"/>
        <v>#NUM!</v>
      </c>
      <c r="GZ69" s="60">
        <f ca="1">AVERAGE(OFFSET($GY$3,0,0,'Données projet'!$E$18+1,1))-AVERAGE(OFFSET($H$3,0,0,'Données projet'!$E$18+1,1))</f>
        <v>272.69564942740931</v>
      </c>
      <c r="HA69" s="60">
        <f t="shared" ref="HA69:HA132" si="106">$HA$3</f>
        <v>316.57989180609252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25">
      <c r="A70" s="11">
        <f t="shared" si="85"/>
        <v>67</v>
      </c>
      <c r="B70" s="75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8">
        <f t="shared" si="56"/>
        <v>183.33333333333334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0">
        <f t="shared" si="55"/>
        <v>807.98784880122344</v>
      </c>
      <c r="S70" s="60">
        <f ca="1">AVERAGE(OFFSET($R$3,0,0,'Données projet'!$E$9+1,1))-AVERAGE(OFFSET($H$3,0,0,'Données projet'!$E$9+1,1))</f>
        <v>570.08763950759544</v>
      </c>
      <c r="T70" s="60">
        <f t="shared" si="88"/>
        <v>297.32483725004136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4.5</v>
      </c>
      <c r="AI70" s="14">
        <f>IF('Données projet'!$A$62&gt;35,AI69+AH70-AQ69,IF(A70&lt;'Données projet'!$A$62,$AF$205^A70,IF(A70='Données projet'!$A$62,'Données projet'!$B$62,AI69+AH70-AQ69)))</f>
        <v>314.99999999999989</v>
      </c>
      <c r="AJ70" s="14">
        <f>AI70*VLOOKUP('Données projet'!$B$10,Paramètres!$A$1:$I$89,3,0)*VLOOKUP('Données projet'!$B$10,Paramètres!$A$1:$I$89,5,0)</f>
        <v>250.61399999999992</v>
      </c>
      <c r="AK70" s="14">
        <f t="shared" si="89"/>
        <v>60.717400934916043</v>
      </c>
      <c r="AL70" s="22">
        <f t="shared" si="58"/>
        <v>542.23552329497863</v>
      </c>
      <c r="AM70" s="60">
        <f t="shared" si="59"/>
        <v>807.18959060319548</v>
      </c>
      <c r="AN70" s="60">
        <f ca="1">AVERAGE(OFFSET($AM$3,0,0,'Données projet'!$E$10+1,1))-AVERAGE(OFFSET($H$3,0,0,'Données projet'!$E$10+1,1))</f>
        <v>394.49874384716014</v>
      </c>
      <c r="AO70" s="60">
        <f t="shared" si="90"/>
        <v>423.72519584013378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4.7435897435897401</v>
      </c>
      <c r="BD70" s="13">
        <f>IF('Données projet'!$A$88&gt;35,BD69+BC70-BL69,IF(A70&lt;'Données projet'!$A$88,$BA$205^A70,IF(A70='Données projet'!$A$88,'Données projet'!$B$88,BD69+BC70-BL69)))</f>
        <v>209.48717948717942</v>
      </c>
      <c r="BE70" s="14">
        <f>BD70*VLOOKUP('Données projet'!$B$11,Paramètres!$A$1:$I$89,3,0)*VLOOKUP('Données projet'!$B$11,Paramètres!$A$1:$I$89,5,0)</f>
        <v>199.34799999999993</v>
      </c>
      <c r="BF70" s="14">
        <f t="shared" si="91"/>
        <v>49.600850639748678</v>
      </c>
      <c r="BG70" s="22">
        <f t="shared" si="61"/>
        <v>433.58591486422876</v>
      </c>
      <c r="BH70" s="60">
        <f t="shared" si="62"/>
        <v>698.53998217244566</v>
      </c>
      <c r="BI70" s="60">
        <f ca="1">AVERAGE(OFFSET($BH$3,0,0,'Données projet'!$E$11+1,1))-AVERAGE(OFFSET($H$3,0,0,'Données projet'!$E$11+1,1))</f>
        <v>441.15969139782891</v>
      </c>
      <c r="BJ70" s="60">
        <f t="shared" si="92"/>
        <v>315.06466790224783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8.6666666666666661</v>
      </c>
      <c r="BY70" s="13">
        <f>IF('Données projet'!$A$114&gt;35,BY69+BX70-CG69,IF(A70&lt;'Données projet'!$A$114,$BV$205^A70,IF(A70='Données projet'!$A$114,'Données projet'!$B$114,BY69+BX70-CG69)))</f>
        <v>310.66666666666674</v>
      </c>
      <c r="BZ70" s="14">
        <f>BY70*VLOOKUP('Données projet'!$B$12,Paramètres!$A$1:$I$89,3,0)*VLOOKUP('Données projet'!$B$12,Paramètres!$A$1:$I$89,5,0)</f>
        <v>242.32000000000008</v>
      </c>
      <c r="CA70" s="14">
        <f t="shared" si="93"/>
        <v>58.938409961900909</v>
      </c>
      <c r="CB70" s="22">
        <f t="shared" si="64"/>
        <v>524.69173068364421</v>
      </c>
      <c r="CC70" s="60">
        <f t="shared" si="65"/>
        <v>789.64579799186117</v>
      </c>
      <c r="CD70" s="60">
        <f ca="1">AVERAGE(OFFSET($CC$3,0,0,'Données projet'!$E$12+1,1))-AVERAGE(OFFSET($H$3,0,0,'Données projet'!$E$12+1,1))</f>
        <v>312.59632808777332</v>
      </c>
      <c r="CE70" s="60">
        <f t="shared" si="94"/>
        <v>302.59481222418219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8.1999999999999993</v>
      </c>
      <c r="CT70" s="13">
        <f>IF('Données projet'!$A$140&gt;35,CT69+CS70-DB69,IF(A70&lt;'Données projet'!$A$140,$CQ$205^A70,IF(A70='Données projet'!$A$140,'Données projet'!$B$140,CT69+CS70-DB69)))</f>
        <v>277.39999999999998</v>
      </c>
      <c r="CU70" s="18">
        <f>CT70*VLOOKUP('Données projet'!$B$13,Paramètres!$A$1:$I$89,3,0)*VLOOKUP('Données projet'!$B$13,Paramètres!$A$1:$I$89,5,0)</f>
        <v>268.30127999999996</v>
      </c>
      <c r="CV70" s="14">
        <f t="shared" si="95"/>
        <v>64.488625713042012</v>
      </c>
      <c r="CW70" s="22">
        <f t="shared" si="67"/>
        <v>579.60908578354815</v>
      </c>
      <c r="CX70" s="60">
        <f t="shared" si="68"/>
        <v>844.56315309176512</v>
      </c>
      <c r="CY70" s="60">
        <f ca="1">AVERAGE(OFFSET($CX$3,0,0,'Données projet'!$E$13+1,1))-AVERAGE(OFFSET($H$3,0,0,'Données projet'!$E$13+1,1))</f>
        <v>603.52431522262032</v>
      </c>
      <c r="CZ70" s="60">
        <f t="shared" si="96"/>
        <v>313.56299786481338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8.1999999999999993</v>
      </c>
      <c r="DO70" s="13">
        <f>IF('Données projet'!$A$166&gt;35,DO69+DN70-DW69,IF(A70&lt;'Données projet'!$A$166,$DL$205^A70,IF(A70='Données projet'!$A$166,'Données projet'!$B$166,DO69+DN70-DW69)))</f>
        <v>277.39999999999998</v>
      </c>
      <c r="DP70" s="18">
        <f>DO70*VLOOKUP('Données projet'!$B$14,Paramètres!$A$1:$I$89,3,0)*VLOOKUP('Données projet'!$B$14,Paramètres!$A$1:$I$89,5,0)</f>
        <v>298.59335999999996</v>
      </c>
      <c r="DQ70" s="14">
        <f t="shared" si="97"/>
        <v>70.88149709045409</v>
      </c>
      <c r="DR70" s="22">
        <f t="shared" si="70"/>
        <v>643.50204276587419</v>
      </c>
      <c r="DS70" s="60">
        <f t="shared" si="71"/>
        <v>908.45611007409116</v>
      </c>
      <c r="DT70" s="60">
        <f ca="1">AVERAGE(OFFSET($DS$3,0,0,'Données projet'!$E$14+1,1))-AVERAGE(OFFSET($H$3,0,0,'Données projet'!$E$14+1,1))</f>
        <v>661.93515988633499</v>
      </c>
      <c r="DU70" s="60">
        <f t="shared" si="98"/>
        <v>341.9250949809848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5.2564102564102537</v>
      </c>
      <c r="EJ70" s="13">
        <f>IF('Données projet'!$A$192&gt;35,EJ69+EI70-ER69,IF(A70&lt;'Données projet'!$A$192,$EG$205^A70,IF(A70='Données projet'!$A$192,'Données projet'!$B$192,EJ69+EI70-ER69)))</f>
        <v>293.20512820512818</v>
      </c>
      <c r="EK70" s="18">
        <f>EJ70*VLOOKUP('Données projet'!$B$15,Paramètres!$A$1:$I$89,3,0)*VLOOKUP('Données projet'!$B$15,Paramètres!$A$1:$I$89,5,0)</f>
        <v>196.68199999999999</v>
      </c>
      <c r="EL70" s="14">
        <f t="shared" si="99"/>
        <v>49.014263299588542</v>
      </c>
      <c r="EM70" s="22">
        <f t="shared" si="73"/>
        <v>427.92099191345005</v>
      </c>
      <c r="EN70" s="60">
        <f t="shared" si="74"/>
        <v>692.87505922166702</v>
      </c>
      <c r="EO70" s="60">
        <f ca="1">AVERAGE(OFFSET($EN$3,0,0,'Données projet'!$E$15+1,1))-AVERAGE(OFFSET($H$3,0,0,'Données projet'!$E$15+1,1))</f>
        <v>396.0878652679051</v>
      </c>
      <c r="EP70" s="60">
        <f t="shared" si="100"/>
        <v>327.26339199235406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4.5</v>
      </c>
      <c r="FE70" s="13">
        <f>IF('Données projet'!$A$218&gt;35,FE69+FD70-FM69,IF(A70&lt;'Données projet'!$A$218,$FB$205^A70,IF(A70='Données projet'!$A$218,'Données projet'!$B$218,FE69+FD70-FM69)))</f>
        <v>314.99999999999989</v>
      </c>
      <c r="FF70" s="18">
        <f>FE70*VLOOKUP('Données projet'!$B$16,Paramètres!$A$1:$I$89,3,0)*VLOOKUP('Données projet'!$B$16,Paramètres!$A$1:$I$89,5,0)</f>
        <v>230.95799999999988</v>
      </c>
      <c r="FG70" s="14">
        <f t="shared" si="101"/>
        <v>56.489773392384429</v>
      </c>
      <c r="FH70" s="22">
        <f t="shared" si="76"/>
        <v>500.63820532506929</v>
      </c>
      <c r="FI70" s="60">
        <f t="shared" si="77"/>
        <v>765.59227263328626</v>
      </c>
      <c r="FJ70" s="60">
        <f ca="1">AVERAGE(OFFSET($FI$3,0,0,'Données projet'!$E$16+1,1))-AVERAGE(OFFSET($H$3,0,0,'Données projet'!$E$16+1,1))</f>
        <v>368.35775920359396</v>
      </c>
      <c r="FK70" s="60">
        <f t="shared" si="102"/>
        <v>395.5218438652638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11.8</v>
      </c>
      <c r="FZ70" s="13">
        <f>IF('Données projet'!$A$244&gt;35,FZ69+FY70-GH69,IF(A70&lt;'Données projet'!$A$244,$FW$205^A70,IF(A70='Données projet'!$A$244,'Données projet'!$B$244,FZ69+FY70-GH69)))</f>
        <v>351.59999999999997</v>
      </c>
      <c r="GA70" s="18">
        <f>FZ70*VLOOKUP('Données projet'!$B$17,Paramètres!$A$1:$I$89,3,0)*VLOOKUP('Données projet'!$B$17,Paramètres!$A$1:$I$89,5,0)</f>
        <v>301.6728</v>
      </c>
      <c r="GB70" s="14">
        <f t="shared" si="103"/>
        <v>71.527033039285058</v>
      </c>
      <c r="GC70" s="22">
        <f t="shared" si="79"/>
        <v>649.98970921008811</v>
      </c>
      <c r="GD70" s="60">
        <f t="shared" si="80"/>
        <v>914.94377651830496</v>
      </c>
      <c r="GE70" s="60">
        <f ca="1">AVERAGE(OFFSET($GD$3,0,0,'Données projet'!$E$17+1,1))-AVERAGE(OFFSET($H$3,0,0,'Données projet'!$E$17+1,1))</f>
        <v>701.44583662096022</v>
      </c>
      <c r="GF70" s="60">
        <f t="shared" si="104"/>
        <v>331.25104323342907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-1.1368683772161603E-13</v>
      </c>
      <c r="GV70" s="18">
        <f>GU70*VLOOKUP('Données projet'!$B$18,Paramètres!$A$1:$I$89,3,0)*VLOOKUP('Données projet'!$B$18,Paramètres!$A$1:$I$89,5,0)</f>
        <v>-9.2222762759774927E-14</v>
      </c>
      <c r="GW70" s="14" t="e">
        <f t="shared" si="105"/>
        <v>#NUM!</v>
      </c>
      <c r="GX70" s="22" t="e">
        <f t="shared" si="82"/>
        <v>#NUM!</v>
      </c>
      <c r="GY70" s="60" t="e">
        <f t="shared" si="83"/>
        <v>#NUM!</v>
      </c>
      <c r="GZ70" s="60">
        <f ca="1">AVERAGE(OFFSET($GY$3,0,0,'Données projet'!$E$18+1,1))-AVERAGE(OFFSET($H$3,0,0,'Données projet'!$E$18+1,1))</f>
        <v>272.69564942740931</v>
      </c>
      <c r="HA70" s="60">
        <f t="shared" si="106"/>
        <v>316.57989180609252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25">
      <c r="A71" s="11">
        <f t="shared" si="85"/>
        <v>68</v>
      </c>
      <c r="B71" s="75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8">
        <f t="shared" si="56"/>
        <v>183.33333333333334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0">
        <f t="shared" si="55"/>
        <v>824.16329923760372</v>
      </c>
      <c r="S71" s="60">
        <f ca="1">AVERAGE(OFFSET($R$3,0,0,'Données projet'!$E$9+1,1))-AVERAGE(OFFSET($H$3,0,0,'Données projet'!$E$9+1,1))</f>
        <v>570.08763950759544</v>
      </c>
      <c r="T71" s="60">
        <f t="shared" si="88"/>
        <v>297.32483725004136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4.5</v>
      </c>
      <c r="AI71" s="14">
        <f>IF('Données projet'!$A$62&gt;35,AI70+AH71-AQ70,IF(A71&lt;'Données projet'!$A$62,$AF$205^A71,IF(A71='Données projet'!$A$62,'Données projet'!$B$62,AI70+AH71-AQ70)))</f>
        <v>319.49999999999989</v>
      </c>
      <c r="AJ71" s="14">
        <f>AI71*VLOOKUP('Données projet'!$B$10,Paramètres!$A$1:$I$89,3,0)*VLOOKUP('Données projet'!$B$10,Paramètres!$A$1:$I$89,5,0)</f>
        <v>254.19419999999991</v>
      </c>
      <c r="AK71" s="14">
        <f t="shared" si="89"/>
        <v>61.483194145885243</v>
      </c>
      <c r="AL71" s="22">
        <f t="shared" si="58"/>
        <v>549.80479480408326</v>
      </c>
      <c r="AM71" s="60">
        <f t="shared" si="59"/>
        <v>815.25117893130209</v>
      </c>
      <c r="AN71" s="60">
        <f ca="1">AVERAGE(OFFSET($AM$3,0,0,'Données projet'!$E$10+1,1))-AVERAGE(OFFSET($H$3,0,0,'Données projet'!$E$10+1,1))</f>
        <v>394.49874384716014</v>
      </c>
      <c r="AO71" s="60">
        <f t="shared" si="90"/>
        <v>423.72519584013378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4.7435897435897401</v>
      </c>
      <c r="BD71" s="13">
        <f>IF('Données projet'!$A$88&gt;35,BD70+BC71-BL70,IF(A71&lt;'Données projet'!$A$88,$BA$205^A71,IF(A71='Données projet'!$A$88,'Données projet'!$B$88,BD70+BC71-BL70)))</f>
        <v>214.23076923076917</v>
      </c>
      <c r="BE71" s="14">
        <f>BD71*VLOOKUP('Données projet'!$B$11,Paramètres!$A$1:$I$89,3,0)*VLOOKUP('Données projet'!$B$11,Paramètres!$A$1:$I$89,5,0)</f>
        <v>203.86199999999994</v>
      </c>
      <c r="BF71" s="14">
        <f t="shared" si="91"/>
        <v>50.591971357727658</v>
      </c>
      <c r="BG71" s="22">
        <f t="shared" si="61"/>
        <v>443.17400011470886</v>
      </c>
      <c r="BH71" s="60">
        <f t="shared" si="62"/>
        <v>708.6203842419277</v>
      </c>
      <c r="BI71" s="60">
        <f ca="1">AVERAGE(OFFSET($BH$3,0,0,'Données projet'!$E$11+1,1))-AVERAGE(OFFSET($H$3,0,0,'Données projet'!$E$11+1,1))</f>
        <v>441.15969139782891</v>
      </c>
      <c r="BJ71" s="60">
        <f t="shared" si="92"/>
        <v>315.06466790224783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8.6666666666666661</v>
      </c>
      <c r="BY71" s="13">
        <f>IF('Données projet'!$A$114&gt;35,BY70+BX71-CG70,IF(A71&lt;'Données projet'!$A$114,$BV$205^A71,IF(A71='Données projet'!$A$114,'Données projet'!$B$114,BY70+BX71-CG70)))</f>
        <v>319.33333333333343</v>
      </c>
      <c r="BZ71" s="14">
        <f>BY71*VLOOKUP('Données projet'!$B$12,Paramètres!$A$1:$I$89,3,0)*VLOOKUP('Données projet'!$B$12,Paramètres!$A$1:$I$89,5,0)</f>
        <v>249.08000000000007</v>
      </c>
      <c r="CA71" s="14">
        <f t="shared" si="93"/>
        <v>60.388894447487807</v>
      </c>
      <c r="CB71" s="22">
        <f t="shared" si="64"/>
        <v>538.99165782937473</v>
      </c>
      <c r="CC71" s="60">
        <f t="shared" si="65"/>
        <v>804.43804195659357</v>
      </c>
      <c r="CD71" s="60">
        <f ca="1">AVERAGE(OFFSET($CC$3,0,0,'Données projet'!$E$12+1,1))-AVERAGE(OFFSET($H$3,0,0,'Données projet'!$E$12+1,1))</f>
        <v>312.59632808777332</v>
      </c>
      <c r="CE71" s="60">
        <f t="shared" si="94"/>
        <v>302.59481222418219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8.1999999999999993</v>
      </c>
      <c r="CT71" s="13">
        <f>IF('Données projet'!$A$140&gt;35,CT70+CS71-DB70,IF(A71&lt;'Données projet'!$A$140,$CQ$205^A71,IF(A71='Données projet'!$A$140,'Données projet'!$B$140,CT70+CS71-DB70)))</f>
        <v>285.59999999999997</v>
      </c>
      <c r="CU71" s="18">
        <f>CT71*VLOOKUP('Données projet'!$B$13,Paramètres!$A$1:$I$89,3,0)*VLOOKUP('Données projet'!$B$13,Paramètres!$A$1:$I$89,5,0)</f>
        <v>276.23231999999996</v>
      </c>
      <c r="CV71" s="14">
        <f t="shared" si="95"/>
        <v>66.170163093943458</v>
      </c>
      <c r="CW71" s="22">
        <f t="shared" si="67"/>
        <v>596.35099138861813</v>
      </c>
      <c r="CX71" s="60">
        <f t="shared" si="68"/>
        <v>861.79737551583696</v>
      </c>
      <c r="CY71" s="60">
        <f ca="1">AVERAGE(OFFSET($CX$3,0,0,'Données projet'!$E$13+1,1))-AVERAGE(OFFSET($H$3,0,0,'Données projet'!$E$13+1,1))</f>
        <v>603.52431522262032</v>
      </c>
      <c r="CZ71" s="60">
        <f t="shared" si="96"/>
        <v>313.56299786481338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8.1999999999999993</v>
      </c>
      <c r="DO71" s="13">
        <f>IF('Données projet'!$A$166&gt;35,DO70+DN71-DW70,IF(A71&lt;'Données projet'!$A$166,$DL$205^A71,IF(A71='Données projet'!$A$166,'Données projet'!$B$166,DO70+DN71-DW70)))</f>
        <v>285.59999999999997</v>
      </c>
      <c r="DP71" s="18">
        <f>DO71*VLOOKUP('Données projet'!$B$14,Paramètres!$A$1:$I$89,3,0)*VLOOKUP('Données projet'!$B$14,Paramètres!$A$1:$I$89,5,0)</f>
        <v>307.41983999999997</v>
      </c>
      <c r="DQ71" s="14">
        <f t="shared" si="97"/>
        <v>72.729728242133774</v>
      </c>
      <c r="DR71" s="22">
        <f t="shared" si="70"/>
        <v>662.09383135504959</v>
      </c>
      <c r="DS71" s="60">
        <f t="shared" si="71"/>
        <v>927.54021548226842</v>
      </c>
      <c r="DT71" s="60">
        <f ca="1">AVERAGE(OFFSET($DS$3,0,0,'Données projet'!$E$14+1,1))-AVERAGE(OFFSET($H$3,0,0,'Données projet'!$E$14+1,1))</f>
        <v>661.93515988633499</v>
      </c>
      <c r="DU71" s="60">
        <f t="shared" si="98"/>
        <v>341.9250949809848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5.2564102564102537</v>
      </c>
      <c r="EJ71" s="13">
        <f>IF('Données projet'!$A$192&gt;35,EJ70+EI71-ER70,IF(A71&lt;'Données projet'!$A$192,$EG$205^A71,IF(A71='Données projet'!$A$192,'Données projet'!$B$192,EJ70+EI71-ER70)))</f>
        <v>298.46153846153845</v>
      </c>
      <c r="EK71" s="18">
        <f>EJ71*VLOOKUP('Données projet'!$B$15,Paramètres!$A$1:$I$89,3,0)*VLOOKUP('Données projet'!$B$15,Paramètres!$A$1:$I$89,5,0)</f>
        <v>200.208</v>
      </c>
      <c r="EL71" s="14">
        <f t="shared" si="99"/>
        <v>49.789877064057393</v>
      </c>
      <c r="EM71" s="22">
        <f t="shared" si="73"/>
        <v>435.41296921989988</v>
      </c>
      <c r="EN71" s="60">
        <f t="shared" si="74"/>
        <v>700.85935334711871</v>
      </c>
      <c r="EO71" s="60">
        <f ca="1">AVERAGE(OFFSET($EN$3,0,0,'Données projet'!$E$15+1,1))-AVERAGE(OFFSET($H$3,0,0,'Données projet'!$E$15+1,1))</f>
        <v>396.0878652679051</v>
      </c>
      <c r="EP71" s="60">
        <f t="shared" si="100"/>
        <v>327.26339199235406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4.5</v>
      </c>
      <c r="FE71" s="13">
        <f>IF('Données projet'!$A$218&gt;35,FE70+FD71-FM70,IF(A71&lt;'Données projet'!$A$218,$FB$205^A71,IF(A71='Données projet'!$A$218,'Données projet'!$B$218,FE70+FD71-FM70)))</f>
        <v>319.49999999999989</v>
      </c>
      <c r="FF71" s="18">
        <f>FE71*VLOOKUP('Données projet'!$B$16,Paramètres!$A$1:$I$89,3,0)*VLOOKUP('Données projet'!$B$16,Paramètres!$A$1:$I$89,5,0)</f>
        <v>234.2573999999999</v>
      </c>
      <c r="FG71" s="14">
        <f t="shared" si="101"/>
        <v>57.202245999692629</v>
      </c>
      <c r="FH71" s="22">
        <f t="shared" si="76"/>
        <v>507.62555011613114</v>
      </c>
      <c r="FI71" s="60">
        <f t="shared" si="77"/>
        <v>773.07193424334992</v>
      </c>
      <c r="FJ71" s="60">
        <f ca="1">AVERAGE(OFFSET($FI$3,0,0,'Données projet'!$E$16+1,1))-AVERAGE(OFFSET($H$3,0,0,'Données projet'!$E$16+1,1))</f>
        <v>368.35775920359396</v>
      </c>
      <c r="FK71" s="60">
        <f t="shared" si="102"/>
        <v>395.5218438652638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11.8</v>
      </c>
      <c r="FZ71" s="13">
        <f>IF('Données projet'!$A$244&gt;35,FZ70+FY71-GH70,IF(A71&lt;'Données projet'!$A$244,$FW$205^A71,IF(A71='Données projet'!$A$244,'Données projet'!$B$244,FZ70+FY71-GH70)))</f>
        <v>363.4</v>
      </c>
      <c r="GA71" s="18">
        <f>FZ71*VLOOKUP('Données projet'!$B$17,Paramètres!$A$1:$I$89,3,0)*VLOOKUP('Données projet'!$B$17,Paramètres!$A$1:$I$89,5,0)</f>
        <v>311.79720000000003</v>
      </c>
      <c r="GB71" s="14">
        <f t="shared" si="103"/>
        <v>73.644030695714719</v>
      </c>
      <c r="GC71" s="22">
        <f t="shared" si="79"/>
        <v>671.31014346170321</v>
      </c>
      <c r="GD71" s="60">
        <f t="shared" si="80"/>
        <v>936.75652758892204</v>
      </c>
      <c r="GE71" s="60">
        <f ca="1">AVERAGE(OFFSET($GD$3,0,0,'Données projet'!$E$17+1,1))-AVERAGE(OFFSET($H$3,0,0,'Données projet'!$E$17+1,1))</f>
        <v>701.44583662096022</v>
      </c>
      <c r="GF71" s="60">
        <f t="shared" si="104"/>
        <v>331.25104323342907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-1.1368683772161603E-13</v>
      </c>
      <c r="GV71" s="18">
        <f>GU71*VLOOKUP('Données projet'!$B$18,Paramètres!$A$1:$I$89,3,0)*VLOOKUP('Données projet'!$B$18,Paramètres!$A$1:$I$89,5,0)</f>
        <v>-9.2222762759774927E-14</v>
      </c>
      <c r="GW71" s="14" t="e">
        <f t="shared" si="105"/>
        <v>#NUM!</v>
      </c>
      <c r="GX71" s="22" t="e">
        <f t="shared" si="82"/>
        <v>#NUM!</v>
      </c>
      <c r="GY71" s="60" t="e">
        <f t="shared" si="83"/>
        <v>#NUM!</v>
      </c>
      <c r="GZ71" s="60">
        <f ca="1">AVERAGE(OFFSET($GY$3,0,0,'Données projet'!$E$18+1,1))-AVERAGE(OFFSET($H$3,0,0,'Données projet'!$E$18+1,1))</f>
        <v>272.69564942740931</v>
      </c>
      <c r="HA71" s="60">
        <f t="shared" si="106"/>
        <v>316.57989180609252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25">
      <c r="A72" s="11">
        <f t="shared" si="85"/>
        <v>69</v>
      </c>
      <c r="B72" s="75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8">
        <f t="shared" si="56"/>
        <v>183.33333333333334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0">
        <f t="shared" si="55"/>
        <v>840.32099556130004</v>
      </c>
      <c r="S72" s="60">
        <f ca="1">AVERAGE(OFFSET($R$3,0,0,'Données projet'!$E$9+1,1))-AVERAGE(OFFSET($H$3,0,0,'Données projet'!$E$9+1,1))</f>
        <v>570.08763950759544</v>
      </c>
      <c r="T72" s="60">
        <f t="shared" si="88"/>
        <v>297.32483725004136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4.5</v>
      </c>
      <c r="AI72" s="14">
        <f>IF('Données projet'!$A$62&gt;35,AI71+AH72-AQ71,IF(A72&lt;'Données projet'!$A$62,$AF$205^A72,IF(A72='Données projet'!$A$62,'Données projet'!$B$62,AI71+AH72-AQ71)))</f>
        <v>323.99999999999989</v>
      </c>
      <c r="AJ72" s="14">
        <f>AI72*VLOOKUP('Données projet'!$B$10,Paramètres!$A$1:$I$89,3,0)*VLOOKUP('Données projet'!$B$10,Paramètres!$A$1:$I$89,5,0)</f>
        <v>257.77439999999996</v>
      </c>
      <c r="AK72" s="14">
        <f t="shared" si="89"/>
        <v>62.247732872134293</v>
      </c>
      <c r="AL72" s="22">
        <f t="shared" si="58"/>
        <v>557.37188141896718</v>
      </c>
      <c r="AM72" s="60">
        <f t="shared" si="59"/>
        <v>823.30204176903374</v>
      </c>
      <c r="AN72" s="60">
        <f ca="1">AVERAGE(OFFSET($AM$3,0,0,'Données projet'!$E$10+1,1))-AVERAGE(OFFSET($H$3,0,0,'Données projet'!$E$10+1,1))</f>
        <v>394.49874384716014</v>
      </c>
      <c r="AO72" s="60">
        <f t="shared" si="90"/>
        <v>423.72519584013378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4.7435897435897401</v>
      </c>
      <c r="BD72" s="13">
        <f>IF('Données projet'!$A$88&gt;35,BD71+BC72-BL71,IF(A72&lt;'Données projet'!$A$88,$BA$205^A72,IF(A72='Données projet'!$A$88,'Données projet'!$B$88,BD71+BC72-BL71)))</f>
        <v>218.97435897435892</v>
      </c>
      <c r="BE72" s="14">
        <f>BD72*VLOOKUP('Données projet'!$B$11,Paramètres!$A$1:$I$89,3,0)*VLOOKUP('Données projet'!$B$11,Paramètres!$A$1:$I$89,5,0)</f>
        <v>208.37599999999995</v>
      </c>
      <c r="BF72" s="14">
        <f t="shared" si="91"/>
        <v>51.580540650922785</v>
      </c>
      <c r="BG72" s="22">
        <f t="shared" si="61"/>
        <v>452.75764163369041</v>
      </c>
      <c r="BH72" s="60">
        <f t="shared" si="62"/>
        <v>718.68780198375703</v>
      </c>
      <c r="BI72" s="60">
        <f ca="1">AVERAGE(OFFSET($BH$3,0,0,'Données projet'!$E$11+1,1))-AVERAGE(OFFSET($H$3,0,0,'Données projet'!$E$11+1,1))</f>
        <v>441.15969139782891</v>
      </c>
      <c r="BJ72" s="60">
        <f t="shared" si="92"/>
        <v>315.06466790224783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>
        <f>VLOOKUP(A72,'Données projet'!$A$113:$I$133,2,0)</f>
        <v>328</v>
      </c>
      <c r="BW72" s="13">
        <f>VLOOKUP(A72,'Données projet'!$A$113:$I$133,9,0)</f>
        <v>8.6666666666666661</v>
      </c>
      <c r="BX72" s="13">
        <f t="array" ref="BX72">INDEX(BW:BW,MIN(IF(ISNUMBER(BW72:BW268),ROW(BW72:BW268),"")))</f>
        <v>8.6666666666666661</v>
      </c>
      <c r="BY72" s="13">
        <f>IF('Données projet'!$A$114&gt;35,BY71+BX72-CG71,IF(A72&lt;'Données projet'!$A$114,$BV$205^A72,IF(A72='Données projet'!$A$114,'Données projet'!$B$114,BY71+BX72-CG71)))</f>
        <v>328.00000000000011</v>
      </c>
      <c r="BZ72" s="14">
        <f>BY72*VLOOKUP('Données projet'!$B$12,Paramètres!$A$1:$I$89,3,0)*VLOOKUP('Données projet'!$B$12,Paramètres!$A$1:$I$89,5,0)</f>
        <v>255.84000000000009</v>
      </c>
      <c r="CA72" s="14">
        <f t="shared" si="93"/>
        <v>61.834803371075836</v>
      </c>
      <c r="CB72" s="22">
        <f t="shared" si="64"/>
        <v>553.28361587129064</v>
      </c>
      <c r="CC72" s="60">
        <f t="shared" si="65"/>
        <v>819.21377622135719</v>
      </c>
      <c r="CD72" s="60">
        <f ca="1">AVERAGE(OFFSET($CC$3,0,0,'Données projet'!$E$12+1,1))-AVERAGE(OFFSET($H$3,0,0,'Données projet'!$E$12+1,1))</f>
        <v>312.59632808777332</v>
      </c>
      <c r="CE72" s="60">
        <f t="shared" si="94"/>
        <v>302.59481222418219</v>
      </c>
      <c r="CF72" s="16">
        <f>IF(ISNA(VLOOKUP(A72,'Données projet'!$A$113:$I$133,3,0)),0,VLOOKUP(A72,'Données projet'!$A$113:$I$133,3,0))</f>
        <v>7</v>
      </c>
      <c r="CG72" s="16">
        <f>IF(ISNA(VLOOKUP(A72,'Données projet'!$A$113:$I$133,4,0)),0,VLOOKUP(A72,'Données projet'!$A$113:$I$133,4,0))</f>
        <v>328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8.1999999999999993</v>
      </c>
      <c r="CT72" s="13">
        <f>IF('Données projet'!$A$140&gt;35,CT71+CS72-DB71,IF(A72&lt;'Données projet'!$A$140,$CQ$205^A72,IF(A72='Données projet'!$A$140,'Données projet'!$B$140,CT71+CS72-DB71)))</f>
        <v>293.79999999999995</v>
      </c>
      <c r="CU72" s="18">
        <f>CT72*VLOOKUP('Données projet'!$B$13,Paramètres!$A$1:$I$89,3,0)*VLOOKUP('Données projet'!$B$13,Paramètres!$A$1:$I$89,5,0)</f>
        <v>284.16335999999995</v>
      </c>
      <c r="CV72" s="14">
        <f t="shared" si="95"/>
        <v>67.846089314219739</v>
      </c>
      <c r="CW72" s="22">
        <f t="shared" si="67"/>
        <v>613.08312422226595</v>
      </c>
      <c r="CX72" s="60">
        <f t="shared" si="68"/>
        <v>879.01328457233251</v>
      </c>
      <c r="CY72" s="60">
        <f ca="1">AVERAGE(OFFSET($CX$3,0,0,'Données projet'!$E$13+1,1))-AVERAGE(OFFSET($H$3,0,0,'Données projet'!$E$13+1,1))</f>
        <v>603.52431522262032</v>
      </c>
      <c r="CZ72" s="60">
        <f t="shared" si="96"/>
        <v>313.56299786481338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8.1999999999999993</v>
      </c>
      <c r="DO72" s="13">
        <f>IF('Données projet'!$A$166&gt;35,DO71+DN72-DW71,IF(A72&lt;'Données projet'!$A$166,$DL$205^A72,IF(A72='Données projet'!$A$166,'Données projet'!$B$166,DO71+DN72-DW71)))</f>
        <v>293.79999999999995</v>
      </c>
      <c r="DP72" s="18">
        <f>DO72*VLOOKUP('Données projet'!$B$14,Paramètres!$A$1:$I$89,3,0)*VLOOKUP('Données projet'!$B$14,Paramètres!$A$1:$I$89,5,0)</f>
        <v>316.24631999999991</v>
      </c>
      <c r="DQ72" s="14">
        <f t="shared" si="97"/>
        <v>74.57179198892409</v>
      </c>
      <c r="DR72" s="22">
        <f t="shared" si="70"/>
        <v>680.67487838070929</v>
      </c>
      <c r="DS72" s="60">
        <f t="shared" si="71"/>
        <v>946.60503873077585</v>
      </c>
      <c r="DT72" s="60">
        <f ca="1">AVERAGE(OFFSET($DS$3,0,0,'Données projet'!$E$14+1,1))-AVERAGE(OFFSET($H$3,0,0,'Données projet'!$E$14+1,1))</f>
        <v>661.93515988633499</v>
      </c>
      <c r="DU72" s="60">
        <f t="shared" si="98"/>
        <v>341.9250949809848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5.2564102564102537</v>
      </c>
      <c r="EJ72" s="13">
        <f>IF('Données projet'!$A$192&gt;35,EJ71+EI72-ER71,IF(A72&lt;'Données projet'!$A$192,$EG$205^A72,IF(A72='Données projet'!$A$192,'Données projet'!$B$192,EJ71+EI72-ER71)))</f>
        <v>303.71794871794873</v>
      </c>
      <c r="EK72" s="18">
        <f>EJ72*VLOOKUP('Données projet'!$B$15,Paramètres!$A$1:$I$89,3,0)*VLOOKUP('Données projet'!$B$15,Paramètres!$A$1:$I$89,5,0)</f>
        <v>203.73400000000004</v>
      </c>
      <c r="EL72" s="14">
        <f t="shared" si="99"/>
        <v>50.563902362141633</v>
      </c>
      <c r="EM72" s="22">
        <f t="shared" si="73"/>
        <v>442.90217994739669</v>
      </c>
      <c r="EN72" s="60">
        <f t="shared" si="74"/>
        <v>708.83234029746325</v>
      </c>
      <c r="EO72" s="60">
        <f ca="1">AVERAGE(OFFSET($EN$3,0,0,'Données projet'!$E$15+1,1))-AVERAGE(OFFSET($H$3,0,0,'Données projet'!$E$15+1,1))</f>
        <v>396.0878652679051</v>
      </c>
      <c r="EP72" s="60">
        <f t="shared" si="100"/>
        <v>327.26339199235406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4.5</v>
      </c>
      <c r="FE72" s="13">
        <f>IF('Données projet'!$A$218&gt;35,FE71+FD72-FM71,IF(A72&lt;'Données projet'!$A$218,$FB$205^A72,IF(A72='Données projet'!$A$218,'Données projet'!$B$218,FE71+FD72-FM71)))</f>
        <v>323.99999999999989</v>
      </c>
      <c r="FF72" s="18">
        <f>FE72*VLOOKUP('Données projet'!$B$16,Paramètres!$A$1:$I$89,3,0)*VLOOKUP('Données projet'!$B$16,Paramètres!$A$1:$I$89,5,0)</f>
        <v>237.55679999999992</v>
      </c>
      <c r="FG72" s="14">
        <f t="shared" si="101"/>
        <v>57.913551469467308</v>
      </c>
      <c r="FH72" s="22">
        <f t="shared" si="76"/>
        <v>514.61086214265538</v>
      </c>
      <c r="FI72" s="60">
        <f t="shared" si="77"/>
        <v>780.54102249272194</v>
      </c>
      <c r="FJ72" s="60">
        <f ca="1">AVERAGE(OFFSET($FI$3,0,0,'Données projet'!$E$16+1,1))-AVERAGE(OFFSET($H$3,0,0,'Données projet'!$E$16+1,1))</f>
        <v>368.35775920359396</v>
      </c>
      <c r="FK72" s="60">
        <f t="shared" si="102"/>
        <v>395.5218438652638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11.8</v>
      </c>
      <c r="FZ72" s="13">
        <f>IF('Données projet'!$A$244&gt;35,FZ71+FY72-GH71,IF(A72&lt;'Données projet'!$A$244,$FW$205^A72,IF(A72='Données projet'!$A$244,'Données projet'!$B$244,FZ71+FY72-GH71)))</f>
        <v>375.2</v>
      </c>
      <c r="GA72" s="18">
        <f>FZ72*VLOOKUP('Données projet'!$B$17,Paramètres!$A$1:$I$89,3,0)*VLOOKUP('Données projet'!$B$17,Paramètres!$A$1:$I$89,5,0)</f>
        <v>321.92160000000001</v>
      </c>
      <c r="GB72" s="14">
        <f t="shared" si="103"/>
        <v>75.753040489321577</v>
      </c>
      <c r="GC72" s="22">
        <f t="shared" si="79"/>
        <v>692.61666551890175</v>
      </c>
      <c r="GD72" s="60">
        <f t="shared" si="80"/>
        <v>958.54682586896831</v>
      </c>
      <c r="GE72" s="60">
        <f ca="1">AVERAGE(OFFSET($GD$3,0,0,'Données projet'!$E$17+1,1))-AVERAGE(OFFSET($H$3,0,0,'Données projet'!$E$17+1,1))</f>
        <v>701.44583662096022</v>
      </c>
      <c r="GF72" s="60">
        <f t="shared" si="104"/>
        <v>331.25104323342907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-1.1368683772161603E-13</v>
      </c>
      <c r="GV72" s="18">
        <f>GU72*VLOOKUP('Données projet'!$B$18,Paramètres!$A$1:$I$89,3,0)*VLOOKUP('Données projet'!$B$18,Paramètres!$A$1:$I$89,5,0)</f>
        <v>-9.2222762759774927E-14</v>
      </c>
      <c r="GW72" s="14" t="e">
        <f t="shared" si="105"/>
        <v>#NUM!</v>
      </c>
      <c r="GX72" s="22" t="e">
        <f t="shared" si="82"/>
        <v>#NUM!</v>
      </c>
      <c r="GY72" s="60" t="e">
        <f t="shared" si="83"/>
        <v>#NUM!</v>
      </c>
      <c r="GZ72" s="60">
        <f ca="1">AVERAGE(OFFSET($GY$3,0,0,'Données projet'!$E$18+1,1))-AVERAGE(OFFSET($H$3,0,0,'Données projet'!$E$18+1,1))</f>
        <v>272.69564942740931</v>
      </c>
      <c r="HA72" s="60">
        <f t="shared" si="106"/>
        <v>316.57989180609252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25">
      <c r="A73" s="11">
        <f t="shared" si="85"/>
        <v>70</v>
      </c>
      <c r="B73" s="75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8">
        <f t="shared" si="56"/>
        <v>183.33333333333334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0">
        <f t="shared" si="55"/>
        <v>856.46137262503021</v>
      </c>
      <c r="S73" s="60">
        <f ca="1">AVERAGE(OFFSET($R$3,0,0,'Données projet'!$E$9+1,1))-AVERAGE(OFFSET($H$3,0,0,'Données projet'!$E$9+1,1))</f>
        <v>570.08763950759544</v>
      </c>
      <c r="T73" s="60">
        <f t="shared" si="88"/>
        <v>297.32483725004136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328.5</v>
      </c>
      <c r="AG73" s="13">
        <f>VLOOKUP(A73,'Données projet'!$A$61:$I$81,9,0)</f>
        <v>4.5</v>
      </c>
      <c r="AH73" s="13">
        <f t="array" ref="AH73">INDEX(AG:AG,MIN(IF(ISNUMBER(AG73:AG269),ROW(AG73:AG269),"")))</f>
        <v>4.5</v>
      </c>
      <c r="AI73" s="14">
        <f>IF('Données projet'!$A$62&gt;35,AI72+AH73-AQ72,IF(A73&lt;'Données projet'!$A$62,$AF$205^A73,IF(A73='Données projet'!$A$62,'Données projet'!$B$62,AI72+AH73-AQ72)))</f>
        <v>328.49999999999989</v>
      </c>
      <c r="AJ73" s="14">
        <f>AI73*VLOOKUP('Données projet'!$B$10,Paramètres!$A$1:$I$89,3,0)*VLOOKUP('Données projet'!$B$10,Paramètres!$A$1:$I$89,5,0)</f>
        <v>261.35459999999989</v>
      </c>
      <c r="AK73" s="14">
        <f t="shared" si="89"/>
        <v>63.01103655068848</v>
      </c>
      <c r="AL73" s="22">
        <f t="shared" si="58"/>
        <v>564.93681699244883</v>
      </c>
      <c r="AM73" s="60">
        <f t="shared" si="59"/>
        <v>831.34236112945837</v>
      </c>
      <c r="AN73" s="60">
        <f ca="1">AVERAGE(OFFSET($AM$3,0,0,'Données projet'!$E$10+1,1))-AVERAGE(OFFSET($H$3,0,0,'Données projet'!$E$10+1,1))</f>
        <v>394.49874384716014</v>
      </c>
      <c r="AO73" s="60">
        <f t="shared" si="90"/>
        <v>423.72519584013378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25.9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223.7179487179487</v>
      </c>
      <c r="BB73" s="13">
        <f>VLOOKUP(A73,'Données projet'!$A$87:$I$107,9,0)</f>
        <v>4.7435897435897401</v>
      </c>
      <c r="BC73" s="13">
        <f t="array" ref="BC73">INDEX(BB:BB,MIN(IF(ISNUMBER(BB73:BB269),ROW(BB73:BB269),"")))</f>
        <v>4.7435897435897401</v>
      </c>
      <c r="BD73" s="13">
        <f>IF('Données projet'!$A$88&gt;35,BD72+BC73-BL72,IF(A73&lt;'Données projet'!$A$88,$BA$205^A73,IF(A73='Données projet'!$A$88,'Données projet'!$B$88,BD72+BC73-BL72)))</f>
        <v>223.71794871794867</v>
      </c>
      <c r="BE73" s="14">
        <f>BD73*VLOOKUP('Données projet'!$B$11,Paramètres!$A$1:$I$89,3,0)*VLOOKUP('Données projet'!$B$11,Paramètres!$A$1:$I$89,5,0)</f>
        <v>212.89</v>
      </c>
      <c r="BF73" s="14">
        <f t="shared" si="91"/>
        <v>52.566620155786865</v>
      </c>
      <c r="BG73" s="22">
        <f t="shared" si="61"/>
        <v>462.33694677132871</v>
      </c>
      <c r="BH73" s="60">
        <f t="shared" si="62"/>
        <v>728.74249090833814</v>
      </c>
      <c r="BI73" s="60">
        <f ca="1">AVERAGE(OFFSET($BH$3,0,0,'Données projet'!$E$11+1,1))-AVERAGE(OFFSET($H$3,0,0,'Données projet'!$E$11+1,1))</f>
        <v>441.15969139782891</v>
      </c>
      <c r="BJ73" s="60">
        <f t="shared" si="92"/>
        <v>315.06466790224783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1.1368683772161603E-13</v>
      </c>
      <c r="BZ73" s="14">
        <f>BY73*VLOOKUP('Données projet'!$B$12,Paramètres!$A$1:$I$89,3,0)*VLOOKUP('Données projet'!$B$12,Paramètres!$A$1:$I$89,5,0)</f>
        <v>8.8675733422860506E-14</v>
      </c>
      <c r="CA73" s="14">
        <f t="shared" si="93"/>
        <v>1.3509285393066301E-12</v>
      </c>
      <c r="CB73" s="22">
        <f t="shared" si="64"/>
        <v>2.5073107750038623E-12</v>
      </c>
      <c r="CC73" s="60">
        <f t="shared" si="65"/>
        <v>266.40554413701199</v>
      </c>
      <c r="CD73" s="60">
        <f ca="1">AVERAGE(OFFSET($CC$3,0,0,'Données projet'!$E$12+1,1))-AVERAGE(OFFSET($H$3,0,0,'Données projet'!$E$12+1,1))</f>
        <v>312.59632808777332</v>
      </c>
      <c r="CE73" s="60">
        <f t="shared" si="94"/>
        <v>302.59481222418219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302</v>
      </c>
      <c r="CR73" s="13">
        <f>VLOOKUP(A73,'Données projet'!$A$139:$I$159,9,0)</f>
        <v>8.1999999999999993</v>
      </c>
      <c r="CS73" s="13">
        <f t="array" ref="CS73">INDEX(CR:CR,MIN(IF(ISNUMBER(CR73:CR269),ROW(CR73:CR269),"")))</f>
        <v>8.1999999999999993</v>
      </c>
      <c r="CT73" s="13">
        <f>IF('Données projet'!$A$140&gt;35,CT72+CS73-DB72,IF(A73&lt;'Données projet'!$A$140,$CQ$205^A73,IF(A73='Données projet'!$A$140,'Données projet'!$B$140,CT72+CS73-DB72)))</f>
        <v>301.99999999999994</v>
      </c>
      <c r="CU73" s="18">
        <f>CT73*VLOOKUP('Données projet'!$B$13,Paramètres!$A$1:$I$89,3,0)*VLOOKUP('Données projet'!$B$13,Paramètres!$A$1:$I$89,5,0)</f>
        <v>292.09439999999995</v>
      </c>
      <c r="CV73" s="14">
        <f t="shared" si="95"/>
        <v>69.516578973599849</v>
      </c>
      <c r="CW73" s="22">
        <f t="shared" si="67"/>
        <v>629.80578837901965</v>
      </c>
      <c r="CX73" s="60">
        <f t="shared" si="68"/>
        <v>896.21133251602919</v>
      </c>
      <c r="CY73" s="60">
        <f ca="1">AVERAGE(OFFSET($CX$3,0,0,'Données projet'!$E$13+1,1))-AVERAGE(OFFSET($H$3,0,0,'Données projet'!$E$13+1,1))</f>
        <v>603.52431522262032</v>
      </c>
      <c r="CZ73" s="60">
        <f t="shared" si="96"/>
        <v>313.56299786481338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302</v>
      </c>
      <c r="DM73" s="13">
        <f>VLOOKUP(A73,'Données projet'!$A$165:$I$185,9,0)</f>
        <v>8.1999999999999993</v>
      </c>
      <c r="DN73" s="13">
        <f t="array" ref="DN73">INDEX(DM:DM,MIN(IF(ISNUMBER(DM73:DM269),ROW(DM73:DM269),"")))</f>
        <v>8.1999999999999993</v>
      </c>
      <c r="DO73" s="13">
        <f>IF('Données projet'!$A$166&gt;35,DO72+DN73-DW72,IF(A73&lt;'Données projet'!$A$166,$DL$205^A73,IF(A73='Données projet'!$A$166,'Données projet'!$B$166,DO72+DN73-DW72)))</f>
        <v>301.99999999999994</v>
      </c>
      <c r="DP73" s="18">
        <f>DO73*VLOOKUP('Données projet'!$B$14,Paramètres!$A$1:$I$89,3,0)*VLOOKUP('Données projet'!$B$14,Paramètres!$A$1:$I$89,5,0)</f>
        <v>325.07279999999992</v>
      </c>
      <c r="DQ73" s="14">
        <f t="shared" si="97"/>
        <v>76.407880238933714</v>
      </c>
      <c r="DR73" s="22">
        <f t="shared" si="70"/>
        <v>699.24551808280933</v>
      </c>
      <c r="DS73" s="60">
        <f t="shared" si="71"/>
        <v>965.65106221981887</v>
      </c>
      <c r="DT73" s="60">
        <f ca="1">AVERAGE(OFFSET($DS$3,0,0,'Données projet'!$E$14+1,1))-AVERAGE(OFFSET($H$3,0,0,'Données projet'!$E$14+1,1))</f>
        <v>661.93515988633499</v>
      </c>
      <c r="DU73" s="60">
        <f t="shared" si="98"/>
        <v>341.9250949809848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308.97435897435895</v>
      </c>
      <c r="EH73" s="13">
        <f>VLOOKUP(A73,'Données projet'!$A$191:$I$211,9,0)</f>
        <v>5.2564102564102537</v>
      </c>
      <c r="EI73" s="13">
        <f t="array" ref="EI73">INDEX(EH:EH,MIN(IF(ISNUMBER(EH73:EH269),ROW(EH73:EH269),"")))</f>
        <v>5.2564102564102537</v>
      </c>
      <c r="EJ73" s="13">
        <f>IF('Données projet'!$A$192&gt;35,EJ72+EI73-ER72,IF(A73&lt;'Données projet'!$A$192,$EG$205^A73,IF(A73='Données projet'!$A$192,'Données projet'!$B$192,EJ72+EI73-ER72)))</f>
        <v>308.97435897435901</v>
      </c>
      <c r="EK73" s="18">
        <f>EJ73*VLOOKUP('Données projet'!$B$15,Paramètres!$A$1:$I$89,3,0)*VLOOKUP('Données projet'!$B$15,Paramètres!$A$1:$I$89,5,0)</f>
        <v>207.26000000000002</v>
      </c>
      <c r="EL73" s="14">
        <f t="shared" si="99"/>
        <v>51.336369857430014</v>
      </c>
      <c r="EM73" s="22">
        <f t="shared" si="73"/>
        <v>450.38867750169061</v>
      </c>
      <c r="EN73" s="60">
        <f t="shared" si="74"/>
        <v>716.79422163870004</v>
      </c>
      <c r="EO73" s="60">
        <f ca="1">AVERAGE(OFFSET($EN$3,0,0,'Données projet'!$E$15+1,1))-AVERAGE(OFFSET($H$3,0,0,'Données projet'!$E$15+1,1))</f>
        <v>396.0878652679051</v>
      </c>
      <c r="EP73" s="60">
        <f t="shared" si="100"/>
        <v>327.26339199235406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31.410256410256409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328.5</v>
      </c>
      <c r="FC73" s="13">
        <f>VLOOKUP(A73,'Données projet'!$A$217:$I$237,9,0)</f>
        <v>4.5</v>
      </c>
      <c r="FD73" s="13">
        <f t="array" ref="FD73">INDEX(FC:FC,MIN(IF(ISNUMBER(FC73:FC269),ROW(FC73:FC269),"")))</f>
        <v>4.5</v>
      </c>
      <c r="FE73" s="13">
        <f>IF('Données projet'!$A$218&gt;35,FE72+FD73-FM72,IF(A73&lt;'Données projet'!$A$218,$FB$205^A73,IF(A73='Données projet'!$A$218,'Données projet'!$B$218,FE72+FD73-FM72)))</f>
        <v>328.49999999999989</v>
      </c>
      <c r="FF73" s="18">
        <f>FE73*VLOOKUP('Données projet'!$B$16,Paramètres!$A$1:$I$89,3,0)*VLOOKUP('Données projet'!$B$16,Paramètres!$A$1:$I$89,5,0)</f>
        <v>240.85619999999989</v>
      </c>
      <c r="FG73" s="14">
        <f t="shared" si="101"/>
        <v>58.623707885373882</v>
      </c>
      <c r="FH73" s="22">
        <f t="shared" si="76"/>
        <v>521.59417290035935</v>
      </c>
      <c r="FI73" s="60">
        <f t="shared" si="77"/>
        <v>787.99971703736878</v>
      </c>
      <c r="FJ73" s="60">
        <f ca="1">AVERAGE(OFFSET($FI$3,0,0,'Données projet'!$E$16+1,1))-AVERAGE(OFFSET($H$3,0,0,'Données projet'!$E$16+1,1))</f>
        <v>368.35775920359396</v>
      </c>
      <c r="FK73" s="60">
        <f t="shared" si="102"/>
        <v>395.5218438652638</v>
      </c>
      <c r="FL73" s="16">
        <f>IF(ISNA(VLOOKUP(A73,'Données projet'!$A$217:$I$237,3,0)),0,VLOOKUP(A73,'Données projet'!$A$217:$I$237,3,0))</f>
        <v>6</v>
      </c>
      <c r="FM73" s="16">
        <f>IF(ISNA(VLOOKUP(A73,'Données projet'!$A$217:$I$237,4,0)),0,VLOOKUP(A73,'Données projet'!$A$217:$I$237,4,0))</f>
        <v>25.9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387</v>
      </c>
      <c r="FX73" s="13">
        <f>VLOOKUP(A73,'Données projet'!$A$243:$I$263,9,0)</f>
        <v>11.8</v>
      </c>
      <c r="FY73" s="13">
        <f t="array" ref="FY73">INDEX(FX:FX,MIN(IF(ISNUMBER(FX73:FX269),ROW(FX73:FX269),"")))</f>
        <v>11.8</v>
      </c>
      <c r="FZ73" s="13">
        <f>IF('Données projet'!$A$244&gt;35,FZ72+FY73-GH72,IF(A73&lt;'Données projet'!$A$244,$FW$205^A73,IF(A73='Données projet'!$A$244,'Données projet'!$B$244,FZ72+FY73-GH72)))</f>
        <v>387</v>
      </c>
      <c r="GA73" s="18">
        <f>FZ73*VLOOKUP('Données projet'!$B$17,Paramètres!$A$1:$I$89,3,0)*VLOOKUP('Données projet'!$B$17,Paramètres!$A$1:$I$89,5,0)</f>
        <v>332.04600000000005</v>
      </c>
      <c r="GB73" s="14">
        <f t="shared" si="103"/>
        <v>77.854342460208699</v>
      </c>
      <c r="GC73" s="22">
        <f t="shared" si="79"/>
        <v>713.90976311819679</v>
      </c>
      <c r="GD73" s="60">
        <f t="shared" si="80"/>
        <v>980.31530725520633</v>
      </c>
      <c r="GE73" s="60">
        <f ca="1">AVERAGE(OFFSET($GD$3,0,0,'Données projet'!$E$17+1,1))-AVERAGE(OFFSET($H$3,0,0,'Données projet'!$E$17+1,1))</f>
        <v>701.44583662096022</v>
      </c>
      <c r="GF73" s="60">
        <f t="shared" si="104"/>
        <v>331.25104323342907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-1.1368683772161603E-13</v>
      </c>
      <c r="GV73" s="18">
        <f>GU73*VLOOKUP('Données projet'!$B$18,Paramètres!$A$1:$I$89,3,0)*VLOOKUP('Données projet'!$B$18,Paramètres!$A$1:$I$89,5,0)</f>
        <v>-9.2222762759774927E-14</v>
      </c>
      <c r="GW73" s="14" t="e">
        <f t="shared" si="105"/>
        <v>#NUM!</v>
      </c>
      <c r="GX73" s="22" t="e">
        <f t="shared" si="82"/>
        <v>#NUM!</v>
      </c>
      <c r="GY73" s="60" t="e">
        <f t="shared" si="83"/>
        <v>#NUM!</v>
      </c>
      <c r="GZ73" s="60">
        <f ca="1">AVERAGE(OFFSET($GY$3,0,0,'Données projet'!$E$18+1,1))-AVERAGE(OFFSET($H$3,0,0,'Données projet'!$E$18+1,1))</f>
        <v>272.69564942740931</v>
      </c>
      <c r="HA73" s="60">
        <f t="shared" si="106"/>
        <v>316.57989180609252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25">
      <c r="A74" s="11">
        <f t="shared" si="85"/>
        <v>71</v>
      </c>
      <c r="B74" s="75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8">
        <f t="shared" si="56"/>
        <v>183.33333333333334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projet'!$B$9,Paramètres!$A$1:$I$89,3,0)*VLOOKUP('Données projet'!$B$9,Paramètres!$A$1:$I$89,5,0)</f>
        <v>280.12607999999994</v>
      </c>
      <c r="P74" s="14">
        <f t="shared" si="87"/>
        <v>66.993652511337999</v>
      </c>
      <c r="Q74" s="22">
        <f t="shared" si="54"/>
        <v>604.56686745724687</v>
      </c>
      <c r="R74" s="60">
        <f t="shared" si="55"/>
        <v>871.43954853529476</v>
      </c>
      <c r="S74" s="60">
        <f ca="1">AVERAGE(OFFSET($R$3,0,0,'Données projet'!$E$9+1,1))-AVERAGE(OFFSET($H$3,0,0,'Données projet'!$E$9+1,1))</f>
        <v>570.08763950759544</v>
      </c>
      <c r="T74" s="60">
        <f t="shared" si="88"/>
        <v>297.32483725004136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4.1799999999999953</v>
      </c>
      <c r="AI74" s="14">
        <f>IF('Données projet'!$A$62&gt;35,AI73+AH74-AQ73,IF(A74&lt;'Données projet'!$A$62,$AF$205^A74,IF(A74='Données projet'!$A$62,'Données projet'!$B$62,AI73+AH74-AQ73)))</f>
        <v>306.77999999999992</v>
      </c>
      <c r="AJ74" s="14">
        <f>AI74*VLOOKUP('Données projet'!$B$10,Paramètres!$A$1:$I$89,3,0)*VLOOKUP('Données projet'!$B$10,Paramètres!$A$1:$I$89,5,0)</f>
        <v>244.07416799999996</v>
      </c>
      <c r="AK74" s="14">
        <f t="shared" si="89"/>
        <v>59.315246950995579</v>
      </c>
      <c r="AL74" s="22">
        <f t="shared" si="58"/>
        <v>528.40323103965056</v>
      </c>
      <c r="AM74" s="60">
        <f t="shared" si="59"/>
        <v>795.27591211769845</v>
      </c>
      <c r="AN74" s="60">
        <f ca="1">AVERAGE(OFFSET($AM$3,0,0,'Données projet'!$E$10+1,1))-AVERAGE(OFFSET($H$3,0,0,'Données projet'!$E$10+1,1))</f>
        <v>394.49874384716014</v>
      </c>
      <c r="AO74" s="60">
        <f t="shared" si="90"/>
        <v>423.72519584013378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4.4871794871794863</v>
      </c>
      <c r="BD74" s="13">
        <f>IF('Données projet'!$A$88&gt;35,BD73+BC74-BL73,IF(A74&lt;'Données projet'!$A$88,$BA$205^A74,IF(A74='Données projet'!$A$88,'Données projet'!$B$88,BD73+BC74-BL73)))</f>
        <v>228.20512820512815</v>
      </c>
      <c r="BE74" s="14">
        <f>BD74*VLOOKUP('Données projet'!$B$11,Paramètres!$A$1:$I$89,3,0)*VLOOKUP('Données projet'!$B$11,Paramètres!$A$1:$I$89,5,0)</f>
        <v>217.15999999999997</v>
      </c>
      <c r="BF74" s="14">
        <f t="shared" si="91"/>
        <v>53.497159756294458</v>
      </c>
      <c r="BG74" s="22">
        <f t="shared" si="61"/>
        <v>471.39455324221279</v>
      </c>
      <c r="BH74" s="60">
        <f t="shared" si="62"/>
        <v>738.26723432026074</v>
      </c>
      <c r="BI74" s="60">
        <f ca="1">AVERAGE(OFFSET($BH$3,0,0,'Données projet'!$E$11+1,1))-AVERAGE(OFFSET($H$3,0,0,'Données projet'!$E$11+1,1))</f>
        <v>441.15969139782891</v>
      </c>
      <c r="BJ74" s="60">
        <f t="shared" si="92"/>
        <v>315.06466790224783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1.1368683772161603E-13</v>
      </c>
      <c r="BZ74" s="14">
        <f>BY74*VLOOKUP('Données projet'!$B$12,Paramètres!$A$1:$I$89,3,0)*VLOOKUP('Données projet'!$B$12,Paramètres!$A$1:$I$89,5,0)</f>
        <v>8.8675733422860506E-14</v>
      </c>
      <c r="CA74" s="14">
        <f t="shared" si="93"/>
        <v>1.3509285393066301E-12</v>
      </c>
      <c r="CB74" s="22">
        <f t="shared" si="64"/>
        <v>2.5073107750038623E-12</v>
      </c>
      <c r="CC74" s="60">
        <f t="shared" si="65"/>
        <v>266.87268107805045</v>
      </c>
      <c r="CD74" s="60">
        <f ca="1">AVERAGE(OFFSET($CC$3,0,0,'Données projet'!$E$12+1,1))-AVERAGE(OFFSET($H$3,0,0,'Données projet'!$E$12+1,1))</f>
        <v>312.59632808777332</v>
      </c>
      <c r="CE74" s="60">
        <f t="shared" si="94"/>
        <v>302.59481222418219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7.6</v>
      </c>
      <c r="CT74" s="13">
        <f>IF('Données projet'!$A$140&gt;35,CT73+CS74-DB73,IF(A74&lt;'Données projet'!$A$140,$CQ$205^A74,IF(A74='Données projet'!$A$140,'Données projet'!$B$140,CT73+CS74-DB73)))</f>
        <v>309.59999999999997</v>
      </c>
      <c r="CU74" s="18">
        <f>CT74*VLOOKUP('Données projet'!$B$13,Paramètres!$A$1:$I$89,3,0)*VLOOKUP('Données projet'!$B$13,Paramètres!$A$1:$I$89,5,0)</f>
        <v>299.44511999999997</v>
      </c>
      <c r="CV74" s="14">
        <f t="shared" si="95"/>
        <v>71.060126783970659</v>
      </c>
      <c r="CW74" s="22">
        <f t="shared" si="67"/>
        <v>645.2966381487488</v>
      </c>
      <c r="CX74" s="60">
        <f t="shared" si="68"/>
        <v>912.16931922679669</v>
      </c>
      <c r="CY74" s="60">
        <f ca="1">AVERAGE(OFFSET($CX$3,0,0,'Données projet'!$E$13+1,1))-AVERAGE(OFFSET($H$3,0,0,'Données projet'!$E$13+1,1))</f>
        <v>603.52431522262032</v>
      </c>
      <c r="CZ74" s="60">
        <f t="shared" si="96"/>
        <v>313.56299786481338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7.6</v>
      </c>
      <c r="DO74" s="13">
        <f>IF('Données projet'!$A$166&gt;35,DO73+DN74-DW73,IF(A74&lt;'Données projet'!$A$166,$DL$205^A74,IF(A74='Données projet'!$A$166,'Données projet'!$B$166,DO73+DN74-DW73)))</f>
        <v>309.59999999999997</v>
      </c>
      <c r="DP74" s="18">
        <f>DO74*VLOOKUP('Données projet'!$B$14,Paramètres!$A$1:$I$89,3,0)*VLOOKUP('Données projet'!$B$14,Paramètres!$A$1:$I$89,5,0)</f>
        <v>333.25343999999996</v>
      </c>
      <c r="DQ74" s="14">
        <f t="shared" si="97"/>
        <v>78.104442670216116</v>
      </c>
      <c r="DR74" s="22">
        <f t="shared" si="70"/>
        <v>716.44831231729302</v>
      </c>
      <c r="DS74" s="60">
        <f t="shared" si="71"/>
        <v>983.32099339534102</v>
      </c>
      <c r="DT74" s="60">
        <f ca="1">AVERAGE(OFFSET($DS$3,0,0,'Données projet'!$E$14+1,1))-AVERAGE(OFFSET($H$3,0,0,'Données projet'!$E$14+1,1))</f>
        <v>661.93515988633499</v>
      </c>
      <c r="DU74" s="60">
        <f t="shared" si="98"/>
        <v>341.9250949809848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5.1282051282051269</v>
      </c>
      <c r="EJ74" s="13">
        <f>IF('Données projet'!$A$192&gt;35,EJ73+EI74-ER73,IF(A74&lt;'Données projet'!$A$192,$EG$205^A74,IF(A74='Données projet'!$A$192,'Données projet'!$B$192,EJ73+EI74-ER73)))</f>
        <v>282.69230769230774</v>
      </c>
      <c r="EK74" s="18">
        <f>EJ74*VLOOKUP('Données projet'!$B$15,Paramètres!$A$1:$I$89,3,0)*VLOOKUP('Données projet'!$B$15,Paramètres!$A$1:$I$89,5,0)</f>
        <v>189.63000000000002</v>
      </c>
      <c r="EL74" s="14">
        <f t="shared" si="99"/>
        <v>47.458141826690017</v>
      </c>
      <c r="EM74" s="22">
        <f t="shared" si="73"/>
        <v>412.92851368148513</v>
      </c>
      <c r="EN74" s="60">
        <f t="shared" si="74"/>
        <v>679.80119475953302</v>
      </c>
      <c r="EO74" s="60">
        <f ca="1">AVERAGE(OFFSET($EN$3,0,0,'Données projet'!$E$15+1,1))-AVERAGE(OFFSET($H$3,0,0,'Données projet'!$E$15+1,1))</f>
        <v>396.0878652679051</v>
      </c>
      <c r="EP74" s="60">
        <f t="shared" si="100"/>
        <v>327.26339199235406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4.1799999999999953</v>
      </c>
      <c r="FE74" s="13">
        <f>IF('Données projet'!$A$218&gt;35,FE73+FD74-FM73,IF(A74&lt;'Données projet'!$A$218,$FB$205^A74,IF(A74='Données projet'!$A$218,'Données projet'!$B$218,FE73+FD74-FM73)))</f>
        <v>306.77999999999992</v>
      </c>
      <c r="FF74" s="18">
        <f>FE74*VLOOKUP('Données projet'!$B$16,Paramètres!$A$1:$I$89,3,0)*VLOOKUP('Données projet'!$B$16,Paramètres!$A$1:$I$89,5,0)</f>
        <v>224.93109599999991</v>
      </c>
      <c r="FG74" s="14">
        <f t="shared" si="101"/>
        <v>55.185248501771945</v>
      </c>
      <c r="FH74" s="22">
        <f t="shared" si="76"/>
        <v>487.8693000072526</v>
      </c>
      <c r="FI74" s="60">
        <f t="shared" si="77"/>
        <v>754.74198108530049</v>
      </c>
      <c r="FJ74" s="60">
        <f ca="1">AVERAGE(OFFSET($FI$3,0,0,'Données projet'!$E$16+1,1))-AVERAGE(OFFSET($H$3,0,0,'Données projet'!$E$16+1,1))</f>
        <v>368.35775920359396</v>
      </c>
      <c r="FK74" s="60">
        <f t="shared" si="102"/>
        <v>395.5218438652638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11</v>
      </c>
      <c r="FZ74" s="13">
        <f>IF('Données projet'!$A$244&gt;35,FZ73+FY74-GH73,IF(A74&lt;'Données projet'!$A$244,$FW$205^A74,IF(A74='Données projet'!$A$244,'Données projet'!$B$244,FZ73+FY74-GH73)))</f>
        <v>398</v>
      </c>
      <c r="GA74" s="18">
        <f>FZ74*VLOOKUP('Données projet'!$B$17,Paramètres!$A$1:$I$89,3,0)*VLOOKUP('Données projet'!$B$17,Paramètres!$A$1:$I$89,5,0)</f>
        <v>341.48400000000004</v>
      </c>
      <c r="GB74" s="14">
        <f t="shared" si="103"/>
        <v>79.806472458430065</v>
      </c>
      <c r="GC74" s="22">
        <f t="shared" si="79"/>
        <v>733.74757286509896</v>
      </c>
      <c r="GD74" s="60">
        <f t="shared" si="80"/>
        <v>1000.620253943147</v>
      </c>
      <c r="GE74" s="60">
        <f ca="1">AVERAGE(OFFSET($GD$3,0,0,'Données projet'!$E$17+1,1))-AVERAGE(OFFSET($H$3,0,0,'Données projet'!$E$17+1,1))</f>
        <v>701.44583662096022</v>
      </c>
      <c r="GF74" s="60">
        <f t="shared" si="104"/>
        <v>331.25104323342907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-1.1368683772161603E-13</v>
      </c>
      <c r="GV74" s="18">
        <f>GU74*VLOOKUP('Données projet'!$B$18,Paramètres!$A$1:$I$89,3,0)*VLOOKUP('Données projet'!$B$18,Paramètres!$A$1:$I$89,5,0)</f>
        <v>-9.2222762759774927E-14</v>
      </c>
      <c r="GW74" s="14" t="e">
        <f t="shared" si="105"/>
        <v>#NUM!</v>
      </c>
      <c r="GX74" s="22" t="e">
        <f t="shared" si="82"/>
        <v>#NUM!</v>
      </c>
      <c r="GY74" s="60" t="e">
        <f t="shared" si="83"/>
        <v>#NUM!</v>
      </c>
      <c r="GZ74" s="60">
        <f ca="1">AVERAGE(OFFSET($GY$3,0,0,'Données projet'!$E$18+1,1))-AVERAGE(OFFSET($H$3,0,0,'Données projet'!$E$18+1,1))</f>
        <v>272.69564942740931</v>
      </c>
      <c r="HA74" s="60">
        <f t="shared" si="106"/>
        <v>316.57989180609252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25">
      <c r="A75" s="11">
        <f t="shared" si="85"/>
        <v>72</v>
      </c>
      <c r="B75" s="75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8">
        <f t="shared" si="56"/>
        <v>183.33333333333334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projet'!$B$9,Paramètres!$A$1:$I$89,3,0)*VLOOKUP('Données projet'!$B$9,Paramètres!$A$1:$I$89,5,0)</f>
        <v>287.00255999999996</v>
      </c>
      <c r="P75" s="14">
        <f t="shared" si="87"/>
        <v>68.444716936118553</v>
      </c>
      <c r="Q75" s="22">
        <f t="shared" si="54"/>
        <v>619.07067399707296</v>
      </c>
      <c r="R75" s="60">
        <f t="shared" si="55"/>
        <v>886.40238823459413</v>
      </c>
      <c r="S75" s="60">
        <f ca="1">AVERAGE(OFFSET($R$3,0,0,'Données projet'!$E$9+1,1))-AVERAGE(OFFSET($H$3,0,0,'Données projet'!$E$9+1,1))</f>
        <v>570.08763950759544</v>
      </c>
      <c r="T75" s="60">
        <f t="shared" si="88"/>
        <v>297.32483725004136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4.1799999999999953</v>
      </c>
      <c r="AI75" s="14">
        <f>IF('Données projet'!$A$62&gt;35,AI74+AH75-AQ74,IF(A75&lt;'Données projet'!$A$62,$AF$205^A75,IF(A75='Données projet'!$A$62,'Données projet'!$B$62,AI74+AH75-AQ74)))</f>
        <v>310.95999999999992</v>
      </c>
      <c r="AJ75" s="14">
        <f>AI75*VLOOKUP('Données projet'!$B$10,Paramètres!$A$1:$I$89,3,0)*VLOOKUP('Données projet'!$B$10,Paramètres!$A$1:$I$89,5,0)</f>
        <v>247.39977599999995</v>
      </c>
      <c r="AK75" s="14">
        <f t="shared" si="89"/>
        <v>60.028803657797908</v>
      </c>
      <c r="AL75" s="22">
        <f t="shared" si="58"/>
        <v>535.43810957066455</v>
      </c>
      <c r="AM75" s="60">
        <f t="shared" si="59"/>
        <v>802.76982380818572</v>
      </c>
      <c r="AN75" s="60">
        <f ca="1">AVERAGE(OFFSET($AM$3,0,0,'Données projet'!$E$10+1,1))-AVERAGE(OFFSET($H$3,0,0,'Données projet'!$E$10+1,1))</f>
        <v>394.49874384716014</v>
      </c>
      <c r="AO75" s="60">
        <f t="shared" si="90"/>
        <v>423.72519584013378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4.4871794871794863</v>
      </c>
      <c r="BD75" s="13">
        <f>IF('Données projet'!$A$88&gt;35,BD74+BC75-BL74,IF(A75&lt;'Données projet'!$A$88,$BA$205^A75,IF(A75='Données projet'!$A$88,'Données projet'!$B$88,BD74+BC75-BL74)))</f>
        <v>232.69230769230762</v>
      </c>
      <c r="BE75" s="14">
        <f>BD75*VLOOKUP('Données projet'!$B$11,Paramètres!$A$1:$I$89,3,0)*VLOOKUP('Données projet'!$B$11,Paramètres!$A$1:$I$89,5,0)</f>
        <v>221.42999999999995</v>
      </c>
      <c r="BF75" s="14">
        <f t="shared" si="91"/>
        <v>54.425571861733111</v>
      </c>
      <c r="BG75" s="22">
        <f t="shared" si="61"/>
        <v>480.44845432585163</v>
      </c>
      <c r="BH75" s="60">
        <f t="shared" si="62"/>
        <v>747.78016856337274</v>
      </c>
      <c r="BI75" s="60">
        <f ca="1">AVERAGE(OFFSET($BH$3,0,0,'Données projet'!$E$11+1,1))-AVERAGE(OFFSET($H$3,0,0,'Données projet'!$E$11+1,1))</f>
        <v>441.15969139782891</v>
      </c>
      <c r="BJ75" s="60">
        <f t="shared" si="92"/>
        <v>315.06466790224783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1.1368683772161603E-13</v>
      </c>
      <c r="BZ75" s="14">
        <f>BY75*VLOOKUP('Données projet'!$B$12,Paramètres!$A$1:$I$89,3,0)*VLOOKUP('Données projet'!$B$12,Paramètres!$A$1:$I$89,5,0)</f>
        <v>8.8675733422860506E-14</v>
      </c>
      <c r="CA75" s="14">
        <f t="shared" si="93"/>
        <v>1.3509285393066301E-12</v>
      </c>
      <c r="CB75" s="22">
        <f t="shared" si="64"/>
        <v>2.5073107750038623E-12</v>
      </c>
      <c r="CC75" s="60">
        <f t="shared" si="65"/>
        <v>267.33171423752361</v>
      </c>
      <c r="CD75" s="60">
        <f ca="1">AVERAGE(OFFSET($CC$3,0,0,'Données projet'!$E$12+1,1))-AVERAGE(OFFSET($H$3,0,0,'Données projet'!$E$12+1,1))</f>
        <v>312.59632808777332</v>
      </c>
      <c r="CE75" s="60">
        <f t="shared" si="94"/>
        <v>302.59481222418219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7.6</v>
      </c>
      <c r="CT75" s="13">
        <f>IF('Données projet'!$A$140&gt;35,CT74+CS75-DB74,IF(A75&lt;'Données projet'!$A$140,$CQ$205^A75,IF(A75='Données projet'!$A$140,'Données projet'!$B$140,CT74+CS75-DB74)))</f>
        <v>317.2</v>
      </c>
      <c r="CU75" s="18">
        <f>CT75*VLOOKUP('Données projet'!$B$13,Paramètres!$A$1:$I$89,3,0)*VLOOKUP('Données projet'!$B$13,Paramètres!$A$1:$I$89,5,0)</f>
        <v>306.79584</v>
      </c>
      <c r="CV75" s="14">
        <f t="shared" si="95"/>
        <v>72.599269943528554</v>
      </c>
      <c r="CW75" s="22">
        <f t="shared" si="67"/>
        <v>660.77981648497882</v>
      </c>
      <c r="CX75" s="60">
        <f t="shared" si="68"/>
        <v>928.11153072249999</v>
      </c>
      <c r="CY75" s="60">
        <f ca="1">AVERAGE(OFFSET($CX$3,0,0,'Données projet'!$E$13+1,1))-AVERAGE(OFFSET($H$3,0,0,'Données projet'!$E$13+1,1))</f>
        <v>603.52431522262032</v>
      </c>
      <c r="CZ75" s="60">
        <f t="shared" si="96"/>
        <v>313.56299786481338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7.6</v>
      </c>
      <c r="DO75" s="13">
        <f>IF('Données projet'!$A$166&gt;35,DO74+DN75-DW74,IF(A75&lt;'Données projet'!$A$166,$DL$205^A75,IF(A75='Données projet'!$A$166,'Données projet'!$B$166,DO74+DN75-DW74)))</f>
        <v>317.2</v>
      </c>
      <c r="DP75" s="18">
        <f>DO75*VLOOKUP('Données projet'!$B$14,Paramètres!$A$1:$I$89,3,0)*VLOOKUP('Données projet'!$B$14,Paramètres!$A$1:$I$89,5,0)</f>
        <v>341.43407999999994</v>
      </c>
      <c r="DQ75" s="14">
        <f t="shared" si="97"/>
        <v>79.796163809870151</v>
      </c>
      <c r="DR75" s="22">
        <f t="shared" si="70"/>
        <v>733.64267463552369</v>
      </c>
      <c r="DS75" s="60">
        <f t="shared" si="71"/>
        <v>1000.9743888730447</v>
      </c>
      <c r="DT75" s="60">
        <f ca="1">AVERAGE(OFFSET($DS$3,0,0,'Données projet'!$E$14+1,1))-AVERAGE(OFFSET($H$3,0,0,'Données projet'!$E$14+1,1))</f>
        <v>661.93515988633499</v>
      </c>
      <c r="DU75" s="60">
        <f t="shared" si="98"/>
        <v>341.9250949809848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5.1282051282051269</v>
      </c>
      <c r="EJ75" s="13">
        <f>IF('Données projet'!$A$192&gt;35,EJ74+EI75-ER74,IF(A75&lt;'Données projet'!$A$192,$EG$205^A75,IF(A75='Données projet'!$A$192,'Données projet'!$B$192,EJ74+EI75-ER74)))</f>
        <v>287.82051282051287</v>
      </c>
      <c r="EK75" s="18">
        <f>EJ75*VLOOKUP('Données projet'!$B$15,Paramètres!$A$1:$I$89,3,0)*VLOOKUP('Données projet'!$B$15,Paramètres!$A$1:$I$89,5,0)</f>
        <v>193.07000000000005</v>
      </c>
      <c r="EL75" s="14">
        <f t="shared" si="99"/>
        <v>48.218051794342536</v>
      </c>
      <c r="EM75" s="22">
        <f t="shared" si="73"/>
        <v>420.24335687514667</v>
      </c>
      <c r="EN75" s="60">
        <f t="shared" si="74"/>
        <v>687.57507111266773</v>
      </c>
      <c r="EO75" s="60">
        <f ca="1">AVERAGE(OFFSET($EN$3,0,0,'Données projet'!$E$15+1,1))-AVERAGE(OFFSET($H$3,0,0,'Données projet'!$E$15+1,1))</f>
        <v>396.0878652679051</v>
      </c>
      <c r="EP75" s="60">
        <f t="shared" si="100"/>
        <v>327.26339199235406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4.1799999999999953</v>
      </c>
      <c r="FE75" s="13">
        <f>IF('Données projet'!$A$218&gt;35,FE74+FD75-FM74,IF(A75&lt;'Données projet'!$A$218,$FB$205^A75,IF(A75='Données projet'!$A$218,'Données projet'!$B$218,FE74+FD75-FM74)))</f>
        <v>310.95999999999992</v>
      </c>
      <c r="FF75" s="18">
        <f>FE75*VLOOKUP('Données projet'!$B$16,Paramètres!$A$1:$I$89,3,0)*VLOOKUP('Données projet'!$B$16,Paramètres!$A$1:$I$89,5,0)</f>
        <v>227.99587199999993</v>
      </c>
      <c r="FG75" s="14">
        <f t="shared" si="101"/>
        <v>55.849121725085425</v>
      </c>
      <c r="FH75" s="22">
        <f t="shared" si="76"/>
        <v>494.36336407119035</v>
      </c>
      <c r="FI75" s="60">
        <f t="shared" si="77"/>
        <v>761.69507830871146</v>
      </c>
      <c r="FJ75" s="60">
        <f ca="1">AVERAGE(OFFSET($FI$3,0,0,'Données projet'!$E$16+1,1))-AVERAGE(OFFSET($H$3,0,0,'Données projet'!$E$16+1,1))</f>
        <v>368.35775920359396</v>
      </c>
      <c r="FK75" s="60">
        <f t="shared" si="102"/>
        <v>395.5218438652638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11</v>
      </c>
      <c r="FZ75" s="13">
        <f>IF('Données projet'!$A$244&gt;35,FZ74+FY75-GH74,IF(A75&lt;'Données projet'!$A$244,$FW$205^A75,IF(A75='Données projet'!$A$244,'Données projet'!$B$244,FZ74+FY75-GH74)))</f>
        <v>409</v>
      </c>
      <c r="GA75" s="18">
        <f>FZ75*VLOOKUP('Données projet'!$B$17,Paramètres!$A$1:$I$89,3,0)*VLOOKUP('Données projet'!$B$17,Paramètres!$A$1:$I$89,5,0)</f>
        <v>350.92200000000003</v>
      </c>
      <c r="GB75" s="14">
        <f t="shared" si="103"/>
        <v>81.752331535154511</v>
      </c>
      <c r="GC75" s="22">
        <f t="shared" si="79"/>
        <v>753.57446075706082</v>
      </c>
      <c r="GD75" s="60">
        <f t="shared" si="80"/>
        <v>1020.906174994582</v>
      </c>
      <c r="GE75" s="60">
        <f ca="1">AVERAGE(OFFSET($GD$3,0,0,'Données projet'!$E$17+1,1))-AVERAGE(OFFSET($H$3,0,0,'Données projet'!$E$17+1,1))</f>
        <v>701.44583662096022</v>
      </c>
      <c r="GF75" s="60">
        <f t="shared" si="104"/>
        <v>331.25104323342907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-1.1368683772161603E-13</v>
      </c>
      <c r="GV75" s="18">
        <f>GU75*VLOOKUP('Données projet'!$B$18,Paramètres!$A$1:$I$89,3,0)*VLOOKUP('Données projet'!$B$18,Paramètres!$A$1:$I$89,5,0)</f>
        <v>-9.2222762759774927E-14</v>
      </c>
      <c r="GW75" s="14" t="e">
        <f t="shared" si="105"/>
        <v>#NUM!</v>
      </c>
      <c r="GX75" s="22" t="e">
        <f t="shared" si="82"/>
        <v>#NUM!</v>
      </c>
      <c r="GY75" s="60" t="e">
        <f t="shared" si="83"/>
        <v>#NUM!</v>
      </c>
      <c r="GZ75" s="60">
        <f ca="1">AVERAGE(OFFSET($GY$3,0,0,'Données projet'!$E$18+1,1))-AVERAGE(OFFSET($H$3,0,0,'Données projet'!$E$18+1,1))</f>
        <v>272.69564942740931</v>
      </c>
      <c r="HA75" s="60">
        <f t="shared" si="106"/>
        <v>316.57989180609252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25">
      <c r="A76" s="11">
        <f t="shared" si="85"/>
        <v>73</v>
      </c>
      <c r="B76" s="75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8">
        <f t="shared" si="56"/>
        <v>183.33333333333334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projet'!$B$9,Paramètres!$A$1:$I$89,3,0)*VLOOKUP('Données projet'!$B$9,Paramètres!$A$1:$I$89,5,0)</f>
        <v>293.87903999999997</v>
      </c>
      <c r="P76" s="14">
        <f t="shared" si="87"/>
        <v>69.891739712361669</v>
      </c>
      <c r="Q76" s="22">
        <f t="shared" si="54"/>
        <v>633.56744133236327</v>
      </c>
      <c r="R76" s="60">
        <f t="shared" si="55"/>
        <v>901.35022553028512</v>
      </c>
      <c r="S76" s="60">
        <f ca="1">AVERAGE(OFFSET($R$3,0,0,'Données projet'!$E$9+1,1))-AVERAGE(OFFSET($H$3,0,0,'Données projet'!$E$9+1,1))</f>
        <v>570.08763950759544</v>
      </c>
      <c r="T76" s="60">
        <f t="shared" si="88"/>
        <v>297.32483725004136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4.1799999999999953</v>
      </c>
      <c r="AI76" s="14">
        <f>IF('Données projet'!$A$62&gt;35,AI75+AH76-AQ75,IF(A76&lt;'Données projet'!$A$62,$AF$205^A76,IF(A76='Données projet'!$A$62,'Données projet'!$B$62,AI75+AH76-AQ75)))</f>
        <v>315.13999999999993</v>
      </c>
      <c r="AJ76" s="14">
        <f>AI76*VLOOKUP('Données projet'!$B$10,Paramètres!$A$1:$I$89,3,0)*VLOOKUP('Données projet'!$B$10,Paramètres!$A$1:$I$89,5,0)</f>
        <v>250.72538399999993</v>
      </c>
      <c r="AK76" s="14">
        <f t="shared" si="89"/>
        <v>60.741244716227833</v>
      </c>
      <c r="AL76" s="22">
        <f t="shared" si="58"/>
        <v>542.47104501409672</v>
      </c>
      <c r="AM76" s="60">
        <f t="shared" si="59"/>
        <v>810.25382921201845</v>
      </c>
      <c r="AN76" s="60">
        <f ca="1">AVERAGE(OFFSET($AM$3,0,0,'Données projet'!$E$10+1,1))-AVERAGE(OFFSET($H$3,0,0,'Données projet'!$E$10+1,1))</f>
        <v>394.49874384716014</v>
      </c>
      <c r="AO76" s="60">
        <f t="shared" si="90"/>
        <v>423.72519584013378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4.4871794871794863</v>
      </c>
      <c r="BD76" s="13">
        <f>IF('Données projet'!$A$88&gt;35,BD75+BC76-BL75,IF(A76&lt;'Données projet'!$A$88,$BA$205^A76,IF(A76='Données projet'!$A$88,'Données projet'!$B$88,BD75+BC76-BL75)))</f>
        <v>237.1794871794871</v>
      </c>
      <c r="BE76" s="14">
        <f>BD76*VLOOKUP('Données projet'!$B$11,Paramètres!$A$1:$I$89,3,0)*VLOOKUP('Données projet'!$B$11,Paramètres!$A$1:$I$89,5,0)</f>
        <v>225.69999999999993</v>
      </c>
      <c r="BF76" s="14">
        <f t="shared" si="91"/>
        <v>55.351902227969966</v>
      </c>
      <c r="BG76" s="22">
        <f t="shared" si="61"/>
        <v>489.49872971371423</v>
      </c>
      <c r="BH76" s="60">
        <f t="shared" si="62"/>
        <v>757.28151391163601</v>
      </c>
      <c r="BI76" s="60">
        <f ca="1">AVERAGE(OFFSET($BH$3,0,0,'Données projet'!$E$11+1,1))-AVERAGE(OFFSET($H$3,0,0,'Données projet'!$E$11+1,1))</f>
        <v>441.15969139782891</v>
      </c>
      <c r="BJ76" s="60">
        <f t="shared" si="92"/>
        <v>315.06466790224783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1.1368683772161603E-13</v>
      </c>
      <c r="BZ76" s="14">
        <f>BY76*VLOOKUP('Données projet'!$B$12,Paramètres!$A$1:$I$89,3,0)*VLOOKUP('Données projet'!$B$12,Paramètres!$A$1:$I$89,5,0)</f>
        <v>8.8675733422860506E-14</v>
      </c>
      <c r="CA76" s="14">
        <f t="shared" si="93"/>
        <v>1.3509285393066301E-12</v>
      </c>
      <c r="CB76" s="22">
        <f t="shared" si="64"/>
        <v>2.5073107750038623E-12</v>
      </c>
      <c r="CC76" s="60">
        <f t="shared" si="65"/>
        <v>267.78278419792429</v>
      </c>
      <c r="CD76" s="60">
        <f ca="1">AVERAGE(OFFSET($CC$3,0,0,'Données projet'!$E$12+1,1))-AVERAGE(OFFSET($H$3,0,0,'Données projet'!$E$12+1,1))</f>
        <v>312.59632808777332</v>
      </c>
      <c r="CE76" s="60">
        <f t="shared" si="94"/>
        <v>302.59481222418219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7.6</v>
      </c>
      <c r="CT76" s="13">
        <f>IF('Données projet'!$A$140&gt;35,CT75+CS76-DB75,IF(A76&lt;'Données projet'!$A$140,$CQ$205^A76,IF(A76='Données projet'!$A$140,'Données projet'!$B$140,CT75+CS76-DB75)))</f>
        <v>324.8</v>
      </c>
      <c r="CU76" s="18">
        <f>CT76*VLOOKUP('Données projet'!$B$13,Paramètres!$A$1:$I$89,3,0)*VLOOKUP('Données projet'!$B$13,Paramètres!$A$1:$I$89,5,0)</f>
        <v>314.14656000000002</v>
      </c>
      <c r="CV76" s="14">
        <f t="shared" si="95"/>
        <v>74.134126128922034</v>
      </c>
      <c r="CW76" s="22">
        <f t="shared" si="67"/>
        <v>676.25552834120583</v>
      </c>
      <c r="CX76" s="60">
        <f t="shared" si="68"/>
        <v>944.03831253912767</v>
      </c>
      <c r="CY76" s="60">
        <f ca="1">AVERAGE(OFFSET($CX$3,0,0,'Données projet'!$E$13+1,1))-AVERAGE(OFFSET($H$3,0,0,'Données projet'!$E$13+1,1))</f>
        <v>603.52431522262032</v>
      </c>
      <c r="CZ76" s="60">
        <f t="shared" si="96"/>
        <v>313.56299786481338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7.6</v>
      </c>
      <c r="DO76" s="13">
        <f>IF('Données projet'!$A$166&gt;35,DO75+DN76-DW75,IF(A76&lt;'Données projet'!$A$166,$DL$205^A76,IF(A76='Données projet'!$A$166,'Données projet'!$B$166,DO75+DN76-DW75)))</f>
        <v>324.8</v>
      </c>
      <c r="DP76" s="18">
        <f>DO76*VLOOKUP('Données projet'!$B$14,Paramètres!$A$1:$I$89,3,0)*VLOOKUP('Données projet'!$B$14,Paramètres!$A$1:$I$89,5,0)</f>
        <v>349.61471999999998</v>
      </c>
      <c r="DQ76" s="14">
        <f t="shared" si="97"/>
        <v>81.48317300003859</v>
      </c>
      <c r="DR76" s="22">
        <f t="shared" si="70"/>
        <v>750.82883030840048</v>
      </c>
      <c r="DS76" s="60">
        <f t="shared" si="71"/>
        <v>1018.6116145063222</v>
      </c>
      <c r="DT76" s="60">
        <f ca="1">AVERAGE(OFFSET($DS$3,0,0,'Données projet'!$E$14+1,1))-AVERAGE(OFFSET($H$3,0,0,'Données projet'!$E$14+1,1))</f>
        <v>661.93515988633499</v>
      </c>
      <c r="DU76" s="60">
        <f t="shared" si="98"/>
        <v>341.9250949809848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5.1282051282051269</v>
      </c>
      <c r="EJ76" s="13">
        <f>IF('Données projet'!$A$192&gt;35,EJ75+EI76-ER75,IF(A76&lt;'Données projet'!$A$192,$EG$205^A76,IF(A76='Données projet'!$A$192,'Données projet'!$B$192,EJ75+EI76-ER75)))</f>
        <v>292.94871794871801</v>
      </c>
      <c r="EK76" s="18">
        <f>EJ76*VLOOKUP('Données projet'!$B$15,Paramètres!$A$1:$I$89,3,0)*VLOOKUP('Données projet'!$B$15,Paramètres!$A$1:$I$89,5,0)</f>
        <v>196.51000000000005</v>
      </c>
      <c r="EL76" s="14">
        <f t="shared" si="99"/>
        <v>48.976387297804322</v>
      </c>
      <c r="EM76" s="22">
        <f t="shared" si="73"/>
        <v>427.55545787700925</v>
      </c>
      <c r="EN76" s="60">
        <f t="shared" si="74"/>
        <v>695.33824207493103</v>
      </c>
      <c r="EO76" s="60">
        <f ca="1">AVERAGE(OFFSET($EN$3,0,0,'Données projet'!$E$15+1,1))-AVERAGE(OFFSET($H$3,0,0,'Données projet'!$E$15+1,1))</f>
        <v>396.0878652679051</v>
      </c>
      <c r="EP76" s="60">
        <f t="shared" si="100"/>
        <v>327.26339199235406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4.1799999999999953</v>
      </c>
      <c r="FE76" s="13">
        <f>IF('Données projet'!$A$218&gt;35,FE75+FD76-FM75,IF(A76&lt;'Données projet'!$A$218,$FB$205^A76,IF(A76='Données projet'!$A$218,'Données projet'!$B$218,FE75+FD76-FM75)))</f>
        <v>315.13999999999993</v>
      </c>
      <c r="FF76" s="18">
        <f>FE76*VLOOKUP('Données projet'!$B$16,Paramètres!$A$1:$I$89,3,0)*VLOOKUP('Données projet'!$B$16,Paramètres!$A$1:$I$89,5,0)</f>
        <v>231.06064799999993</v>
      </c>
      <c r="FG76" s="14">
        <f t="shared" si="101"/>
        <v>56.511956980324314</v>
      </c>
      <c r="FH76" s="22">
        <f t="shared" si="76"/>
        <v>500.85562034073132</v>
      </c>
      <c r="FI76" s="60">
        <f t="shared" si="77"/>
        <v>768.63840453865305</v>
      </c>
      <c r="FJ76" s="60">
        <f ca="1">AVERAGE(OFFSET($FI$3,0,0,'Données projet'!$E$16+1,1))-AVERAGE(OFFSET($H$3,0,0,'Données projet'!$E$16+1,1))</f>
        <v>368.35775920359396</v>
      </c>
      <c r="FK76" s="60">
        <f t="shared" si="102"/>
        <v>395.5218438652638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11</v>
      </c>
      <c r="FZ76" s="13">
        <f>IF('Données projet'!$A$244&gt;35,FZ75+FY76-GH75,IF(A76&lt;'Données projet'!$A$244,$FW$205^A76,IF(A76='Données projet'!$A$244,'Données projet'!$B$244,FZ75+FY76-GH75)))</f>
        <v>420</v>
      </c>
      <c r="GA76" s="18">
        <f>FZ76*VLOOKUP('Données projet'!$B$17,Paramètres!$A$1:$I$89,3,0)*VLOOKUP('Données projet'!$B$17,Paramètres!$A$1:$I$89,5,0)</f>
        <v>360.36000000000007</v>
      </c>
      <c r="GB76" s="14">
        <f t="shared" si="103"/>
        <v>83.692107728969603</v>
      </c>
      <c r="GC76" s="22">
        <f t="shared" si="79"/>
        <v>773.39075429462207</v>
      </c>
      <c r="GD76" s="60">
        <f t="shared" si="80"/>
        <v>1041.1735384925439</v>
      </c>
      <c r="GE76" s="60">
        <f ca="1">AVERAGE(OFFSET($GD$3,0,0,'Données projet'!$E$17+1,1))-AVERAGE(OFFSET($H$3,0,0,'Données projet'!$E$17+1,1))</f>
        <v>701.44583662096022</v>
      </c>
      <c r="GF76" s="60">
        <f t="shared" si="104"/>
        <v>331.25104323342907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-1.1368683772161603E-13</v>
      </c>
      <c r="GV76" s="18">
        <f>GU76*VLOOKUP('Données projet'!$B$18,Paramètres!$A$1:$I$89,3,0)*VLOOKUP('Données projet'!$B$18,Paramètres!$A$1:$I$89,5,0)</f>
        <v>-9.2222762759774927E-14</v>
      </c>
      <c r="GW76" s="14" t="e">
        <f t="shared" si="105"/>
        <v>#NUM!</v>
      </c>
      <c r="GX76" s="22" t="e">
        <f t="shared" si="82"/>
        <v>#NUM!</v>
      </c>
      <c r="GY76" s="60" t="e">
        <f t="shared" si="83"/>
        <v>#NUM!</v>
      </c>
      <c r="GZ76" s="60">
        <f ca="1">AVERAGE(OFFSET($GY$3,0,0,'Données projet'!$E$18+1,1))-AVERAGE(OFFSET($H$3,0,0,'Données projet'!$E$18+1,1))</f>
        <v>272.69564942740931</v>
      </c>
      <c r="HA76" s="60">
        <f t="shared" si="106"/>
        <v>316.57989180609252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25">
      <c r="A77" s="11">
        <f t="shared" si="85"/>
        <v>74</v>
      </c>
      <c r="B77" s="75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8">
        <f t="shared" si="56"/>
        <v>183.33333333333334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projet'!$B$9,Paramètres!$A$1:$I$89,3,0)*VLOOKUP('Données projet'!$B$9,Paramètres!$A$1:$I$89,5,0)</f>
        <v>300.75551999999999</v>
      </c>
      <c r="P77" s="14">
        <f t="shared" si="87"/>
        <v>71.334826294482014</v>
      </c>
      <c r="Q77" s="22">
        <f t="shared" si="54"/>
        <v>648.05735312955619</v>
      </c>
      <c r="R77" s="60">
        <f t="shared" si="55"/>
        <v>916.28338223250705</v>
      </c>
      <c r="S77" s="60">
        <f ca="1">AVERAGE(OFFSET($R$3,0,0,'Données projet'!$E$9+1,1))-AVERAGE(OFFSET($H$3,0,0,'Données projet'!$E$9+1,1))</f>
        <v>570.08763950759544</v>
      </c>
      <c r="T77" s="60">
        <f t="shared" si="88"/>
        <v>297.32483725004136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4.1799999999999953</v>
      </c>
      <c r="AI77" s="14">
        <f>IF('Données projet'!$A$62&gt;35,AI76+AH77-AQ76,IF(A77&lt;'Données projet'!$A$62,$AF$205^A77,IF(A77='Données projet'!$A$62,'Données projet'!$B$62,AI76+AH77-AQ76)))</f>
        <v>319.31999999999994</v>
      </c>
      <c r="AJ77" s="14">
        <f>AI77*VLOOKUP('Données projet'!$B$10,Paramètres!$A$1:$I$89,3,0)*VLOOKUP('Données projet'!$B$10,Paramètres!$A$1:$I$89,5,0)</f>
        <v>254.05099199999995</v>
      </c>
      <c r="AK77" s="14">
        <f t="shared" si="89"/>
        <v>61.45258663488832</v>
      </c>
      <c r="AL77" s="22">
        <f t="shared" si="58"/>
        <v>549.50206612243039</v>
      </c>
      <c r="AM77" s="60">
        <f t="shared" si="59"/>
        <v>817.72809522538125</v>
      </c>
      <c r="AN77" s="60">
        <f ca="1">AVERAGE(OFFSET($AM$3,0,0,'Données projet'!$E$10+1,1))-AVERAGE(OFFSET($H$3,0,0,'Données projet'!$E$10+1,1))</f>
        <v>394.49874384716014</v>
      </c>
      <c r="AO77" s="60">
        <f t="shared" si="90"/>
        <v>423.72519584013378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4.4871794871794863</v>
      </c>
      <c r="BD77" s="13">
        <f>IF('Données projet'!$A$88&gt;35,BD76+BC77-BL76,IF(A77&lt;'Données projet'!$A$88,$BA$205^A77,IF(A77='Données projet'!$A$88,'Données projet'!$B$88,BD76+BC77-BL76)))</f>
        <v>241.66666666666657</v>
      </c>
      <c r="BE77" s="14">
        <f>BD77*VLOOKUP('Données projet'!$B$11,Paramètres!$A$1:$I$89,3,0)*VLOOKUP('Données projet'!$B$11,Paramètres!$A$1:$I$89,5,0)</f>
        <v>229.96999999999991</v>
      </c>
      <c r="BF77" s="14">
        <f t="shared" si="91"/>
        <v>56.276194780495985</v>
      </c>
      <c r="BG77" s="22">
        <f t="shared" si="61"/>
        <v>498.54545590936368</v>
      </c>
      <c r="BH77" s="60">
        <f t="shared" si="62"/>
        <v>766.77148501231454</v>
      </c>
      <c r="BI77" s="60">
        <f ca="1">AVERAGE(OFFSET($BH$3,0,0,'Données projet'!$E$11+1,1))-AVERAGE(OFFSET($H$3,0,0,'Données projet'!$E$11+1,1))</f>
        <v>441.15969139782891</v>
      </c>
      <c r="BJ77" s="60">
        <f t="shared" si="92"/>
        <v>315.06466790224783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1.1368683772161603E-13</v>
      </c>
      <c r="BZ77" s="14">
        <f>BY77*VLOOKUP('Données projet'!$B$12,Paramètres!$A$1:$I$89,3,0)*VLOOKUP('Données projet'!$B$12,Paramètres!$A$1:$I$89,5,0)</f>
        <v>8.8675733422860506E-14</v>
      </c>
      <c r="CA77" s="14">
        <f t="shared" si="93"/>
        <v>1.3509285393066301E-12</v>
      </c>
      <c r="CB77" s="22">
        <f t="shared" si="64"/>
        <v>2.5073107750038623E-12</v>
      </c>
      <c r="CC77" s="60">
        <f t="shared" si="65"/>
        <v>268.22602910295336</v>
      </c>
      <c r="CD77" s="60">
        <f ca="1">AVERAGE(OFFSET($CC$3,0,0,'Données projet'!$E$12+1,1))-AVERAGE(OFFSET($H$3,0,0,'Données projet'!$E$12+1,1))</f>
        <v>312.59632808777332</v>
      </c>
      <c r="CE77" s="60">
        <f t="shared" si="94"/>
        <v>302.59481222418219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7.6</v>
      </c>
      <c r="CT77" s="13">
        <f>IF('Données projet'!$A$140&gt;35,CT76+CS77-DB76,IF(A77&lt;'Données projet'!$A$140,$CQ$205^A77,IF(A77='Données projet'!$A$140,'Données projet'!$B$140,CT76+CS77-DB76)))</f>
        <v>332.40000000000003</v>
      </c>
      <c r="CU77" s="18">
        <f>CT77*VLOOKUP('Données projet'!$B$13,Paramètres!$A$1:$I$89,3,0)*VLOOKUP('Données projet'!$B$13,Paramètres!$A$1:$I$89,5,0)</f>
        <v>321.49728000000005</v>
      </c>
      <c r="CV77" s="14">
        <f t="shared" si="95"/>
        <v>75.664807195585155</v>
      </c>
      <c r="CW77" s="22">
        <f t="shared" si="67"/>
        <v>691.72396853231078</v>
      </c>
      <c r="CX77" s="60">
        <f t="shared" si="68"/>
        <v>959.94999763526164</v>
      </c>
      <c r="CY77" s="60">
        <f ca="1">AVERAGE(OFFSET($CX$3,0,0,'Données projet'!$E$13+1,1))-AVERAGE(OFFSET($H$3,0,0,'Données projet'!$E$13+1,1))</f>
        <v>603.52431522262032</v>
      </c>
      <c r="CZ77" s="60">
        <f t="shared" si="96"/>
        <v>313.56299786481338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7.6</v>
      </c>
      <c r="DO77" s="13">
        <f>IF('Données projet'!$A$166&gt;35,DO76+DN77-DW76,IF(A77&lt;'Données projet'!$A$166,$DL$205^A77,IF(A77='Données projet'!$A$166,'Données projet'!$B$166,DO76+DN77-DW76)))</f>
        <v>332.40000000000003</v>
      </c>
      <c r="DP77" s="18">
        <f>DO77*VLOOKUP('Données projet'!$B$14,Paramètres!$A$1:$I$89,3,0)*VLOOKUP('Données projet'!$B$14,Paramètres!$A$1:$I$89,5,0)</f>
        <v>357.79536000000002</v>
      </c>
      <c r="DQ77" s="14">
        <f t="shared" si="97"/>
        <v>83.165593184582121</v>
      </c>
      <c r="DR77" s="22">
        <f t="shared" si="70"/>
        <v>768.0069934631473</v>
      </c>
      <c r="DS77" s="60">
        <f t="shared" si="71"/>
        <v>1036.233022566098</v>
      </c>
      <c r="DT77" s="60">
        <f ca="1">AVERAGE(OFFSET($DS$3,0,0,'Données projet'!$E$14+1,1))-AVERAGE(OFFSET($H$3,0,0,'Données projet'!$E$14+1,1))</f>
        <v>661.93515988633499</v>
      </c>
      <c r="DU77" s="60">
        <f t="shared" si="98"/>
        <v>341.9250949809848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5.1282051282051269</v>
      </c>
      <c r="EJ77" s="13">
        <f>IF('Données projet'!$A$192&gt;35,EJ76+EI77-ER76,IF(A77&lt;'Données projet'!$A$192,$EG$205^A77,IF(A77='Données projet'!$A$192,'Données projet'!$B$192,EJ76+EI77-ER76)))</f>
        <v>298.07692307692315</v>
      </c>
      <c r="EK77" s="18">
        <f>EJ77*VLOOKUP('Données projet'!$B$15,Paramètres!$A$1:$I$89,3,0)*VLOOKUP('Données projet'!$B$15,Paramètres!$A$1:$I$89,5,0)</f>
        <v>199.95000000000007</v>
      </c>
      <c r="EL77" s="14">
        <f t="shared" si="99"/>
        <v>49.733179078835313</v>
      </c>
      <c r="EM77" s="22">
        <f t="shared" si="73"/>
        <v>434.8648702289716</v>
      </c>
      <c r="EN77" s="60">
        <f t="shared" si="74"/>
        <v>703.0908993319224</v>
      </c>
      <c r="EO77" s="60">
        <f ca="1">AVERAGE(OFFSET($EN$3,0,0,'Données projet'!$E$15+1,1))-AVERAGE(OFFSET($H$3,0,0,'Données projet'!$E$15+1,1))</f>
        <v>396.0878652679051</v>
      </c>
      <c r="EP77" s="60">
        <f t="shared" si="100"/>
        <v>327.26339199235406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4.1799999999999953</v>
      </c>
      <c r="FE77" s="13">
        <f>IF('Données projet'!$A$218&gt;35,FE76+FD77-FM76,IF(A77&lt;'Données projet'!$A$218,$FB$205^A77,IF(A77='Données projet'!$A$218,'Données projet'!$B$218,FE76+FD77-FM76)))</f>
        <v>319.31999999999994</v>
      </c>
      <c r="FF77" s="18">
        <f>FE77*VLOOKUP('Données projet'!$B$16,Paramètres!$A$1:$I$89,3,0)*VLOOKUP('Données projet'!$B$16,Paramètres!$A$1:$I$89,5,0)</f>
        <v>234.12542399999995</v>
      </c>
      <c r="FG77" s="14">
        <f t="shared" si="101"/>
        <v>57.173769626631554</v>
      </c>
      <c r="FH77" s="22">
        <f t="shared" si="76"/>
        <v>507.34609556638321</v>
      </c>
      <c r="FI77" s="60">
        <f t="shared" si="77"/>
        <v>775.57212466933402</v>
      </c>
      <c r="FJ77" s="60">
        <f ca="1">AVERAGE(OFFSET($FI$3,0,0,'Données projet'!$E$16+1,1))-AVERAGE(OFFSET($H$3,0,0,'Données projet'!$E$16+1,1))</f>
        <v>368.35775920359396</v>
      </c>
      <c r="FK77" s="60">
        <f t="shared" si="102"/>
        <v>395.5218438652638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11</v>
      </c>
      <c r="FZ77" s="13">
        <f>IF('Données projet'!$A$244&gt;35,FZ76+FY77-GH76,IF(A77&lt;'Données projet'!$A$244,$FW$205^A77,IF(A77='Données projet'!$A$244,'Données projet'!$B$244,FZ76+FY77-GH76)))</f>
        <v>431</v>
      </c>
      <c r="GA77" s="18">
        <f>FZ77*VLOOKUP('Données projet'!$B$17,Paramètres!$A$1:$I$89,3,0)*VLOOKUP('Données projet'!$B$17,Paramètres!$A$1:$I$89,5,0)</f>
        <v>369.79800000000006</v>
      </c>
      <c r="GB77" s="14">
        <f t="shared" si="103"/>
        <v>85.625978667852522</v>
      </c>
      <c r="GC77" s="22">
        <f t="shared" si="79"/>
        <v>793.19676284650984</v>
      </c>
      <c r="GD77" s="60">
        <f t="shared" si="80"/>
        <v>1061.4227919494606</v>
      </c>
      <c r="GE77" s="60">
        <f ca="1">AVERAGE(OFFSET($GD$3,0,0,'Données projet'!$E$17+1,1))-AVERAGE(OFFSET($H$3,0,0,'Données projet'!$E$17+1,1))</f>
        <v>701.44583662096022</v>
      </c>
      <c r="GF77" s="60">
        <f t="shared" si="104"/>
        <v>331.25104323342907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-1.1368683772161603E-13</v>
      </c>
      <c r="GV77" s="18">
        <f>GU77*VLOOKUP('Données projet'!$B$18,Paramètres!$A$1:$I$89,3,0)*VLOOKUP('Données projet'!$B$18,Paramètres!$A$1:$I$89,5,0)</f>
        <v>-9.2222762759774927E-14</v>
      </c>
      <c r="GW77" s="14" t="e">
        <f t="shared" si="105"/>
        <v>#NUM!</v>
      </c>
      <c r="GX77" s="22" t="e">
        <f t="shared" si="82"/>
        <v>#NUM!</v>
      </c>
      <c r="GY77" s="60" t="e">
        <f t="shared" si="83"/>
        <v>#NUM!</v>
      </c>
      <c r="GZ77" s="60">
        <f ca="1">AVERAGE(OFFSET($GY$3,0,0,'Données projet'!$E$18+1,1))-AVERAGE(OFFSET($H$3,0,0,'Données projet'!$E$18+1,1))</f>
        <v>272.69564942740931</v>
      </c>
      <c r="HA77" s="60">
        <f t="shared" si="106"/>
        <v>316.57989180609252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25">
      <c r="A78" s="11">
        <f t="shared" si="85"/>
        <v>75</v>
      </c>
      <c r="B78" s="75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8">
        <f t="shared" si="56"/>
        <v>183.33333333333334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projet'!$B$9,Paramètres!$A$1:$I$89,3,0)*VLOOKUP('Données projet'!$B$9,Paramètres!$A$1:$I$89,5,0)</f>
        <v>307.63200000000006</v>
      </c>
      <c r="P78" s="14">
        <f t="shared" si="87"/>
        <v>72.774077039465567</v>
      </c>
      <c r="Q78" s="22">
        <f t="shared" si="54"/>
        <v>662.54058417706926</v>
      </c>
      <c r="R78" s="60">
        <f t="shared" si="55"/>
        <v>931.20216887689412</v>
      </c>
      <c r="S78" s="60">
        <f ca="1">AVERAGE(OFFSET($R$3,0,0,'Données projet'!$E$9+1,1))-AVERAGE(OFFSET($H$3,0,0,'Données projet'!$E$9+1,1))</f>
        <v>570.08763950759544</v>
      </c>
      <c r="T78" s="60">
        <f t="shared" si="88"/>
        <v>297.32483725004136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323.5</v>
      </c>
      <c r="AG78" s="13">
        <f>VLOOKUP(A78,'Données projet'!$A$61:$I$81,9,0)</f>
        <v>4.1799999999999953</v>
      </c>
      <c r="AH78" s="13">
        <f t="array" ref="AH78">INDEX(AG:AG,MIN(IF(ISNUMBER(AG78:AG274),ROW(AG78:AG274),"")))</f>
        <v>4.1799999999999953</v>
      </c>
      <c r="AI78" s="14">
        <f>IF('Données projet'!$A$62&gt;35,AI77+AH78-AQ77,IF(A78&lt;'Données projet'!$A$62,$AF$205^A78,IF(A78='Données projet'!$A$62,'Données projet'!$B$62,AI77+AH78-AQ77)))</f>
        <v>323.49999999999994</v>
      </c>
      <c r="AJ78" s="14">
        <f>AI78*VLOOKUP('Données projet'!$B$10,Paramètres!$A$1:$I$89,3,0)*VLOOKUP('Données projet'!$B$10,Paramètres!$A$1:$I$89,5,0)</f>
        <v>257.3766</v>
      </c>
      <c r="AK78" s="14">
        <f t="shared" si="89"/>
        <v>62.162845465331493</v>
      </c>
      <c r="AL78" s="22">
        <f t="shared" si="58"/>
        <v>556.53120085211901</v>
      </c>
      <c r="AM78" s="60">
        <f t="shared" si="59"/>
        <v>825.19278555194387</v>
      </c>
      <c r="AN78" s="60">
        <f ca="1">AVERAGE(OFFSET($AM$3,0,0,'Données projet'!$E$10+1,1))-AVERAGE(OFFSET($H$3,0,0,'Données projet'!$E$10+1,1))</f>
        <v>394.49874384716014</v>
      </c>
      <c r="AO78" s="60">
        <f t="shared" si="90"/>
        <v>423.72519584013378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246.15384615384613</v>
      </c>
      <c r="BB78" s="13">
        <f>VLOOKUP(A78,'Données projet'!$A$87:$I$107,9,0)</f>
        <v>4.4871794871794863</v>
      </c>
      <c r="BC78" s="13">
        <f t="array" ref="BC78">INDEX(BB:BB,MIN(IF(ISNUMBER(BB78:BB274),ROW(BB78:BB274),"")))</f>
        <v>4.4871794871794863</v>
      </c>
      <c r="BD78" s="13">
        <f>IF('Données projet'!$A$88&gt;35,BD77+BC78-BL77,IF(A78&lt;'Données projet'!$A$88,$BA$205^A78,IF(A78='Données projet'!$A$88,'Données projet'!$B$88,BD77+BC78-BL77)))</f>
        <v>246.15384615384605</v>
      </c>
      <c r="BE78" s="14">
        <f>BD78*VLOOKUP('Données projet'!$B$11,Paramètres!$A$1:$I$89,3,0)*VLOOKUP('Données projet'!$B$11,Paramètres!$A$1:$I$89,5,0)</f>
        <v>234.2399999999999</v>
      </c>
      <c r="BF78" s="14">
        <f t="shared" si="91"/>
        <v>57.19849172024869</v>
      </c>
      <c r="BG78" s="22">
        <f t="shared" si="61"/>
        <v>507.58870641276627</v>
      </c>
      <c r="BH78" s="60">
        <f t="shared" si="62"/>
        <v>776.25029111259107</v>
      </c>
      <c r="BI78" s="60">
        <f ca="1">AVERAGE(OFFSET($BH$3,0,0,'Données projet'!$E$11+1,1))-AVERAGE(OFFSET($H$3,0,0,'Données projet'!$E$11+1,1))</f>
        <v>441.15969139782891</v>
      </c>
      <c r="BJ78" s="60">
        <f t="shared" si="92"/>
        <v>315.06466790224783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30.769230769230766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1.1368683772161603E-13</v>
      </c>
      <c r="BZ78" s="14">
        <f>BY78*VLOOKUP('Données projet'!$B$12,Paramètres!$A$1:$I$89,3,0)*VLOOKUP('Données projet'!$B$12,Paramètres!$A$1:$I$89,5,0)</f>
        <v>8.8675733422860506E-14</v>
      </c>
      <c r="CA78" s="14">
        <f t="shared" si="93"/>
        <v>1.3509285393066301E-12</v>
      </c>
      <c r="CB78" s="22">
        <f t="shared" si="64"/>
        <v>2.5073107750038623E-12</v>
      </c>
      <c r="CC78" s="60">
        <f t="shared" si="65"/>
        <v>268.6615846998273</v>
      </c>
      <c r="CD78" s="60">
        <f ca="1">AVERAGE(OFFSET($CC$3,0,0,'Données projet'!$E$12+1,1))-AVERAGE(OFFSET($H$3,0,0,'Données projet'!$E$12+1,1))</f>
        <v>312.59632808777332</v>
      </c>
      <c r="CE78" s="60">
        <f t="shared" si="94"/>
        <v>302.59481222418219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340</v>
      </c>
      <c r="CR78" s="13">
        <f>VLOOKUP(A78,'Données projet'!$A$139:$I$159,9,0)</f>
        <v>7.6</v>
      </c>
      <c r="CS78" s="13">
        <f t="array" ref="CS78">INDEX(CR:CR,MIN(IF(ISNUMBER(CR78:CR274),ROW(CR78:CR274),"")))</f>
        <v>7.6</v>
      </c>
      <c r="CT78" s="13">
        <f>IF('Données projet'!$A$140&gt;35,CT77+CS78-DB77,IF(A78&lt;'Données projet'!$A$140,$CQ$205^A78,IF(A78='Données projet'!$A$140,'Données projet'!$B$140,CT77+CS78-DB77)))</f>
        <v>340.00000000000006</v>
      </c>
      <c r="CU78" s="18">
        <f>CT78*VLOOKUP('Données projet'!$B$13,Paramètres!$A$1:$I$89,3,0)*VLOOKUP('Données projet'!$B$13,Paramètres!$A$1:$I$89,5,0)</f>
        <v>328.84800000000007</v>
      </c>
      <c r="CV78" s="14">
        <f t="shared" si="95"/>
        <v>77.191419592112595</v>
      </c>
      <c r="CW78" s="22">
        <f t="shared" si="67"/>
        <v>707.18532245626284</v>
      </c>
      <c r="CX78" s="60">
        <f t="shared" si="68"/>
        <v>975.84690715608758</v>
      </c>
      <c r="CY78" s="60">
        <f ca="1">AVERAGE(OFFSET($CX$3,0,0,'Données projet'!$E$13+1,1))-AVERAGE(OFFSET($H$3,0,0,'Données projet'!$E$13+1,1))</f>
        <v>603.52431522262032</v>
      </c>
      <c r="CZ78" s="60">
        <f t="shared" si="96"/>
        <v>313.56299786481338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56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340</v>
      </c>
      <c r="DM78" s="13">
        <f>VLOOKUP(A78,'Données projet'!$A$165:$I$185,9,0)</f>
        <v>7.6</v>
      </c>
      <c r="DN78" s="13">
        <f t="array" ref="DN78">INDEX(DM:DM,MIN(IF(ISNUMBER(DM78:DM274),ROW(DM78:DM274),"")))</f>
        <v>7.6</v>
      </c>
      <c r="DO78" s="13">
        <f>IF('Données projet'!$A$166&gt;35,DO77+DN78-DW77,IF(A78&lt;'Données projet'!$A$166,$DL$205^A78,IF(A78='Données projet'!$A$166,'Données projet'!$B$166,DO77+DN78-DW77)))</f>
        <v>340.00000000000006</v>
      </c>
      <c r="DP78" s="18">
        <f>DO78*VLOOKUP('Données projet'!$B$14,Paramètres!$A$1:$I$89,3,0)*VLOOKUP('Données projet'!$B$14,Paramètres!$A$1:$I$89,5,0)</f>
        <v>365.97600000000006</v>
      </c>
      <c r="DQ78" s="14">
        <f t="shared" si="97"/>
        <v>84.843541364532598</v>
      </c>
      <c r="DR78" s="22">
        <f t="shared" si="70"/>
        <v>785.17736787656111</v>
      </c>
      <c r="DS78" s="60">
        <f t="shared" si="71"/>
        <v>1053.838952576386</v>
      </c>
      <c r="DT78" s="60">
        <f ca="1">AVERAGE(OFFSET($DS$3,0,0,'Données projet'!$E$14+1,1))-AVERAGE(OFFSET($H$3,0,0,'Données projet'!$E$14+1,1))</f>
        <v>661.93515988633499</v>
      </c>
      <c r="DU78" s="60">
        <f t="shared" si="98"/>
        <v>341.9250949809848</v>
      </c>
      <c r="DV78" s="16">
        <f>IF(ISNA(VLOOKUP(A78,'Données projet'!$A$165:$I$185,3,0)),0,VLOOKUP(A78,'Données projet'!$A$165:$I$185,3,0))</f>
        <v>6</v>
      </c>
      <c r="DW78" s="16">
        <f>IF(ISNA(VLOOKUP(A78,'Données projet'!$A$165:$I$185,4,0)),0,VLOOKUP(A78,'Données projet'!$A$165:$I$185,4,0))</f>
        <v>56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303.20512820512818</v>
      </c>
      <c r="EH78" s="13">
        <f>VLOOKUP(A78,'Données projet'!$A$191:$I$211,9,0)</f>
        <v>5.1282051282051269</v>
      </c>
      <c r="EI78" s="13">
        <f t="array" ref="EI78">INDEX(EH:EH,MIN(IF(ISNUMBER(EH78:EH274),ROW(EH78:EH274),"")))</f>
        <v>5.1282051282051269</v>
      </c>
      <c r="EJ78" s="13">
        <f>IF('Données projet'!$A$192&gt;35,EJ77+EI78-ER77,IF(A78&lt;'Données projet'!$A$192,$EG$205^A78,IF(A78='Données projet'!$A$192,'Données projet'!$B$192,EJ77+EI78-ER77)))</f>
        <v>303.20512820512829</v>
      </c>
      <c r="EK78" s="18">
        <f>EJ78*VLOOKUP('Données projet'!$B$15,Paramètres!$A$1:$I$89,3,0)*VLOOKUP('Données projet'!$B$15,Paramètres!$A$1:$I$89,5,0)</f>
        <v>203.39000000000007</v>
      </c>
      <c r="EL78" s="14">
        <f t="shared" si="99"/>
        <v>50.488456760806663</v>
      </c>
      <c r="EM78" s="22">
        <f t="shared" si="73"/>
        <v>442.17164552507165</v>
      </c>
      <c r="EN78" s="60">
        <f t="shared" si="74"/>
        <v>710.8332302248964</v>
      </c>
      <c r="EO78" s="60">
        <f ca="1">AVERAGE(OFFSET($EN$3,0,0,'Données projet'!$E$15+1,1))-AVERAGE(OFFSET($H$3,0,0,'Données projet'!$E$15+1,1))</f>
        <v>396.0878652679051</v>
      </c>
      <c r="EP78" s="60">
        <f t="shared" si="100"/>
        <v>327.26339199235406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323.5</v>
      </c>
      <c r="FC78" s="13">
        <f>VLOOKUP(A78,'Données projet'!$A$217:$I$237,9,0)</f>
        <v>4.1799999999999953</v>
      </c>
      <c r="FD78" s="13">
        <f t="array" ref="FD78">INDEX(FC:FC,MIN(IF(ISNUMBER(FC78:FC274),ROW(FC78:FC274),"")))</f>
        <v>4.1799999999999953</v>
      </c>
      <c r="FE78" s="13">
        <f>IF('Données projet'!$A$218&gt;35,FE77+FD78-FM77,IF(A78&lt;'Données projet'!$A$218,$FB$205^A78,IF(A78='Données projet'!$A$218,'Données projet'!$B$218,FE77+FD78-FM77)))</f>
        <v>323.49999999999994</v>
      </c>
      <c r="FF78" s="18">
        <f>FE78*VLOOKUP('Données projet'!$B$16,Paramètres!$A$1:$I$89,3,0)*VLOOKUP('Données projet'!$B$16,Paramètres!$A$1:$I$89,5,0)</f>
        <v>237.19019999999995</v>
      </c>
      <c r="FG78" s="14">
        <f t="shared" si="101"/>
        <v>57.834574597922789</v>
      </c>
      <c r="FH78" s="22">
        <f t="shared" si="76"/>
        <v>513.83481575804865</v>
      </c>
      <c r="FI78" s="60">
        <f t="shared" si="77"/>
        <v>782.49640045787351</v>
      </c>
      <c r="FJ78" s="60">
        <f ca="1">AVERAGE(OFFSET($FI$3,0,0,'Données projet'!$E$16+1,1))-AVERAGE(OFFSET($H$3,0,0,'Données projet'!$E$16+1,1))</f>
        <v>368.35775920359396</v>
      </c>
      <c r="FK78" s="60">
        <f t="shared" si="102"/>
        <v>395.5218438652638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442</v>
      </c>
      <c r="FX78" s="13">
        <f>VLOOKUP(A78,'Données projet'!$A$243:$I$263,9,0)</f>
        <v>11</v>
      </c>
      <c r="FY78" s="13">
        <f t="array" ref="FY78">INDEX(FX:FX,MIN(IF(ISNUMBER(FX78:FX274),ROW(FX78:FX274),"")))</f>
        <v>11</v>
      </c>
      <c r="FZ78" s="13">
        <f>IF('Données projet'!$A$244&gt;35,FZ77+FY78-GH77,IF(A78&lt;'Données projet'!$A$244,$FW$205^A78,IF(A78='Données projet'!$A$244,'Données projet'!$B$244,FZ77+FY78-GH77)))</f>
        <v>442</v>
      </c>
      <c r="GA78" s="18">
        <f>FZ78*VLOOKUP('Données projet'!$B$17,Paramètres!$A$1:$I$89,3,0)*VLOOKUP('Données projet'!$B$17,Paramètres!$A$1:$I$89,5,0)</f>
        <v>379.23600000000005</v>
      </c>
      <c r="GB78" s="14">
        <f t="shared" si="103"/>
        <v>87.554112396331476</v>
      </c>
      <c r="GC78" s="22">
        <f t="shared" si="79"/>
        <v>812.99277909027751</v>
      </c>
      <c r="GD78" s="60">
        <f t="shared" si="80"/>
        <v>1081.6543637901023</v>
      </c>
      <c r="GE78" s="60">
        <f ca="1">AVERAGE(OFFSET($GD$3,0,0,'Données projet'!$E$17+1,1))-AVERAGE(OFFSET($H$3,0,0,'Données projet'!$E$17+1,1))</f>
        <v>701.44583662096022</v>
      </c>
      <c r="GF78" s="60">
        <f t="shared" si="104"/>
        <v>331.25104323342907</v>
      </c>
      <c r="GG78" s="16">
        <f>IF(ISNA(VLOOKUP(A78,'Données projet'!$A$243:$I$263,3,0)),0,VLOOKUP(A78,'Données projet'!$A$243:$I$263,3,0))</f>
        <v>6</v>
      </c>
      <c r="GH78" s="16">
        <f>IF(ISNA(VLOOKUP(A78,'Données projet'!$A$243:$I$263,4,0)),0,VLOOKUP(A78,'Données projet'!$A$243:$I$263,4,0))</f>
        <v>70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-1.1368683772161603E-13</v>
      </c>
      <c r="GV78" s="18">
        <f>GU78*VLOOKUP('Données projet'!$B$18,Paramètres!$A$1:$I$89,3,0)*VLOOKUP('Données projet'!$B$18,Paramètres!$A$1:$I$89,5,0)</f>
        <v>-9.2222762759774927E-14</v>
      </c>
      <c r="GW78" s="14" t="e">
        <f t="shared" si="105"/>
        <v>#NUM!</v>
      </c>
      <c r="GX78" s="22" t="e">
        <f t="shared" si="82"/>
        <v>#NUM!</v>
      </c>
      <c r="GY78" s="60" t="e">
        <f t="shared" si="83"/>
        <v>#NUM!</v>
      </c>
      <c r="GZ78" s="60">
        <f ca="1">AVERAGE(OFFSET($GY$3,0,0,'Données projet'!$E$18+1,1))-AVERAGE(OFFSET($H$3,0,0,'Données projet'!$E$18+1,1))</f>
        <v>272.69564942740931</v>
      </c>
      <c r="HA78" s="60">
        <f t="shared" si="106"/>
        <v>316.57989180609252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25">
      <c r="A79" s="11">
        <f t="shared" si="85"/>
        <v>76</v>
      </c>
      <c r="B79" s="75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8">
        <f t="shared" si="56"/>
        <v>183.33333333333334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0">
        <f t="shared" si="55"/>
        <v>838.51161983006114</v>
      </c>
      <c r="S79" s="60">
        <f ca="1">AVERAGE(OFFSET($R$3,0,0,'Données projet'!$E$9+1,1))-AVERAGE(OFFSET($H$3,0,0,'Données projet'!$E$9+1,1))</f>
        <v>570.08763950759544</v>
      </c>
      <c r="T79" s="60">
        <f t="shared" si="88"/>
        <v>297.32483725004136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3.5600000000000023</v>
      </c>
      <c r="AI79" s="14">
        <f>IF('Données projet'!$A$62&gt;35,AI78+AH79-AQ78,IF(A79&lt;'Données projet'!$A$62,$AF$205^A79,IF(A79='Données projet'!$A$62,'Données projet'!$B$62,AI78+AH79-AQ78)))</f>
        <v>327.05999999999995</v>
      </c>
      <c r="AJ79" s="14">
        <f>AI79*VLOOKUP('Données projet'!$B$10,Paramètres!$A$1:$I$89,3,0)*VLOOKUP('Données projet'!$B$10,Paramètres!$A$1:$I$89,5,0)</f>
        <v>260.20893599999999</v>
      </c>
      <c r="AK79" s="14">
        <f t="shared" si="89"/>
        <v>62.766912585729685</v>
      </c>
      <c r="AL79" s="22">
        <f t="shared" si="58"/>
        <v>562.51626962014586</v>
      </c>
      <c r="AM79" s="60">
        <f t="shared" si="59"/>
        <v>831.60585400099535</v>
      </c>
      <c r="AN79" s="60">
        <f ca="1">AVERAGE(OFFSET($AM$3,0,0,'Données projet'!$E$10+1,1))-AVERAGE(OFFSET($H$3,0,0,'Données projet'!$E$10+1,1))</f>
        <v>394.49874384716014</v>
      </c>
      <c r="AO79" s="60">
        <f t="shared" si="90"/>
        <v>423.72519584013378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4.3589743589743648</v>
      </c>
      <c r="BD79" s="13">
        <f>IF('Données projet'!$A$88&gt;35,BD78+BC79-BL78,IF(A79&lt;'Données projet'!$A$88,$BA$205^A79,IF(A79='Données projet'!$A$88,'Données projet'!$B$88,BD78+BC79-BL78)))</f>
        <v>219.74358974358964</v>
      </c>
      <c r="BE79" s="14">
        <f>BD79*VLOOKUP('Données projet'!$B$11,Paramètres!$A$1:$I$89,3,0)*VLOOKUP('Données projet'!$B$11,Paramètres!$A$1:$I$89,5,0)</f>
        <v>209.10799999999989</v>
      </c>
      <c r="BF79" s="14">
        <f t="shared" si="91"/>
        <v>51.740612992017297</v>
      </c>
      <c r="BG79" s="22">
        <f t="shared" si="61"/>
        <v>454.31133429442997</v>
      </c>
      <c r="BH79" s="60">
        <f t="shared" si="62"/>
        <v>723.4009186752794</v>
      </c>
      <c r="BI79" s="60">
        <f ca="1">AVERAGE(OFFSET($BH$3,0,0,'Données projet'!$E$11+1,1))-AVERAGE(OFFSET($H$3,0,0,'Données projet'!$E$11+1,1))</f>
        <v>441.15969139782891</v>
      </c>
      <c r="BJ79" s="60">
        <f t="shared" si="92"/>
        <v>315.06466790224783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1.1368683772161603E-13</v>
      </c>
      <c r="BZ79" s="14">
        <f>BY79*VLOOKUP('Données projet'!$B$12,Paramètres!$A$1:$I$89,3,0)*VLOOKUP('Données projet'!$B$12,Paramètres!$A$1:$I$89,5,0)</f>
        <v>8.8675733422860506E-14</v>
      </c>
      <c r="CA79" s="14">
        <f t="shared" si="93"/>
        <v>1.3509285393066301E-12</v>
      </c>
      <c r="CB79" s="22">
        <f t="shared" si="64"/>
        <v>2.5073107750038623E-12</v>
      </c>
      <c r="CC79" s="60">
        <f t="shared" si="65"/>
        <v>269.08958438085193</v>
      </c>
      <c r="CD79" s="60">
        <f ca="1">AVERAGE(OFFSET($CC$3,0,0,'Données projet'!$E$12+1,1))-AVERAGE(OFFSET($H$3,0,0,'Données projet'!$E$12+1,1))</f>
        <v>312.59632808777332</v>
      </c>
      <c r="CE79" s="60">
        <f t="shared" si="94"/>
        <v>302.59481222418219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7.2</v>
      </c>
      <c r="CT79" s="13">
        <f>IF('Données projet'!$A$140&gt;35,CT78+CS79-DB78,IF(A79&lt;'Données projet'!$A$140,$CQ$205^A79,IF(A79='Données projet'!$A$140,'Données projet'!$B$140,CT78+CS79-DB78)))</f>
        <v>291.20000000000005</v>
      </c>
      <c r="CU79" s="18">
        <f>CT79*VLOOKUP('Données projet'!$B$13,Paramètres!$A$1:$I$89,3,0)*VLOOKUP('Données projet'!$B$13,Paramètres!$A$1:$I$89,5,0)</f>
        <v>281.64864000000006</v>
      </c>
      <c r="CV79" s="14">
        <f t="shared" si="95"/>
        <v>67.315294774697747</v>
      </c>
      <c r="CW79" s="22">
        <f t="shared" si="67"/>
        <v>607.77885306593191</v>
      </c>
      <c r="CX79" s="60">
        <f t="shared" si="68"/>
        <v>876.8684374467814</v>
      </c>
      <c r="CY79" s="60">
        <f ca="1">AVERAGE(OFFSET($CX$3,0,0,'Données projet'!$E$13+1,1))-AVERAGE(OFFSET($H$3,0,0,'Données projet'!$E$13+1,1))</f>
        <v>603.52431522262032</v>
      </c>
      <c r="CZ79" s="60">
        <f t="shared" si="96"/>
        <v>313.56299786481338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7.2</v>
      </c>
      <c r="DO79" s="13">
        <f>IF('Données projet'!$A$166&gt;35,DO78+DN79-DW78,IF(A79&lt;'Données projet'!$A$166,$DL$205^A79,IF(A79='Données projet'!$A$166,'Données projet'!$B$166,DO78+DN79-DW78)))</f>
        <v>291.20000000000005</v>
      </c>
      <c r="DP79" s="18">
        <f>DO79*VLOOKUP('Données projet'!$B$14,Paramètres!$A$1:$I$89,3,0)*VLOOKUP('Données projet'!$B$14,Paramètres!$A$1:$I$89,5,0)</f>
        <v>313.44768000000005</v>
      </c>
      <c r="DQ79" s="14">
        <f t="shared" si="97"/>
        <v>73.988378849122171</v>
      </c>
      <c r="DR79" s="22">
        <f t="shared" si="70"/>
        <v>674.78446916222117</v>
      </c>
      <c r="DS79" s="60">
        <f t="shared" si="71"/>
        <v>943.87405354307066</v>
      </c>
      <c r="DT79" s="60">
        <f ca="1">AVERAGE(OFFSET($DS$3,0,0,'Données projet'!$E$14+1,1))-AVERAGE(OFFSET($H$3,0,0,'Données projet'!$E$14+1,1))</f>
        <v>661.93515988633499</v>
      </c>
      <c r="DU79" s="60">
        <f t="shared" si="98"/>
        <v>341.9250949809848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4.7435897435897463</v>
      </c>
      <c r="EJ79" s="13">
        <f>IF('Données projet'!$A$192&gt;35,EJ78+EI79-ER78,IF(A79&lt;'Données projet'!$A$192,$EG$205^A79,IF(A79='Données projet'!$A$192,'Données projet'!$B$192,EJ78+EI79-ER78)))</f>
        <v>307.94871794871801</v>
      </c>
      <c r="EK79" s="18">
        <f>EJ79*VLOOKUP('Données projet'!$B$15,Paramètres!$A$1:$I$89,3,0)*VLOOKUP('Données projet'!$B$15,Paramètres!$A$1:$I$89,5,0)</f>
        <v>206.57200000000006</v>
      </c>
      <c r="EL79" s="14">
        <f t="shared" si="99"/>
        <v>51.185765406859225</v>
      </c>
      <c r="EM79" s="22">
        <f t="shared" si="73"/>
        <v>448.92810808361315</v>
      </c>
      <c r="EN79" s="60">
        <f t="shared" si="74"/>
        <v>718.01769246446258</v>
      </c>
      <c r="EO79" s="60">
        <f ca="1">AVERAGE(OFFSET($EN$3,0,0,'Données projet'!$E$15+1,1))-AVERAGE(OFFSET($H$3,0,0,'Données projet'!$E$15+1,1))</f>
        <v>396.0878652679051</v>
      </c>
      <c r="EP79" s="60">
        <f t="shared" si="100"/>
        <v>327.26339199235406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3.5600000000000023</v>
      </c>
      <c r="FE79" s="13">
        <f>IF('Données projet'!$A$218&gt;35,FE78+FD79-FM78,IF(A79&lt;'Données projet'!$A$218,$FB$205^A79,IF(A79='Données projet'!$A$218,'Données projet'!$B$218,FE78+FD79-FM78)))</f>
        <v>327.05999999999995</v>
      </c>
      <c r="FF79" s="18">
        <f>FE79*VLOOKUP('Données projet'!$B$16,Paramètres!$A$1:$I$89,3,0)*VLOOKUP('Données projet'!$B$16,Paramètres!$A$1:$I$89,5,0)</f>
        <v>239.80039199999996</v>
      </c>
      <c r="FG79" s="14">
        <f t="shared" si="101"/>
        <v>58.396581769172833</v>
      </c>
      <c r="FH79" s="22">
        <f t="shared" si="76"/>
        <v>519.35972931464255</v>
      </c>
      <c r="FI79" s="60">
        <f t="shared" si="77"/>
        <v>788.44931369549204</v>
      </c>
      <c r="FJ79" s="60">
        <f ca="1">AVERAGE(OFFSET($FI$3,0,0,'Données projet'!$E$16+1,1))-AVERAGE(OFFSET($H$3,0,0,'Données projet'!$E$16+1,1))</f>
        <v>368.35775920359396</v>
      </c>
      <c r="FK79" s="60">
        <f t="shared" si="102"/>
        <v>395.5218438652638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10.4</v>
      </c>
      <c r="FZ79" s="13">
        <f>IF('Données projet'!$A$244&gt;35,FZ78+FY79-GH78,IF(A79&lt;'Données projet'!$A$244,$FW$205^A79,IF(A79='Données projet'!$A$244,'Données projet'!$B$244,FZ78+FY79-GH78)))</f>
        <v>382.4</v>
      </c>
      <c r="GA79" s="18">
        <f>FZ79*VLOOKUP('Données projet'!$B$17,Paramètres!$A$1:$I$89,3,0)*VLOOKUP('Données projet'!$B$17,Paramètres!$A$1:$I$89,5,0)</f>
        <v>328.0992</v>
      </c>
      <c r="GB79" s="14">
        <f t="shared" si="103"/>
        <v>77.036090442258086</v>
      </c>
      <c r="GC79" s="22">
        <f t="shared" si="79"/>
        <v>705.61063085359956</v>
      </c>
      <c r="GD79" s="60">
        <f t="shared" si="80"/>
        <v>974.70021523444893</v>
      </c>
      <c r="GE79" s="60">
        <f ca="1">AVERAGE(OFFSET($GD$3,0,0,'Données projet'!$E$17+1,1))-AVERAGE(OFFSET($H$3,0,0,'Données projet'!$E$17+1,1))</f>
        <v>701.44583662096022</v>
      </c>
      <c r="GF79" s="60">
        <f t="shared" si="104"/>
        <v>331.25104323342907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-1.1368683772161603E-13</v>
      </c>
      <c r="GV79" s="18">
        <f>GU79*VLOOKUP('Données projet'!$B$18,Paramètres!$A$1:$I$89,3,0)*VLOOKUP('Données projet'!$B$18,Paramètres!$A$1:$I$89,5,0)</f>
        <v>-9.2222762759774927E-14</v>
      </c>
      <c r="GW79" s="14" t="e">
        <f t="shared" si="105"/>
        <v>#NUM!</v>
      </c>
      <c r="GX79" s="22" t="e">
        <f t="shared" si="82"/>
        <v>#NUM!</v>
      </c>
      <c r="GY79" s="60" t="e">
        <f t="shared" si="83"/>
        <v>#NUM!</v>
      </c>
      <c r="GZ79" s="60">
        <f ca="1">AVERAGE(OFFSET($GY$3,0,0,'Données projet'!$E$18+1,1))-AVERAGE(OFFSET($H$3,0,0,'Données projet'!$E$18+1,1))</f>
        <v>272.69564942740931</v>
      </c>
      <c r="HA79" s="60">
        <f t="shared" si="106"/>
        <v>316.57989180609252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25">
      <c r="A80" s="11">
        <f t="shared" si="85"/>
        <v>77</v>
      </c>
      <c r="B80" s="75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8">
        <f t="shared" si="56"/>
        <v>183.33333333333334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0">
        <f t="shared" si="55"/>
        <v>852.68975517110448</v>
      </c>
      <c r="S80" s="60">
        <f ca="1">AVERAGE(OFFSET($R$3,0,0,'Données projet'!$E$9+1,1))-AVERAGE(OFFSET($H$3,0,0,'Données projet'!$E$9+1,1))</f>
        <v>570.08763950759544</v>
      </c>
      <c r="T80" s="60">
        <f t="shared" si="88"/>
        <v>297.32483725004136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3.5600000000000023</v>
      </c>
      <c r="AI80" s="14">
        <f>IF('Données projet'!$A$62&gt;35,AI79+AH80-AQ79,IF(A80&lt;'Données projet'!$A$62,$AF$205^A80,IF(A80='Données projet'!$A$62,'Données projet'!$B$62,AI79+AH80-AQ79)))</f>
        <v>330.61999999999995</v>
      </c>
      <c r="AJ80" s="14">
        <f>AI80*VLOOKUP('Données projet'!$B$10,Paramètres!$A$1:$I$89,3,0)*VLOOKUP('Données projet'!$B$10,Paramètres!$A$1:$I$89,5,0)</f>
        <v>263.04127199999994</v>
      </c>
      <c r="AK80" s="14">
        <f t="shared" si="89"/>
        <v>63.370214823641057</v>
      </c>
      <c r="AL80" s="22">
        <f t="shared" si="58"/>
        <v>568.50000621784136</v>
      </c>
      <c r="AM80" s="60">
        <f t="shared" si="59"/>
        <v>838.0101654421137</v>
      </c>
      <c r="AN80" s="60">
        <f ca="1">AVERAGE(OFFSET($AM$3,0,0,'Données projet'!$E$10+1,1))-AVERAGE(OFFSET($H$3,0,0,'Données projet'!$E$10+1,1))</f>
        <v>394.49874384716014</v>
      </c>
      <c r="AO80" s="60">
        <f t="shared" si="90"/>
        <v>423.72519584013378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4.3589743589743648</v>
      </c>
      <c r="BD80" s="13">
        <f>IF('Données projet'!$A$88&gt;35,BD79+BC80-BL79,IF(A80&lt;'Données projet'!$A$88,$BA$205^A80,IF(A80='Données projet'!$A$88,'Données projet'!$B$88,BD79+BC80-BL79)))</f>
        <v>224.102564102564</v>
      </c>
      <c r="BE80" s="14">
        <f>BD80*VLOOKUP('Données projet'!$B$11,Paramètres!$A$1:$I$89,3,0)*VLOOKUP('Données projet'!$B$11,Paramètres!$A$1:$I$89,5,0)</f>
        <v>213.25599999999989</v>
      </c>
      <c r="BF80" s="14">
        <f t="shared" si="91"/>
        <v>52.646465235028018</v>
      </c>
      <c r="BG80" s="22">
        <f t="shared" si="61"/>
        <v>463.11346028434019</v>
      </c>
      <c r="BH80" s="60">
        <f t="shared" si="62"/>
        <v>732.62361950861248</v>
      </c>
      <c r="BI80" s="60">
        <f ca="1">AVERAGE(OFFSET($BH$3,0,0,'Données projet'!$E$11+1,1))-AVERAGE(OFFSET($H$3,0,0,'Données projet'!$E$11+1,1))</f>
        <v>441.15969139782891</v>
      </c>
      <c r="BJ80" s="60">
        <f t="shared" si="92"/>
        <v>315.06466790224783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1.1368683772161603E-13</v>
      </c>
      <c r="BZ80" s="14">
        <f>BY80*VLOOKUP('Données projet'!$B$12,Paramètres!$A$1:$I$89,3,0)*VLOOKUP('Données projet'!$B$12,Paramètres!$A$1:$I$89,5,0)</f>
        <v>8.8675733422860506E-14</v>
      </c>
      <c r="CA80" s="14">
        <f t="shared" si="93"/>
        <v>1.3509285393066301E-12</v>
      </c>
      <c r="CB80" s="22">
        <f t="shared" si="64"/>
        <v>2.5073107750038623E-12</v>
      </c>
      <c r="CC80" s="60">
        <f t="shared" si="65"/>
        <v>269.51015922427479</v>
      </c>
      <c r="CD80" s="60">
        <f ca="1">AVERAGE(OFFSET($CC$3,0,0,'Données projet'!$E$12+1,1))-AVERAGE(OFFSET($H$3,0,0,'Données projet'!$E$12+1,1))</f>
        <v>312.59632808777332</v>
      </c>
      <c r="CE80" s="60">
        <f t="shared" si="94"/>
        <v>302.59481222418219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7.2</v>
      </c>
      <c r="CT80" s="13">
        <f>IF('Données projet'!$A$140&gt;35,CT79+CS80-DB79,IF(A80&lt;'Données projet'!$A$140,$CQ$205^A80,IF(A80='Données projet'!$A$140,'Données projet'!$B$140,CT79+CS80-DB79)))</f>
        <v>298.40000000000003</v>
      </c>
      <c r="CU80" s="18">
        <f>CT80*VLOOKUP('Données projet'!$B$13,Paramètres!$A$1:$I$89,3,0)*VLOOKUP('Données projet'!$B$13,Paramètres!$A$1:$I$89,5,0)</f>
        <v>288.61248000000001</v>
      </c>
      <c r="CV80" s="14">
        <f t="shared" si="95"/>
        <v>68.783851967051476</v>
      </c>
      <c r="CW80" s="22">
        <f t="shared" si="67"/>
        <v>622.4652781759479</v>
      </c>
      <c r="CX80" s="60">
        <f t="shared" si="68"/>
        <v>891.97543740022024</v>
      </c>
      <c r="CY80" s="60">
        <f ca="1">AVERAGE(OFFSET($CX$3,0,0,'Données projet'!$E$13+1,1))-AVERAGE(OFFSET($H$3,0,0,'Données projet'!$E$13+1,1))</f>
        <v>603.52431522262032</v>
      </c>
      <c r="CZ80" s="60">
        <f t="shared" si="96"/>
        <v>313.56299786481338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7.2</v>
      </c>
      <c r="DO80" s="13">
        <f>IF('Données projet'!$A$166&gt;35,DO79+DN80-DW79,IF(A80&lt;'Données projet'!$A$166,$DL$205^A80,IF(A80='Données projet'!$A$166,'Données projet'!$B$166,DO79+DN80-DW79)))</f>
        <v>298.40000000000003</v>
      </c>
      <c r="DP80" s="18">
        <f>DO80*VLOOKUP('Données projet'!$B$14,Paramètres!$A$1:$I$89,3,0)*VLOOKUP('Données projet'!$B$14,Paramètres!$A$1:$I$89,5,0)</f>
        <v>321.19776000000002</v>
      </c>
      <c r="DQ80" s="14">
        <f t="shared" si="97"/>
        <v>75.602516709962615</v>
      </c>
      <c r="DR80" s="22">
        <f t="shared" si="70"/>
        <v>691.09381526985146</v>
      </c>
      <c r="DS80" s="60">
        <f t="shared" si="71"/>
        <v>960.6039744941238</v>
      </c>
      <c r="DT80" s="60">
        <f ca="1">AVERAGE(OFFSET($DS$3,0,0,'Données projet'!$E$14+1,1))-AVERAGE(OFFSET($H$3,0,0,'Données projet'!$E$14+1,1))</f>
        <v>661.93515988633499</v>
      </c>
      <c r="DU80" s="60">
        <f t="shared" si="98"/>
        <v>341.9250949809848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4.7435897435897463</v>
      </c>
      <c r="EJ80" s="13">
        <f>IF('Données projet'!$A$192&gt;35,EJ79+EI80-ER79,IF(A80&lt;'Données projet'!$A$192,$EG$205^A80,IF(A80='Données projet'!$A$192,'Données projet'!$B$192,EJ79+EI80-ER79)))</f>
        <v>312.69230769230774</v>
      </c>
      <c r="EK80" s="18">
        <f>EJ80*VLOOKUP('Données projet'!$B$15,Paramètres!$A$1:$I$89,3,0)*VLOOKUP('Données projet'!$B$15,Paramètres!$A$1:$I$89,5,0)</f>
        <v>209.75400000000005</v>
      </c>
      <c r="EL80" s="14">
        <f t="shared" si="99"/>
        <v>51.881824842420912</v>
      </c>
      <c r="EM80" s="22">
        <f t="shared" si="73"/>
        <v>455.68239493388319</v>
      </c>
      <c r="EN80" s="60">
        <f t="shared" si="74"/>
        <v>725.19255415815542</v>
      </c>
      <c r="EO80" s="60">
        <f ca="1">AVERAGE(OFFSET($EN$3,0,0,'Données projet'!$E$15+1,1))-AVERAGE(OFFSET($H$3,0,0,'Données projet'!$E$15+1,1))</f>
        <v>396.0878652679051</v>
      </c>
      <c r="EP80" s="60">
        <f t="shared" si="100"/>
        <v>327.26339199235406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3.5600000000000023</v>
      </c>
      <c r="FE80" s="13">
        <f>IF('Données projet'!$A$218&gt;35,FE79+FD80-FM79,IF(A80&lt;'Données projet'!$A$218,$FB$205^A80,IF(A80='Données projet'!$A$218,'Données projet'!$B$218,FE79+FD80-FM79)))</f>
        <v>330.61999999999995</v>
      </c>
      <c r="FF80" s="18">
        <f>FE80*VLOOKUP('Données projet'!$B$16,Paramètres!$A$1:$I$89,3,0)*VLOOKUP('Données projet'!$B$16,Paramètres!$A$1:$I$89,5,0)</f>
        <v>242.41058399999997</v>
      </c>
      <c r="FG80" s="14">
        <f t="shared" si="101"/>
        <v>58.957877315127767</v>
      </c>
      <c r="FH80" s="22">
        <f t="shared" si="76"/>
        <v>524.88340345718075</v>
      </c>
      <c r="FI80" s="60">
        <f t="shared" si="77"/>
        <v>794.39356268145298</v>
      </c>
      <c r="FJ80" s="60">
        <f ca="1">AVERAGE(OFFSET($FI$3,0,0,'Données projet'!$E$16+1,1))-AVERAGE(OFFSET($H$3,0,0,'Données projet'!$E$16+1,1))</f>
        <v>368.35775920359396</v>
      </c>
      <c r="FK80" s="60">
        <f t="shared" si="102"/>
        <v>395.5218438652638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10.4</v>
      </c>
      <c r="FZ80" s="13">
        <f>IF('Données projet'!$A$244&gt;35,FZ79+FY80-GH79,IF(A80&lt;'Données projet'!$A$244,$FW$205^A80,IF(A80='Données projet'!$A$244,'Données projet'!$B$244,FZ79+FY80-GH79)))</f>
        <v>392.79999999999995</v>
      </c>
      <c r="GA80" s="18">
        <f>FZ80*VLOOKUP('Données projet'!$B$17,Paramètres!$A$1:$I$89,3,0)*VLOOKUP('Données projet'!$B$17,Paramètres!$A$1:$I$89,5,0)</f>
        <v>337.0224</v>
      </c>
      <c r="GB80" s="14">
        <f t="shared" si="103"/>
        <v>78.884440823098231</v>
      </c>
      <c r="GC80" s="22">
        <f t="shared" si="79"/>
        <v>724.37108110022939</v>
      </c>
      <c r="GD80" s="60">
        <f t="shared" si="80"/>
        <v>993.88124032450173</v>
      </c>
      <c r="GE80" s="60">
        <f ca="1">AVERAGE(OFFSET($GD$3,0,0,'Données projet'!$E$17+1,1))-AVERAGE(OFFSET($H$3,0,0,'Données projet'!$E$17+1,1))</f>
        <v>701.44583662096022</v>
      </c>
      <c r="GF80" s="60">
        <f t="shared" si="104"/>
        <v>331.25104323342907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-1.1368683772161603E-13</v>
      </c>
      <c r="GV80" s="18">
        <f>GU80*VLOOKUP('Données projet'!$B$18,Paramètres!$A$1:$I$89,3,0)*VLOOKUP('Données projet'!$B$18,Paramètres!$A$1:$I$89,5,0)</f>
        <v>-9.2222762759774927E-14</v>
      </c>
      <c r="GW80" s="14" t="e">
        <f t="shared" si="105"/>
        <v>#NUM!</v>
      </c>
      <c r="GX80" s="22" t="e">
        <f t="shared" si="82"/>
        <v>#NUM!</v>
      </c>
      <c r="GY80" s="60" t="e">
        <f t="shared" si="83"/>
        <v>#NUM!</v>
      </c>
      <c r="GZ80" s="60">
        <f ca="1">AVERAGE(OFFSET($GY$3,0,0,'Données projet'!$E$18+1,1))-AVERAGE(OFFSET($H$3,0,0,'Données projet'!$E$18+1,1))</f>
        <v>272.69564942740931</v>
      </c>
      <c r="HA80" s="60">
        <f t="shared" si="106"/>
        <v>316.57989180609252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25">
      <c r="A81" s="11">
        <f t="shared" si="85"/>
        <v>78</v>
      </c>
      <c r="B81" s="75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8">
        <f t="shared" si="56"/>
        <v>183.33333333333334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0">
        <f t="shared" si="55"/>
        <v>866.8538307678042</v>
      </c>
      <c r="S81" s="60">
        <f ca="1">AVERAGE(OFFSET($R$3,0,0,'Données projet'!$E$9+1,1))-AVERAGE(OFFSET($H$3,0,0,'Données projet'!$E$9+1,1))</f>
        <v>570.08763950759544</v>
      </c>
      <c r="T81" s="60">
        <f t="shared" si="88"/>
        <v>297.32483725004136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3.5600000000000023</v>
      </c>
      <c r="AI81" s="14">
        <f>IF('Données projet'!$A$62&gt;35,AI80+AH81-AQ80,IF(A81&lt;'Données projet'!$A$62,$AF$205^A81,IF(A81='Données projet'!$A$62,'Données projet'!$B$62,AI80+AH81-AQ80)))</f>
        <v>334.17999999999995</v>
      </c>
      <c r="AJ81" s="14">
        <f>AI81*VLOOKUP('Données projet'!$B$10,Paramètres!$A$1:$I$89,3,0)*VLOOKUP('Données projet'!$B$10,Paramètres!$A$1:$I$89,5,0)</f>
        <v>265.87360799999999</v>
      </c>
      <c r="AK81" s="14">
        <f t="shared" si="89"/>
        <v>63.972761368317435</v>
      </c>
      <c r="AL81" s="22">
        <f t="shared" si="58"/>
        <v>574.48242664981956</v>
      </c>
      <c r="AM81" s="60">
        <f t="shared" si="59"/>
        <v>844.40586468424578</v>
      </c>
      <c r="AN81" s="60">
        <f ca="1">AVERAGE(OFFSET($AM$3,0,0,'Données projet'!$E$10+1,1))-AVERAGE(OFFSET($H$3,0,0,'Données projet'!$E$10+1,1))</f>
        <v>394.49874384716014</v>
      </c>
      <c r="AO81" s="60">
        <f t="shared" si="90"/>
        <v>423.72519584013378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4.3589743589743648</v>
      </c>
      <c r="BD81" s="13">
        <f>IF('Données projet'!$A$88&gt;35,BD80+BC81-BL80,IF(A81&lt;'Données projet'!$A$88,$BA$205^A81,IF(A81='Données projet'!$A$88,'Données projet'!$B$88,BD80+BC81-BL80)))</f>
        <v>228.46153846153837</v>
      </c>
      <c r="BE81" s="14">
        <f>BD81*VLOOKUP('Données projet'!$B$11,Paramètres!$A$1:$I$89,3,0)*VLOOKUP('Données projet'!$B$11,Paramètres!$A$1:$I$89,5,0)</f>
        <v>217.40399999999991</v>
      </c>
      <c r="BF81" s="14">
        <f t="shared" si="91"/>
        <v>53.550268745628323</v>
      </c>
      <c r="BG81" s="22">
        <f t="shared" si="61"/>
        <v>471.91201806530245</v>
      </c>
      <c r="BH81" s="60">
        <f t="shared" si="62"/>
        <v>741.83545609972862</v>
      </c>
      <c r="BI81" s="60">
        <f ca="1">AVERAGE(OFFSET($BH$3,0,0,'Données projet'!$E$11+1,1))-AVERAGE(OFFSET($H$3,0,0,'Données projet'!$E$11+1,1))</f>
        <v>441.15969139782891</v>
      </c>
      <c r="BJ81" s="60">
        <f t="shared" si="92"/>
        <v>315.06466790224783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1.1368683772161603E-13</v>
      </c>
      <c r="BZ81" s="14">
        <f>BY81*VLOOKUP('Données projet'!$B$12,Paramètres!$A$1:$I$89,3,0)*VLOOKUP('Données projet'!$B$12,Paramètres!$A$1:$I$89,5,0)</f>
        <v>8.8675733422860506E-14</v>
      </c>
      <c r="CA81" s="14">
        <f t="shared" si="93"/>
        <v>1.3509285393066301E-12</v>
      </c>
      <c r="CB81" s="22">
        <f t="shared" si="64"/>
        <v>2.5073107750038623E-12</v>
      </c>
      <c r="CC81" s="60">
        <f t="shared" si="65"/>
        <v>269.92343803442873</v>
      </c>
      <c r="CD81" s="60">
        <f ca="1">AVERAGE(OFFSET($CC$3,0,0,'Données projet'!$E$12+1,1))-AVERAGE(OFFSET($H$3,0,0,'Données projet'!$E$12+1,1))</f>
        <v>312.59632808777332</v>
      </c>
      <c r="CE81" s="60">
        <f t="shared" si="94"/>
        <v>302.59481222418219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7.2</v>
      </c>
      <c r="CT81" s="13">
        <f>IF('Données projet'!$A$140&gt;35,CT80+CS81-DB80,IF(A81&lt;'Données projet'!$A$140,$CQ$205^A81,IF(A81='Données projet'!$A$140,'Données projet'!$B$140,CT80+CS81-DB80)))</f>
        <v>305.60000000000002</v>
      </c>
      <c r="CU81" s="18">
        <f>CT81*VLOOKUP('Données projet'!$B$13,Paramètres!$A$1:$I$89,3,0)*VLOOKUP('Données projet'!$B$13,Paramètres!$A$1:$I$89,5,0)</f>
        <v>295.57632000000001</v>
      </c>
      <c r="CV81" s="14">
        <f t="shared" si="95"/>
        <v>70.24828996461811</v>
      </c>
      <c r="CW81" s="22">
        <f t="shared" si="67"/>
        <v>637.1445290217099</v>
      </c>
      <c r="CX81" s="60">
        <f t="shared" si="68"/>
        <v>907.06796705613613</v>
      </c>
      <c r="CY81" s="60">
        <f ca="1">AVERAGE(OFFSET($CX$3,0,0,'Données projet'!$E$13+1,1))-AVERAGE(OFFSET($H$3,0,0,'Données projet'!$E$13+1,1))</f>
        <v>603.52431522262032</v>
      </c>
      <c r="CZ81" s="60">
        <f t="shared" si="96"/>
        <v>313.56299786481338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7.2</v>
      </c>
      <c r="DO81" s="13">
        <f>IF('Données projet'!$A$166&gt;35,DO80+DN81-DW80,IF(A81&lt;'Données projet'!$A$166,$DL$205^A81,IF(A81='Données projet'!$A$166,'Données projet'!$B$166,DO80+DN81-DW80)))</f>
        <v>305.60000000000002</v>
      </c>
      <c r="DP81" s="18">
        <f>DO81*VLOOKUP('Données projet'!$B$14,Paramètres!$A$1:$I$89,3,0)*VLOOKUP('Données projet'!$B$14,Paramètres!$A$1:$I$89,5,0)</f>
        <v>328.94784000000004</v>
      </c>
      <c r="DQ81" s="14">
        <f t="shared" si="97"/>
        <v>77.212127032960666</v>
      </c>
      <c r="DR81" s="22">
        <f t="shared" si="70"/>
        <v>707.39527591573994</v>
      </c>
      <c r="DS81" s="60">
        <f t="shared" si="71"/>
        <v>977.31871395016617</v>
      </c>
      <c r="DT81" s="60">
        <f ca="1">AVERAGE(OFFSET($DS$3,0,0,'Données projet'!$E$14+1,1))-AVERAGE(OFFSET($H$3,0,0,'Données projet'!$E$14+1,1))</f>
        <v>661.93515988633499</v>
      </c>
      <c r="DU81" s="60">
        <f t="shared" si="98"/>
        <v>341.9250949809848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4.7435897435897463</v>
      </c>
      <c r="EJ81" s="13">
        <f>IF('Données projet'!$A$192&gt;35,EJ80+EI81-ER80,IF(A81&lt;'Données projet'!$A$192,$EG$205^A81,IF(A81='Données projet'!$A$192,'Données projet'!$B$192,EJ80+EI81-ER80)))</f>
        <v>317.43589743589746</v>
      </c>
      <c r="EK81" s="18">
        <f>EJ81*VLOOKUP('Données projet'!$B$15,Paramètres!$A$1:$I$89,3,0)*VLOOKUP('Données projet'!$B$15,Paramètres!$A$1:$I$89,5,0)</f>
        <v>212.93600000000001</v>
      </c>
      <c r="EL81" s="14">
        <f t="shared" si="99"/>
        <v>52.576656207031739</v>
      </c>
      <c r="EM81" s="22">
        <f t="shared" si="73"/>
        <v>462.4345428939136</v>
      </c>
      <c r="EN81" s="60">
        <f t="shared" si="74"/>
        <v>732.35798092833988</v>
      </c>
      <c r="EO81" s="60">
        <f ca="1">AVERAGE(OFFSET($EN$3,0,0,'Données projet'!$E$15+1,1))-AVERAGE(OFFSET($H$3,0,0,'Données projet'!$E$15+1,1))</f>
        <v>396.0878652679051</v>
      </c>
      <c r="EP81" s="60">
        <f t="shared" si="100"/>
        <v>327.26339199235406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3.5600000000000023</v>
      </c>
      <c r="FE81" s="13">
        <f>IF('Données projet'!$A$218&gt;35,FE80+FD81-FM80,IF(A81&lt;'Données projet'!$A$218,$FB$205^A81,IF(A81='Données projet'!$A$218,'Données projet'!$B$218,FE80+FD81-FM80)))</f>
        <v>334.17999999999995</v>
      </c>
      <c r="FF81" s="18">
        <f>FE81*VLOOKUP('Données projet'!$B$16,Paramètres!$A$1:$I$89,3,0)*VLOOKUP('Données projet'!$B$16,Paramètres!$A$1:$I$89,5,0)</f>
        <v>245.02077599999993</v>
      </c>
      <c r="FG81" s="14">
        <f t="shared" si="101"/>
        <v>59.518469785210911</v>
      </c>
      <c r="FH81" s="22">
        <f t="shared" si="76"/>
        <v>530.40585307590879</v>
      </c>
      <c r="FI81" s="60">
        <f t="shared" si="77"/>
        <v>800.32929111033502</v>
      </c>
      <c r="FJ81" s="60">
        <f ca="1">AVERAGE(OFFSET($FI$3,0,0,'Données projet'!$E$16+1,1))-AVERAGE(OFFSET($H$3,0,0,'Données projet'!$E$16+1,1))</f>
        <v>368.35775920359396</v>
      </c>
      <c r="FK81" s="60">
        <f t="shared" si="102"/>
        <v>395.5218438652638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10.4</v>
      </c>
      <c r="FZ81" s="13">
        <f>IF('Données projet'!$A$244&gt;35,FZ80+FY81-GH80,IF(A81&lt;'Données projet'!$A$244,$FW$205^A81,IF(A81='Données projet'!$A$244,'Données projet'!$B$244,FZ80+FY81-GH80)))</f>
        <v>403.19999999999993</v>
      </c>
      <c r="GA81" s="18">
        <f>FZ81*VLOOKUP('Données projet'!$B$17,Paramètres!$A$1:$I$89,3,0)*VLOOKUP('Données projet'!$B$17,Paramètres!$A$1:$I$89,5,0)</f>
        <v>345.94560000000001</v>
      </c>
      <c r="GB81" s="14">
        <f t="shared" si="103"/>
        <v>80.727102887907222</v>
      </c>
      <c r="GC81" s="22">
        <f t="shared" si="79"/>
        <v>743.12162419643846</v>
      </c>
      <c r="GD81" s="60">
        <f t="shared" si="80"/>
        <v>1013.0450622308647</v>
      </c>
      <c r="GE81" s="60">
        <f ca="1">AVERAGE(OFFSET($GD$3,0,0,'Données projet'!$E$17+1,1))-AVERAGE(OFFSET($H$3,0,0,'Données projet'!$E$17+1,1))</f>
        <v>701.44583662096022</v>
      </c>
      <c r="GF81" s="60">
        <f t="shared" si="104"/>
        <v>331.25104323342907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-1.1368683772161603E-13</v>
      </c>
      <c r="GV81" s="18">
        <f>GU81*VLOOKUP('Données projet'!$B$18,Paramètres!$A$1:$I$89,3,0)*VLOOKUP('Données projet'!$B$18,Paramètres!$A$1:$I$89,5,0)</f>
        <v>-9.2222762759774927E-14</v>
      </c>
      <c r="GW81" s="14" t="e">
        <f t="shared" si="105"/>
        <v>#NUM!</v>
      </c>
      <c r="GX81" s="22" t="e">
        <f t="shared" si="82"/>
        <v>#NUM!</v>
      </c>
      <c r="GY81" s="60" t="e">
        <f t="shared" si="83"/>
        <v>#NUM!</v>
      </c>
      <c r="GZ81" s="60">
        <f ca="1">AVERAGE(OFFSET($GY$3,0,0,'Données projet'!$E$18+1,1))-AVERAGE(OFFSET($H$3,0,0,'Données projet'!$E$18+1,1))</f>
        <v>272.69564942740931</v>
      </c>
      <c r="HA81" s="60">
        <f t="shared" si="106"/>
        <v>316.57989180609252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25">
      <c r="A82" s="11">
        <f t="shared" si="85"/>
        <v>79</v>
      </c>
      <c r="B82" s="75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8">
        <f t="shared" si="56"/>
        <v>183.33333333333334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0">
        <f t="shared" si="55"/>
        <v>881.00415088284853</v>
      </c>
      <c r="S82" s="60">
        <f ca="1">AVERAGE(OFFSET($R$3,0,0,'Données projet'!$E$9+1,1))-AVERAGE(OFFSET($H$3,0,0,'Données projet'!$E$9+1,1))</f>
        <v>570.08763950759544</v>
      </c>
      <c r="T82" s="60">
        <f t="shared" si="88"/>
        <v>297.32483725004136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3.5600000000000023</v>
      </c>
      <c r="AI82" s="14">
        <f>IF('Données projet'!$A$62&gt;35,AI81+AH82-AQ81,IF(A82&lt;'Données projet'!$A$62,$AF$205^A82,IF(A82='Données projet'!$A$62,'Données projet'!$B$62,AI81+AH82-AQ81)))</f>
        <v>337.73999999999995</v>
      </c>
      <c r="AJ82" s="14">
        <f>AI82*VLOOKUP('Données projet'!$B$10,Paramètres!$A$1:$I$89,3,0)*VLOOKUP('Données projet'!$B$10,Paramètres!$A$1:$I$89,5,0)</f>
        <v>268.70594399999999</v>
      </c>
      <c r="AK82" s="14">
        <f t="shared" si="89"/>
        <v>64.574561201947517</v>
      </c>
      <c r="AL82" s="22">
        <f t="shared" si="58"/>
        <v>580.46354656005849</v>
      </c>
      <c r="AM82" s="60">
        <f t="shared" si="59"/>
        <v>850.79309394123538</v>
      </c>
      <c r="AN82" s="60">
        <f ca="1">AVERAGE(OFFSET($AM$3,0,0,'Données projet'!$E$10+1,1))-AVERAGE(OFFSET($H$3,0,0,'Données projet'!$E$10+1,1))</f>
        <v>394.49874384716014</v>
      </c>
      <c r="AO82" s="60">
        <f t="shared" si="90"/>
        <v>423.72519584013378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4.3589743589743648</v>
      </c>
      <c r="BD82" s="13">
        <f>IF('Données projet'!$A$88&gt;35,BD81+BC82-BL81,IF(A82&lt;'Données projet'!$A$88,$BA$205^A82,IF(A82='Données projet'!$A$88,'Données projet'!$B$88,BD81+BC82-BL81)))</f>
        <v>232.82051282051273</v>
      </c>
      <c r="BE82" s="14">
        <f>BD82*VLOOKUP('Données projet'!$B$11,Paramètres!$A$1:$I$89,3,0)*VLOOKUP('Données projet'!$B$11,Paramètres!$A$1:$I$89,5,0)</f>
        <v>221.55199999999994</v>
      </c>
      <c r="BF82" s="14">
        <f t="shared" si="91"/>
        <v>54.452067119881683</v>
      </c>
      <c r="BG82" s="22">
        <f t="shared" si="61"/>
        <v>480.70708356712709</v>
      </c>
      <c r="BH82" s="60">
        <f t="shared" si="62"/>
        <v>751.03663094830404</v>
      </c>
      <c r="BI82" s="60">
        <f ca="1">AVERAGE(OFFSET($BH$3,0,0,'Données projet'!$E$11+1,1))-AVERAGE(OFFSET($H$3,0,0,'Données projet'!$E$11+1,1))</f>
        <v>441.15969139782891</v>
      </c>
      <c r="BJ82" s="60">
        <f t="shared" si="92"/>
        <v>315.06466790224783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1.1368683772161603E-13</v>
      </c>
      <c r="BZ82" s="14">
        <f>BY82*VLOOKUP('Données projet'!$B$12,Paramètres!$A$1:$I$89,3,0)*VLOOKUP('Données projet'!$B$12,Paramètres!$A$1:$I$89,5,0)</f>
        <v>8.8675733422860506E-14</v>
      </c>
      <c r="CA82" s="14">
        <f t="shared" si="93"/>
        <v>1.3509285393066301E-12</v>
      </c>
      <c r="CB82" s="22">
        <f t="shared" si="64"/>
        <v>2.5073107750038623E-12</v>
      </c>
      <c r="CC82" s="60">
        <f t="shared" si="65"/>
        <v>270.32954738117945</v>
      </c>
      <c r="CD82" s="60">
        <f ca="1">AVERAGE(OFFSET($CC$3,0,0,'Données projet'!$E$12+1,1))-AVERAGE(OFFSET($H$3,0,0,'Données projet'!$E$12+1,1))</f>
        <v>312.59632808777332</v>
      </c>
      <c r="CE82" s="60">
        <f t="shared" si="94"/>
        <v>302.59481222418219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7.2</v>
      </c>
      <c r="CT82" s="13">
        <f>IF('Données projet'!$A$140&gt;35,CT81+CS82-DB81,IF(A82&lt;'Données projet'!$A$140,$CQ$205^A82,IF(A82='Données projet'!$A$140,'Données projet'!$B$140,CT81+CS82-DB81)))</f>
        <v>312.8</v>
      </c>
      <c r="CU82" s="18">
        <f>CT82*VLOOKUP('Données projet'!$B$13,Paramètres!$A$1:$I$89,3,0)*VLOOKUP('Données projet'!$B$13,Paramètres!$A$1:$I$89,5,0)</f>
        <v>302.54016000000001</v>
      </c>
      <c r="CV82" s="14">
        <f t="shared" si="95"/>
        <v>71.708716984815311</v>
      </c>
      <c r="CW82" s="22">
        <f t="shared" si="67"/>
        <v>651.81679408188654</v>
      </c>
      <c r="CX82" s="60">
        <f t="shared" si="68"/>
        <v>922.14634146306344</v>
      </c>
      <c r="CY82" s="60">
        <f ca="1">AVERAGE(OFFSET($CX$3,0,0,'Données projet'!$E$13+1,1))-AVERAGE(OFFSET($H$3,0,0,'Données projet'!$E$13+1,1))</f>
        <v>603.52431522262032</v>
      </c>
      <c r="CZ82" s="60">
        <f t="shared" si="96"/>
        <v>313.56299786481338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7.2</v>
      </c>
      <c r="DO82" s="13">
        <f>IF('Données projet'!$A$166&gt;35,DO81+DN82-DW81,IF(A82&lt;'Données projet'!$A$166,$DL$205^A82,IF(A82='Données projet'!$A$166,'Données projet'!$B$166,DO81+DN82-DW81)))</f>
        <v>312.8</v>
      </c>
      <c r="DP82" s="18">
        <f>DO82*VLOOKUP('Données projet'!$B$14,Paramètres!$A$1:$I$89,3,0)*VLOOKUP('Données projet'!$B$14,Paramètres!$A$1:$I$89,5,0)</f>
        <v>336.69792000000001</v>
      </c>
      <c r="DQ82" s="14">
        <f t="shared" si="97"/>
        <v>78.817328763317647</v>
      </c>
      <c r="DR82" s="22">
        <f t="shared" si="70"/>
        <v>723.6890582627783</v>
      </c>
      <c r="DS82" s="60">
        <f t="shared" si="71"/>
        <v>994.0186056439552</v>
      </c>
      <c r="DT82" s="60">
        <f ca="1">AVERAGE(OFFSET($DS$3,0,0,'Données projet'!$E$14+1,1))-AVERAGE(OFFSET($H$3,0,0,'Données projet'!$E$14+1,1))</f>
        <v>661.93515988633499</v>
      </c>
      <c r="DU82" s="60">
        <f t="shared" si="98"/>
        <v>341.9250949809848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4.7435897435897463</v>
      </c>
      <c r="EJ82" s="13">
        <f>IF('Données projet'!$A$192&gt;35,EJ81+EI82-ER81,IF(A82&lt;'Données projet'!$A$192,$EG$205^A82,IF(A82='Données projet'!$A$192,'Données projet'!$B$192,EJ81+EI82-ER81)))</f>
        <v>322.17948717948718</v>
      </c>
      <c r="EK82" s="18">
        <f>EJ82*VLOOKUP('Données projet'!$B$15,Paramètres!$A$1:$I$89,3,0)*VLOOKUP('Données projet'!$B$15,Paramètres!$A$1:$I$89,5,0)</f>
        <v>216.11799999999999</v>
      </c>
      <c r="EL82" s="14">
        <f t="shared" si="99"/>
        <v>53.270279972172681</v>
      </c>
      <c r="EM82" s="22">
        <f t="shared" si="73"/>
        <v>469.18458761820074</v>
      </c>
      <c r="EN82" s="60">
        <f t="shared" si="74"/>
        <v>739.51413499937769</v>
      </c>
      <c r="EO82" s="60">
        <f ca="1">AVERAGE(OFFSET($EN$3,0,0,'Données projet'!$E$15+1,1))-AVERAGE(OFFSET($H$3,0,0,'Données projet'!$E$15+1,1))</f>
        <v>396.0878652679051</v>
      </c>
      <c r="EP82" s="60">
        <f t="shared" si="100"/>
        <v>327.26339199235406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3.5600000000000023</v>
      </c>
      <c r="FE82" s="13">
        <f>IF('Données projet'!$A$218&gt;35,FE81+FD82-FM81,IF(A82&lt;'Données projet'!$A$218,$FB$205^A82,IF(A82='Données projet'!$A$218,'Données projet'!$B$218,FE81+FD82-FM81)))</f>
        <v>337.73999999999995</v>
      </c>
      <c r="FF82" s="18">
        <f>FE82*VLOOKUP('Données projet'!$B$16,Paramètres!$A$1:$I$89,3,0)*VLOOKUP('Données projet'!$B$16,Paramètres!$A$1:$I$89,5,0)</f>
        <v>247.63096799999994</v>
      </c>
      <c r="FG82" s="14">
        <f t="shared" si="101"/>
        <v>60.078367536199657</v>
      </c>
      <c r="FH82" s="22">
        <f t="shared" si="76"/>
        <v>535.9270927255476</v>
      </c>
      <c r="FI82" s="60">
        <f t="shared" si="77"/>
        <v>806.25664010672449</v>
      </c>
      <c r="FJ82" s="60">
        <f ca="1">AVERAGE(OFFSET($FI$3,0,0,'Données projet'!$E$16+1,1))-AVERAGE(OFFSET($H$3,0,0,'Données projet'!$E$16+1,1))</f>
        <v>368.35775920359396</v>
      </c>
      <c r="FK82" s="60">
        <f t="shared" si="102"/>
        <v>395.5218438652638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10.4</v>
      </c>
      <c r="FZ82" s="13">
        <f>IF('Données projet'!$A$244&gt;35,FZ81+FY82-GH81,IF(A82&lt;'Données projet'!$A$244,$FW$205^A82,IF(A82='Données projet'!$A$244,'Données projet'!$B$244,FZ81+FY82-GH81)))</f>
        <v>413.59999999999991</v>
      </c>
      <c r="GA82" s="18">
        <f>FZ82*VLOOKUP('Données projet'!$B$17,Paramètres!$A$1:$I$89,3,0)*VLOOKUP('Données projet'!$B$17,Paramètres!$A$1:$I$89,5,0)</f>
        <v>354.86879999999996</v>
      </c>
      <c r="GB82" s="14">
        <f t="shared" si="103"/>
        <v>82.564240228675203</v>
      </c>
      <c r="GC82" s="22">
        <f t="shared" si="79"/>
        <v>761.86254506494254</v>
      </c>
      <c r="GD82" s="60">
        <f t="shared" si="80"/>
        <v>1032.1920924461194</v>
      </c>
      <c r="GE82" s="60">
        <f ca="1">AVERAGE(OFFSET($GD$3,0,0,'Données projet'!$E$17+1,1))-AVERAGE(OFFSET($H$3,0,0,'Données projet'!$E$17+1,1))</f>
        <v>701.44583662096022</v>
      </c>
      <c r="GF82" s="60">
        <f t="shared" si="104"/>
        <v>331.25104323342907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-1.1368683772161603E-13</v>
      </c>
      <c r="GV82" s="18">
        <f>GU82*VLOOKUP('Données projet'!$B$18,Paramètres!$A$1:$I$89,3,0)*VLOOKUP('Données projet'!$B$18,Paramètres!$A$1:$I$89,5,0)</f>
        <v>-9.2222762759774927E-14</v>
      </c>
      <c r="GW82" s="14" t="e">
        <f t="shared" si="105"/>
        <v>#NUM!</v>
      </c>
      <c r="GX82" s="22" t="e">
        <f t="shared" si="82"/>
        <v>#NUM!</v>
      </c>
      <c r="GY82" s="60" t="e">
        <f t="shared" si="83"/>
        <v>#NUM!</v>
      </c>
      <c r="GZ82" s="60">
        <f ca="1">AVERAGE(OFFSET($GY$3,0,0,'Données projet'!$E$18+1,1))-AVERAGE(OFFSET($H$3,0,0,'Données projet'!$E$18+1,1))</f>
        <v>272.69564942740931</v>
      </c>
      <c r="HA82" s="60">
        <f t="shared" si="106"/>
        <v>316.57989180609252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25">
      <c r="A83" s="11">
        <f t="shared" si="85"/>
        <v>80</v>
      </c>
      <c r="B83" s="75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8">
        <f t="shared" si="56"/>
        <v>183.33333333333334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0">
        <f t="shared" si="55"/>
        <v>895.14100893618843</v>
      </c>
      <c r="S83" s="60">
        <f ca="1">AVERAGE(OFFSET($R$3,0,0,'Données projet'!$E$9+1,1))-AVERAGE(OFFSET($H$3,0,0,'Données projet'!$E$9+1,1))</f>
        <v>570.08763950759544</v>
      </c>
      <c r="T83" s="60">
        <f t="shared" si="88"/>
        <v>297.32483725004136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341.3</v>
      </c>
      <c r="AG83" s="13">
        <f>VLOOKUP(A83,'Données projet'!$A$61:$I$81,9,0)</f>
        <v>3.5600000000000023</v>
      </c>
      <c r="AH83" s="13">
        <f t="array" ref="AH83">INDEX(AG:AG,MIN(IF(ISNUMBER(AG83:AG279),ROW(AG83:AG279),"")))</f>
        <v>3.5600000000000023</v>
      </c>
      <c r="AI83" s="14">
        <f>IF('Données projet'!$A$62&gt;35,AI82+AH83-AQ82,IF(A83&lt;'Données projet'!$A$62,$AF$205^A83,IF(A83='Données projet'!$A$62,'Données projet'!$B$62,AI82+AH83-AQ82)))</f>
        <v>341.29999999999995</v>
      </c>
      <c r="AJ83" s="14">
        <f>AI83*VLOOKUP('Données projet'!$B$10,Paramètres!$A$1:$I$89,3,0)*VLOOKUP('Données projet'!$B$10,Paramètres!$A$1:$I$89,5,0)</f>
        <v>271.53827999999999</v>
      </c>
      <c r="AK83" s="14">
        <f t="shared" si="89"/>
        <v>65.17562310645522</v>
      </c>
      <c r="AL83" s="22">
        <f t="shared" si="58"/>
        <v>586.44338124374281</v>
      </c>
      <c r="AM83" s="60">
        <f t="shared" si="59"/>
        <v>857.17199288242887</v>
      </c>
      <c r="AN83" s="60">
        <f ca="1">AVERAGE(OFFSET($AM$3,0,0,'Données projet'!$E$10+1,1))-AVERAGE(OFFSET($H$3,0,0,'Données projet'!$E$10+1,1))</f>
        <v>394.49874384716014</v>
      </c>
      <c r="AO83" s="60">
        <f t="shared" si="90"/>
        <v>423.72519584013378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341.3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237.17948717948718</v>
      </c>
      <c r="BB83" s="13">
        <f>VLOOKUP(A83,'Données projet'!$A$87:$I$107,9,0)</f>
        <v>4.3589743589743648</v>
      </c>
      <c r="BC83" s="13">
        <f t="array" ref="BC83">INDEX(BB:BB,MIN(IF(ISNUMBER(BB83:BB279),ROW(BB83:BB279),"")))</f>
        <v>4.3589743589743648</v>
      </c>
      <c r="BD83" s="13">
        <f>IF('Données projet'!$A$88&gt;35,BD82+BC83-BL82,IF(A83&lt;'Données projet'!$A$88,$BA$205^A83,IF(A83='Données projet'!$A$88,'Données projet'!$B$88,BD82+BC83-BL82)))</f>
        <v>237.1794871794871</v>
      </c>
      <c r="BE83" s="14">
        <f>BD83*VLOOKUP('Données projet'!$B$11,Paramètres!$A$1:$I$89,3,0)*VLOOKUP('Données projet'!$B$11,Paramètres!$A$1:$I$89,5,0)</f>
        <v>225.69999999999993</v>
      </c>
      <c r="BF83" s="14">
        <f t="shared" si="91"/>
        <v>55.351902227969966</v>
      </c>
      <c r="BG83" s="22">
        <f t="shared" si="61"/>
        <v>489.49872971371423</v>
      </c>
      <c r="BH83" s="60">
        <f t="shared" si="62"/>
        <v>760.22734135240034</v>
      </c>
      <c r="BI83" s="60">
        <f ca="1">AVERAGE(OFFSET($BH$3,0,0,'Données projet'!$E$11+1,1))-AVERAGE(OFFSET($H$3,0,0,'Données projet'!$E$11+1,1))</f>
        <v>441.15969139782891</v>
      </c>
      <c r="BJ83" s="60">
        <f t="shared" si="92"/>
        <v>315.06466790224783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1.1368683772161603E-13</v>
      </c>
      <c r="BZ83" s="14">
        <f>BY83*VLOOKUP('Données projet'!$B$12,Paramètres!$A$1:$I$89,3,0)*VLOOKUP('Données projet'!$B$12,Paramètres!$A$1:$I$89,5,0)</f>
        <v>8.8675733422860506E-14</v>
      </c>
      <c r="CA83" s="14">
        <f t="shared" si="93"/>
        <v>1.3509285393066301E-12</v>
      </c>
      <c r="CB83" s="22">
        <f t="shared" si="64"/>
        <v>2.5073107750038623E-12</v>
      </c>
      <c r="CC83" s="60">
        <f t="shared" si="65"/>
        <v>270.72861163868862</v>
      </c>
      <c r="CD83" s="60">
        <f ca="1">AVERAGE(OFFSET($CC$3,0,0,'Données projet'!$E$12+1,1))-AVERAGE(OFFSET($H$3,0,0,'Données projet'!$E$12+1,1))</f>
        <v>312.59632808777332</v>
      </c>
      <c r="CE83" s="60">
        <f t="shared" si="94"/>
        <v>302.59481222418219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320</v>
      </c>
      <c r="CR83" s="13">
        <f>VLOOKUP(A83,'Données projet'!$A$139:$I$159,9,0)</f>
        <v>7.2</v>
      </c>
      <c r="CS83" s="13">
        <f t="array" ref="CS83">INDEX(CR:CR,MIN(IF(ISNUMBER(CR83:CR279),ROW(CR83:CR279),"")))</f>
        <v>7.2</v>
      </c>
      <c r="CT83" s="13">
        <f>IF('Données projet'!$A$140&gt;35,CT82+CS83-DB82,IF(A83&lt;'Données projet'!$A$140,$CQ$205^A83,IF(A83='Données projet'!$A$140,'Données projet'!$B$140,CT82+CS83-DB82)))</f>
        <v>320</v>
      </c>
      <c r="CU83" s="18">
        <f>CT83*VLOOKUP('Données projet'!$B$13,Paramètres!$A$1:$I$89,3,0)*VLOOKUP('Données projet'!$B$13,Paramètres!$A$1:$I$89,5,0)</f>
        <v>309.50400000000002</v>
      </c>
      <c r="CV83" s="14">
        <f t="shared" si="95"/>
        <v>73.165235978896504</v>
      </c>
      <c r="CW83" s="22">
        <f t="shared" si="67"/>
        <v>666.48225266324471</v>
      </c>
      <c r="CX83" s="60">
        <f t="shared" si="68"/>
        <v>937.21086430193077</v>
      </c>
      <c r="CY83" s="60">
        <f ca="1">AVERAGE(OFFSET($CX$3,0,0,'Données projet'!$E$13+1,1))-AVERAGE(OFFSET($H$3,0,0,'Données projet'!$E$13+1,1))</f>
        <v>603.52431522262032</v>
      </c>
      <c r="CZ83" s="60">
        <f t="shared" si="96"/>
        <v>313.56299786481338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320</v>
      </c>
      <c r="DM83" s="13">
        <f>VLOOKUP(A83,'Données projet'!$A$165:$I$185,9,0)</f>
        <v>7.2</v>
      </c>
      <c r="DN83" s="13">
        <f t="array" ref="DN83">INDEX(DM:DM,MIN(IF(ISNUMBER(DM83:DM279),ROW(DM83:DM279),"")))</f>
        <v>7.2</v>
      </c>
      <c r="DO83" s="13">
        <f>IF('Données projet'!$A$166&gt;35,DO82+DN83-DW82,IF(A83&lt;'Données projet'!$A$166,$DL$205^A83,IF(A83='Données projet'!$A$166,'Données projet'!$B$166,DO82+DN83-DW82)))</f>
        <v>320</v>
      </c>
      <c r="DP83" s="18">
        <f>DO83*VLOOKUP('Données projet'!$B$14,Paramètres!$A$1:$I$89,3,0)*VLOOKUP('Données projet'!$B$14,Paramètres!$A$1:$I$89,5,0)</f>
        <v>344.44799999999998</v>
      </c>
      <c r="DQ83" s="14">
        <f t="shared" si="97"/>
        <v>80.418235058027051</v>
      </c>
      <c r="DR83" s="22">
        <f t="shared" si="70"/>
        <v>739.9753593927303</v>
      </c>
      <c r="DS83" s="60">
        <f t="shared" si="71"/>
        <v>1010.7039710314164</v>
      </c>
      <c r="DT83" s="60">
        <f ca="1">AVERAGE(OFFSET($DS$3,0,0,'Données projet'!$E$14+1,1))-AVERAGE(OFFSET($H$3,0,0,'Données projet'!$E$14+1,1))</f>
        <v>661.93515988633499</v>
      </c>
      <c r="DU83" s="60">
        <f t="shared" si="98"/>
        <v>341.9250949809848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326.92307692307691</v>
      </c>
      <c r="EH83" s="13">
        <f>VLOOKUP(A83,'Données projet'!$A$191:$I$211,9,0)</f>
        <v>4.7435897435897463</v>
      </c>
      <c r="EI83" s="13">
        <f t="array" ref="EI83">INDEX(EH:EH,MIN(IF(ISNUMBER(EH83:EH279),ROW(EH83:EH279),"")))</f>
        <v>4.7435897435897463</v>
      </c>
      <c r="EJ83" s="13">
        <f>IF('Données projet'!$A$192&gt;35,EJ82+EI83-ER82,IF(A83&lt;'Données projet'!$A$192,$EG$205^A83,IF(A83='Données projet'!$A$192,'Données projet'!$B$192,EJ82+EI83-ER82)))</f>
        <v>326.92307692307691</v>
      </c>
      <c r="EK83" s="18">
        <f>EJ83*VLOOKUP('Données projet'!$B$15,Paramètres!$A$1:$I$89,3,0)*VLOOKUP('Données projet'!$B$15,Paramètres!$A$1:$I$89,5,0)</f>
        <v>219.29999999999998</v>
      </c>
      <c r="EL83" s="14">
        <f t="shared" si="99"/>
        <v>53.962715971896969</v>
      </c>
      <c r="EM83" s="22">
        <f t="shared" si="73"/>
        <v>475.9325636510539</v>
      </c>
      <c r="EN83" s="60">
        <f t="shared" si="74"/>
        <v>746.66117528973996</v>
      </c>
      <c r="EO83" s="60">
        <f ca="1">AVERAGE(OFFSET($EN$3,0,0,'Données projet'!$E$15+1,1))-AVERAGE(OFFSET($H$3,0,0,'Données projet'!$E$15+1,1))</f>
        <v>396.0878652679051</v>
      </c>
      <c r="EP83" s="60">
        <f t="shared" si="100"/>
        <v>327.26339199235406</v>
      </c>
      <c r="EQ83" s="16">
        <f>IF(ISNA(VLOOKUP(A83,'Données projet'!$A$191:$I$211,3,0)),0,VLOOKUP(A83,'Données projet'!$A$191:$I$211,3,0))</f>
        <v>7</v>
      </c>
      <c r="ER83" s="16">
        <f>IF(ISNA(VLOOKUP(A83,'Données projet'!$A$191:$I$211,4,0)),0,VLOOKUP(A83,'Données projet'!$A$191:$I$211,4,0))</f>
        <v>28.846153846153847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341.3</v>
      </c>
      <c r="FC83" s="13">
        <f>VLOOKUP(A83,'Données projet'!$A$217:$I$237,9,0)</f>
        <v>3.5600000000000023</v>
      </c>
      <c r="FD83" s="13">
        <f t="array" ref="FD83">INDEX(FC:FC,MIN(IF(ISNUMBER(FC83:FC279),ROW(FC83:FC279),"")))</f>
        <v>3.5600000000000023</v>
      </c>
      <c r="FE83" s="13">
        <f>IF('Données projet'!$A$218&gt;35,FE82+FD83-FM82,IF(A83&lt;'Données projet'!$A$218,$FB$205^A83,IF(A83='Données projet'!$A$218,'Données projet'!$B$218,FE82+FD83-FM82)))</f>
        <v>341.29999999999995</v>
      </c>
      <c r="FF83" s="18">
        <f>FE83*VLOOKUP('Données projet'!$B$16,Paramètres!$A$1:$I$89,3,0)*VLOOKUP('Données projet'!$B$16,Paramètres!$A$1:$I$89,5,0)</f>
        <v>250.24115999999998</v>
      </c>
      <c r="FG83" s="14">
        <f t="shared" si="101"/>
        <v>60.637578738550481</v>
      </c>
      <c r="FH83" s="22">
        <f t="shared" si="76"/>
        <v>541.44713663630864</v>
      </c>
      <c r="FI83" s="60">
        <f t="shared" si="77"/>
        <v>812.1757482749947</v>
      </c>
      <c r="FJ83" s="60">
        <f ca="1">AVERAGE(OFFSET($FI$3,0,0,'Données projet'!$E$16+1,1))-AVERAGE(OFFSET($H$3,0,0,'Données projet'!$E$16+1,1))</f>
        <v>368.35775920359396</v>
      </c>
      <c r="FK83" s="60">
        <f t="shared" si="102"/>
        <v>395.5218438652638</v>
      </c>
      <c r="FL83" s="16">
        <f>IF(ISNA(VLOOKUP(A83,'Données projet'!$A$217:$I$237,3,0)),0,VLOOKUP(A83,'Données projet'!$A$217:$I$237,3,0))</f>
        <v>7</v>
      </c>
      <c r="FM83" s="16">
        <f>IF(ISNA(VLOOKUP(A83,'Données projet'!$A$217:$I$237,4,0)),0,VLOOKUP(A83,'Données projet'!$A$217:$I$237,4,0))</f>
        <v>341.3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424</v>
      </c>
      <c r="FX83" s="13">
        <f>VLOOKUP(A83,'Données projet'!$A$243:$I$263,9,0)</f>
        <v>10.4</v>
      </c>
      <c r="FY83" s="13">
        <f t="array" ref="FY83">INDEX(FX:FX,MIN(IF(ISNUMBER(FX83:FX279),ROW(FX83:FX279),"")))</f>
        <v>10.4</v>
      </c>
      <c r="FZ83" s="13">
        <f>IF('Données projet'!$A$244&gt;35,FZ82+FY83-GH82,IF(A83&lt;'Données projet'!$A$244,$FW$205^A83,IF(A83='Données projet'!$A$244,'Données projet'!$B$244,FZ82+FY83-GH82)))</f>
        <v>423.99999999999989</v>
      </c>
      <c r="GA83" s="18">
        <f>FZ83*VLOOKUP('Données projet'!$B$17,Paramètres!$A$1:$I$89,3,0)*VLOOKUP('Données projet'!$B$17,Paramètres!$A$1:$I$89,5,0)</f>
        <v>363.79199999999997</v>
      </c>
      <c r="GB83" s="14">
        <f t="shared" si="103"/>
        <v>84.396007741478684</v>
      </c>
      <c r="GC83" s="22">
        <f t="shared" si="79"/>
        <v>780.59411348307538</v>
      </c>
      <c r="GD83" s="60">
        <f t="shared" si="80"/>
        <v>1051.3227251217616</v>
      </c>
      <c r="GE83" s="60">
        <f ca="1">AVERAGE(OFFSET($GD$3,0,0,'Données projet'!$E$17+1,1))-AVERAGE(OFFSET($H$3,0,0,'Données projet'!$E$17+1,1))</f>
        <v>701.44583662096022</v>
      </c>
      <c r="GF83" s="60">
        <f t="shared" si="104"/>
        <v>331.25104323342907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-1.1368683772161603E-13</v>
      </c>
      <c r="GV83" s="18">
        <f>GU83*VLOOKUP('Données projet'!$B$18,Paramètres!$A$1:$I$89,3,0)*VLOOKUP('Données projet'!$B$18,Paramètres!$A$1:$I$89,5,0)</f>
        <v>-9.2222762759774927E-14</v>
      </c>
      <c r="GW83" s="14" t="e">
        <f t="shared" si="105"/>
        <v>#NUM!</v>
      </c>
      <c r="GX83" s="22" t="e">
        <f t="shared" si="82"/>
        <v>#NUM!</v>
      </c>
      <c r="GY83" s="60" t="e">
        <f t="shared" si="83"/>
        <v>#NUM!</v>
      </c>
      <c r="GZ83" s="60">
        <f ca="1">AVERAGE(OFFSET($GY$3,0,0,'Données projet'!$E$18+1,1))-AVERAGE(OFFSET($H$3,0,0,'Données projet'!$E$18+1,1))</f>
        <v>272.69564942740931</v>
      </c>
      <c r="HA83" s="60">
        <f t="shared" si="106"/>
        <v>316.57989180609252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25">
      <c r="A84" s="11">
        <f t="shared" si="85"/>
        <v>81</v>
      </c>
      <c r="B84" s="75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8">
        <f t="shared" si="56"/>
        <v>183.33333333333334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6.6</v>
      </c>
      <c r="N84" s="14">
        <f>IF('Données projet'!$A$36&gt;35,N83+M84-V83,IF(A84&lt;'Données projet'!$A$36,$K$205^A84,IF(A84='Données projet'!$A$36,'Données projet'!$B$36,N83+M84-V83)))</f>
        <v>326.60000000000002</v>
      </c>
      <c r="O84" s="14">
        <f>N84*VLOOKUP('Données projet'!$B$9,Paramètres!$A$1:$I$89,3,0)*VLOOKUP('Données projet'!$B$9,Paramètres!$A$1:$I$89,5,0)</f>
        <v>295.50767999999999</v>
      </c>
      <c r="P84" s="14">
        <f t="shared" si="87"/>
        <v>70.233875285761272</v>
      </c>
      <c r="Q84" s="22">
        <f t="shared" si="54"/>
        <v>636.99987545603415</v>
      </c>
      <c r="R84" s="60">
        <f t="shared" si="55"/>
        <v>908.12062847953553</v>
      </c>
      <c r="S84" s="60">
        <f ca="1">AVERAGE(OFFSET($R$3,0,0,'Données projet'!$E$9+1,1))-AVERAGE(OFFSET($H$3,0,0,'Données projet'!$E$9+1,1))</f>
        <v>570.08763950759544</v>
      </c>
      <c r="T84" s="60">
        <f t="shared" si="88"/>
        <v>297.32483725004136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-5.6843418860808015E-14</v>
      </c>
      <c r="AJ84" s="14">
        <f>AI84*VLOOKUP('Données projet'!$B$10,Paramètres!$A$1:$I$89,3,0)*VLOOKUP('Données projet'!$B$10,Paramètres!$A$1:$I$89,5,0)</f>
        <v>-4.5224624045658861E-14</v>
      </c>
      <c r="AK84" s="14" t="e">
        <f t="shared" si="89"/>
        <v>#NUM!</v>
      </c>
      <c r="AL84" s="22" t="e">
        <f t="shared" si="58"/>
        <v>#NUM!</v>
      </c>
      <c r="AM84" s="60" t="e">
        <f t="shared" si="59"/>
        <v>#NUM!</v>
      </c>
      <c r="AN84" s="60">
        <f ca="1">AVERAGE(OFFSET($AM$3,0,0,'Données projet'!$E$10+1,1))-AVERAGE(OFFSET($H$3,0,0,'Données projet'!$E$10+1,1))</f>
        <v>394.49874384716014</v>
      </c>
      <c r="AO84" s="60">
        <f t="shared" si="90"/>
        <v>423.72519584013378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4.2307692307692264</v>
      </c>
      <c r="BD84" s="13">
        <f>IF('Données projet'!$A$88&gt;35,BD83+BC84-BL83,IF(A84&lt;'Données projet'!$A$88,$BA$205^A84,IF(A84='Données projet'!$A$88,'Données projet'!$B$88,BD83+BC84-BL83)))</f>
        <v>241.41025641025632</v>
      </c>
      <c r="BE84" s="14">
        <f>BD84*VLOOKUP('Données projet'!$B$11,Paramètres!$A$1:$I$89,3,0)*VLOOKUP('Données projet'!$B$11,Paramètres!$A$1:$I$89,5,0)</f>
        <v>229.72599999999991</v>
      </c>
      <c r="BF84" s="14">
        <f t="shared" si="91"/>
        <v>56.223432215495727</v>
      </c>
      <c r="BG84" s="22">
        <f t="shared" si="61"/>
        <v>498.02859444198822</v>
      </c>
      <c r="BH84" s="60">
        <f t="shared" si="62"/>
        <v>769.14934746548965</v>
      </c>
      <c r="BI84" s="60">
        <f ca="1">AVERAGE(OFFSET($BH$3,0,0,'Données projet'!$E$11+1,1))-AVERAGE(OFFSET($H$3,0,0,'Données projet'!$E$11+1,1))</f>
        <v>441.15969139782891</v>
      </c>
      <c r="BJ84" s="60">
        <f t="shared" si="92"/>
        <v>315.06466790224783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1.1368683772161603E-13</v>
      </c>
      <c r="BZ84" s="14">
        <f>BY84*VLOOKUP('Données projet'!$B$12,Paramètres!$A$1:$I$89,3,0)*VLOOKUP('Données projet'!$B$12,Paramètres!$A$1:$I$89,5,0)</f>
        <v>8.8675733422860506E-14</v>
      </c>
      <c r="CA84" s="14">
        <f t="shared" si="93"/>
        <v>1.3509285393066301E-12</v>
      </c>
      <c r="CB84" s="22">
        <f t="shared" si="64"/>
        <v>2.5073107750038623E-12</v>
      </c>
      <c r="CC84" s="60">
        <f t="shared" si="65"/>
        <v>271.12075302350394</v>
      </c>
      <c r="CD84" s="60">
        <f ca="1">AVERAGE(OFFSET($CC$3,0,0,'Données projet'!$E$12+1,1))-AVERAGE(OFFSET($H$3,0,0,'Données projet'!$E$12+1,1))</f>
        <v>312.59632808777332</v>
      </c>
      <c r="CE84" s="60">
        <f t="shared" si="94"/>
        <v>302.59481222418219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6.6</v>
      </c>
      <c r="CT84" s="13">
        <f>IF('Données projet'!$A$140&gt;35,CT83+CS84-DB83,IF(A84&lt;'Données projet'!$A$140,$CQ$205^A84,IF(A84='Données projet'!$A$140,'Données projet'!$B$140,CT83+CS84-DB83)))</f>
        <v>326.60000000000002</v>
      </c>
      <c r="CU84" s="18">
        <f>CT84*VLOOKUP('Données projet'!$B$13,Paramètres!$A$1:$I$89,3,0)*VLOOKUP('Données projet'!$B$13,Paramètres!$A$1:$I$89,5,0)</f>
        <v>315.88752000000005</v>
      </c>
      <c r="CV84" s="14">
        <f t="shared" si="95"/>
        <v>74.497029125126971</v>
      </c>
      <c r="CW84" s="22">
        <f t="shared" si="67"/>
        <v>679.91975639292957</v>
      </c>
      <c r="CX84" s="60">
        <f t="shared" si="68"/>
        <v>951.04050941643095</v>
      </c>
      <c r="CY84" s="60">
        <f ca="1">AVERAGE(OFFSET($CX$3,0,0,'Données projet'!$E$13+1,1))-AVERAGE(OFFSET($H$3,0,0,'Données projet'!$E$13+1,1))</f>
        <v>603.52431522262032</v>
      </c>
      <c r="CZ84" s="60">
        <f t="shared" si="96"/>
        <v>313.56299786481338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6.6</v>
      </c>
      <c r="DO84" s="13">
        <f>IF('Données projet'!$A$166&gt;35,DO83+DN84-DW83,IF(A84&lt;'Données projet'!$A$166,$DL$205^A84,IF(A84='Données projet'!$A$166,'Données projet'!$B$166,DO83+DN84-DW83)))</f>
        <v>326.60000000000002</v>
      </c>
      <c r="DP84" s="18">
        <f>DO84*VLOOKUP('Données projet'!$B$14,Paramètres!$A$1:$I$89,3,0)*VLOOKUP('Données projet'!$B$14,Paramètres!$A$1:$I$89,5,0)</f>
        <v>351.55223999999998</v>
      </c>
      <c r="DQ84" s="14">
        <f t="shared" si="97"/>
        <v>81.882051211276703</v>
      </c>
      <c r="DR84" s="22">
        <f t="shared" si="70"/>
        <v>754.89805719297362</v>
      </c>
      <c r="DS84" s="60">
        <f t="shared" si="71"/>
        <v>1026.018810216475</v>
      </c>
      <c r="DT84" s="60">
        <f ca="1">AVERAGE(OFFSET($DS$3,0,0,'Données projet'!$E$14+1,1))-AVERAGE(OFFSET($H$3,0,0,'Données projet'!$E$14+1,1))</f>
        <v>661.93515988633499</v>
      </c>
      <c r="DU84" s="60">
        <f t="shared" si="98"/>
        <v>341.9250949809848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4.4871794871794917</v>
      </c>
      <c r="EJ84" s="13">
        <f>IF('Données projet'!$A$192&gt;35,EJ83+EI84-ER83,IF(A84&lt;'Données projet'!$A$192,$EG$205^A84,IF(A84='Données projet'!$A$192,'Données projet'!$B$192,EJ83+EI84-ER83)))</f>
        <v>302.56410256410254</v>
      </c>
      <c r="EK84" s="18">
        <f>EJ84*VLOOKUP('Données projet'!$B$15,Paramètres!$A$1:$I$89,3,0)*VLOOKUP('Données projet'!$B$15,Paramètres!$A$1:$I$89,5,0)</f>
        <v>202.95999999999998</v>
      </c>
      <c r="EL84" s="14">
        <f t="shared" si="99"/>
        <v>50.394128866673796</v>
      </c>
      <c r="EM84" s="22">
        <f t="shared" si="73"/>
        <v>441.25844110945678</v>
      </c>
      <c r="EN84" s="60">
        <f t="shared" si="74"/>
        <v>712.37919413295822</v>
      </c>
      <c r="EO84" s="60">
        <f ca="1">AVERAGE(OFFSET($EN$3,0,0,'Données projet'!$E$15+1,1))-AVERAGE(OFFSET($H$3,0,0,'Données projet'!$E$15+1,1))</f>
        <v>396.0878652679051</v>
      </c>
      <c r="EP84" s="60">
        <f t="shared" si="100"/>
        <v>327.26339199235406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-5.6843418860808015E-14</v>
      </c>
      <c r="FF84" s="18">
        <f>FE84*VLOOKUP('Données projet'!$B$16,Paramètres!$A$1:$I$89,3,0)*VLOOKUP('Données projet'!$B$16,Paramètres!$A$1:$I$89,5,0)</f>
        <v>-4.1677594708744434E-14</v>
      </c>
      <c r="FG84" s="14" t="e">
        <f t="shared" si="101"/>
        <v>#NUM!</v>
      </c>
      <c r="FH84" s="22" t="e">
        <f t="shared" si="76"/>
        <v>#NUM!</v>
      </c>
      <c r="FI84" s="60" t="e">
        <f t="shared" si="77"/>
        <v>#NUM!</v>
      </c>
      <c r="FJ84" s="60">
        <f ca="1">AVERAGE(OFFSET($FI$3,0,0,'Données projet'!$E$16+1,1))-AVERAGE(OFFSET($H$3,0,0,'Données projet'!$E$16+1,1))</f>
        <v>368.35775920359396</v>
      </c>
      <c r="FK84" s="60">
        <f t="shared" si="102"/>
        <v>395.5218438652638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9.6</v>
      </c>
      <c r="FZ84" s="13">
        <f>IF('Données projet'!$A$244&gt;35,FZ83+FY84-GH83,IF(A84&lt;'Données projet'!$A$244,$FW$205^A84,IF(A84='Données projet'!$A$244,'Données projet'!$B$244,FZ83+FY84-GH83)))</f>
        <v>433.59999999999991</v>
      </c>
      <c r="GA84" s="18">
        <f>FZ84*VLOOKUP('Données projet'!$B$17,Paramètres!$A$1:$I$89,3,0)*VLOOKUP('Données projet'!$B$17,Paramètres!$A$1:$I$89,5,0)</f>
        <v>372.02879999999993</v>
      </c>
      <c r="GB84" s="14">
        <f t="shared" si="103"/>
        <v>86.082231077580573</v>
      </c>
      <c r="GC84" s="22">
        <f t="shared" si="79"/>
        <v>797.87671246011939</v>
      </c>
      <c r="GD84" s="60">
        <f t="shared" si="80"/>
        <v>1068.9974654836208</v>
      </c>
      <c r="GE84" s="60">
        <f ca="1">AVERAGE(OFFSET($GD$3,0,0,'Données projet'!$E$17+1,1))-AVERAGE(OFFSET($H$3,0,0,'Données projet'!$E$17+1,1))</f>
        <v>701.44583662096022</v>
      </c>
      <c r="GF84" s="60">
        <f t="shared" si="104"/>
        <v>331.25104323342907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-1.1368683772161603E-13</v>
      </c>
      <c r="GV84" s="18">
        <f>GU84*VLOOKUP('Données projet'!$B$18,Paramètres!$A$1:$I$89,3,0)*VLOOKUP('Données projet'!$B$18,Paramètres!$A$1:$I$89,5,0)</f>
        <v>-9.2222762759774927E-14</v>
      </c>
      <c r="GW84" s="14" t="e">
        <f t="shared" si="105"/>
        <v>#NUM!</v>
      </c>
      <c r="GX84" s="22" t="e">
        <f t="shared" si="82"/>
        <v>#NUM!</v>
      </c>
      <c r="GY84" s="60" t="e">
        <f t="shared" si="83"/>
        <v>#NUM!</v>
      </c>
      <c r="GZ84" s="60">
        <f ca="1">AVERAGE(OFFSET($GY$3,0,0,'Données projet'!$E$18+1,1))-AVERAGE(OFFSET($H$3,0,0,'Données projet'!$E$18+1,1))</f>
        <v>272.69564942740931</v>
      </c>
      <c r="HA84" s="60">
        <f t="shared" si="106"/>
        <v>316.57989180609252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25">
      <c r="A85" s="11">
        <f t="shared" si="85"/>
        <v>82</v>
      </c>
      <c r="B85" s="75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8">
        <f t="shared" si="56"/>
        <v>183.33333333333334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6.6</v>
      </c>
      <c r="N85" s="14">
        <f>IF('Données projet'!$A$36&gt;35,N84+M85-V84,IF(A85&lt;'Données projet'!$A$36,$K$205^A85,IF(A85='Données projet'!$A$36,'Données projet'!$B$36,N84+M85-V84)))</f>
        <v>333.20000000000005</v>
      </c>
      <c r="O85" s="14">
        <f>N85*VLOOKUP('Données projet'!$B$9,Paramètres!$A$1:$I$89,3,0)*VLOOKUP('Données projet'!$B$9,Paramètres!$A$1:$I$89,5,0)</f>
        <v>301.47935999999999</v>
      </c>
      <c r="P85" s="14">
        <f t="shared" si="87"/>
        <v>71.486505311225272</v>
      </c>
      <c r="Q85" s="22">
        <f t="shared" si="54"/>
        <v>649.58221541705063</v>
      </c>
      <c r="R85" s="60">
        <f t="shared" si="55"/>
        <v>921.08830704903767</v>
      </c>
      <c r="S85" s="60">
        <f ca="1">AVERAGE(OFFSET($R$3,0,0,'Données projet'!$E$9+1,1))-AVERAGE(OFFSET($H$3,0,0,'Données projet'!$E$9+1,1))</f>
        <v>570.08763950759544</v>
      </c>
      <c r="T85" s="60">
        <f t="shared" si="88"/>
        <v>297.32483725004136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-5.6843418860808015E-14</v>
      </c>
      <c r="AJ85" s="14">
        <f>AI85*VLOOKUP('Données projet'!$B$10,Paramètres!$A$1:$I$89,3,0)*VLOOKUP('Données projet'!$B$10,Paramètres!$A$1:$I$89,5,0)</f>
        <v>-4.5224624045658861E-14</v>
      </c>
      <c r="AK85" s="14" t="e">
        <f t="shared" si="89"/>
        <v>#NUM!</v>
      </c>
      <c r="AL85" s="22" t="e">
        <f t="shared" si="58"/>
        <v>#NUM!</v>
      </c>
      <c r="AM85" s="60" t="e">
        <f t="shared" si="59"/>
        <v>#NUM!</v>
      </c>
      <c r="AN85" s="60">
        <f ca="1">AVERAGE(OFFSET($AM$3,0,0,'Données projet'!$E$10+1,1))-AVERAGE(OFFSET($H$3,0,0,'Données projet'!$E$10+1,1))</f>
        <v>394.49874384716014</v>
      </c>
      <c r="AO85" s="60">
        <f t="shared" si="90"/>
        <v>423.72519584013378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4.2307692307692264</v>
      </c>
      <c r="BD85" s="13">
        <f>IF('Données projet'!$A$88&gt;35,BD84+BC85-BL84,IF(A85&lt;'Données projet'!$A$88,$BA$205^A85,IF(A85='Données projet'!$A$88,'Données projet'!$B$88,BD84+BC85-BL84)))</f>
        <v>245.64102564102555</v>
      </c>
      <c r="BE85" s="14">
        <f>BD85*VLOOKUP('Données projet'!$B$11,Paramètres!$A$1:$I$89,3,0)*VLOOKUP('Données projet'!$B$11,Paramètres!$A$1:$I$89,5,0)</f>
        <v>233.75199999999992</v>
      </c>
      <c r="BF85" s="14">
        <f t="shared" si="91"/>
        <v>57.093186053402</v>
      </c>
      <c r="BG85" s="22">
        <f t="shared" si="61"/>
        <v>506.55536570967496</v>
      </c>
      <c r="BH85" s="60">
        <f t="shared" si="62"/>
        <v>778.06145734166194</v>
      </c>
      <c r="BI85" s="60">
        <f ca="1">AVERAGE(OFFSET($BH$3,0,0,'Données projet'!$E$11+1,1))-AVERAGE(OFFSET($H$3,0,0,'Données projet'!$E$11+1,1))</f>
        <v>441.15969139782891</v>
      </c>
      <c r="BJ85" s="60">
        <f t="shared" si="92"/>
        <v>315.06466790224783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1.1368683772161603E-13</v>
      </c>
      <c r="BZ85" s="14">
        <f>BY85*VLOOKUP('Données projet'!$B$12,Paramètres!$A$1:$I$89,3,0)*VLOOKUP('Données projet'!$B$12,Paramètres!$A$1:$I$89,5,0)</f>
        <v>8.8675733422860506E-14</v>
      </c>
      <c r="CA85" s="14">
        <f t="shared" si="93"/>
        <v>1.3509285393066301E-12</v>
      </c>
      <c r="CB85" s="22">
        <f t="shared" si="64"/>
        <v>2.5073107750038623E-12</v>
      </c>
      <c r="CC85" s="60">
        <f t="shared" si="65"/>
        <v>271.50609163198953</v>
      </c>
      <c r="CD85" s="60">
        <f ca="1">AVERAGE(OFFSET($CC$3,0,0,'Données projet'!$E$12+1,1))-AVERAGE(OFFSET($H$3,0,0,'Données projet'!$E$12+1,1))</f>
        <v>312.59632808777332</v>
      </c>
      <c r="CE85" s="60">
        <f t="shared" si="94"/>
        <v>302.59481222418219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6.6</v>
      </c>
      <c r="CT85" s="13">
        <f>IF('Données projet'!$A$140&gt;35,CT84+CS85-DB84,IF(A85&lt;'Données projet'!$A$140,$CQ$205^A85,IF(A85='Données projet'!$A$140,'Données projet'!$B$140,CT84+CS85-DB84)))</f>
        <v>333.20000000000005</v>
      </c>
      <c r="CU85" s="18">
        <f>CT85*VLOOKUP('Données projet'!$B$13,Paramètres!$A$1:$I$89,3,0)*VLOOKUP('Données projet'!$B$13,Paramètres!$A$1:$I$89,5,0)</f>
        <v>322.27104000000008</v>
      </c>
      <c r="CV85" s="14">
        <f t="shared" si="95"/>
        <v>75.825693037097167</v>
      </c>
      <c r="CW85" s="22">
        <f t="shared" si="67"/>
        <v>693.35181003961088</v>
      </c>
      <c r="CX85" s="60">
        <f t="shared" si="68"/>
        <v>964.85790167159792</v>
      </c>
      <c r="CY85" s="60">
        <f ca="1">AVERAGE(OFFSET($CX$3,0,0,'Données projet'!$E$13+1,1))-AVERAGE(OFFSET($H$3,0,0,'Données projet'!$E$13+1,1))</f>
        <v>603.52431522262032</v>
      </c>
      <c r="CZ85" s="60">
        <f t="shared" si="96"/>
        <v>313.56299786481338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6.6</v>
      </c>
      <c r="DO85" s="13">
        <f>IF('Données projet'!$A$166&gt;35,DO84+DN85-DW84,IF(A85&lt;'Données projet'!$A$166,$DL$205^A85,IF(A85='Données projet'!$A$166,'Données projet'!$B$166,DO84+DN85-DW84)))</f>
        <v>333.20000000000005</v>
      </c>
      <c r="DP85" s="18">
        <f>DO85*VLOOKUP('Données projet'!$B$14,Paramètres!$A$1:$I$89,3,0)*VLOOKUP('Données projet'!$B$14,Paramètres!$A$1:$I$89,5,0)</f>
        <v>358.65648000000004</v>
      </c>
      <c r="DQ85" s="14">
        <f t="shared" si="97"/>
        <v>83.342427923746399</v>
      </c>
      <c r="DR85" s="22">
        <f t="shared" si="70"/>
        <v>769.81476463385832</v>
      </c>
      <c r="DS85" s="60">
        <f t="shared" si="71"/>
        <v>1041.3208562658454</v>
      </c>
      <c r="DT85" s="60">
        <f ca="1">AVERAGE(OFFSET($DS$3,0,0,'Données projet'!$E$14+1,1))-AVERAGE(OFFSET($H$3,0,0,'Données projet'!$E$14+1,1))</f>
        <v>661.93515988633499</v>
      </c>
      <c r="DU85" s="60">
        <f t="shared" si="98"/>
        <v>341.9250949809848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4.4871794871794917</v>
      </c>
      <c r="EJ85" s="13">
        <f>IF('Données projet'!$A$192&gt;35,EJ84+EI85-ER84,IF(A85&lt;'Données projet'!$A$192,$EG$205^A85,IF(A85='Données projet'!$A$192,'Données projet'!$B$192,EJ84+EI85-ER84)))</f>
        <v>307.05128205128204</v>
      </c>
      <c r="EK85" s="18">
        <f>EJ85*VLOOKUP('Données projet'!$B$15,Paramètres!$A$1:$I$89,3,0)*VLOOKUP('Données projet'!$B$15,Paramètres!$A$1:$I$89,5,0)</f>
        <v>205.97</v>
      </c>
      <c r="EL85" s="14">
        <f t="shared" si="99"/>
        <v>51.053938616003535</v>
      </c>
      <c r="EM85" s="22">
        <f t="shared" si="73"/>
        <v>447.65002642287277</v>
      </c>
      <c r="EN85" s="60">
        <f t="shared" si="74"/>
        <v>719.1561180548598</v>
      </c>
      <c r="EO85" s="60">
        <f ca="1">AVERAGE(OFFSET($EN$3,0,0,'Données projet'!$E$15+1,1))-AVERAGE(OFFSET($H$3,0,0,'Données projet'!$E$15+1,1))</f>
        <v>396.0878652679051</v>
      </c>
      <c r="EP85" s="60">
        <f t="shared" si="100"/>
        <v>327.26339199235406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-5.6843418860808015E-14</v>
      </c>
      <c r="FF85" s="18">
        <f>FE85*VLOOKUP('Données projet'!$B$16,Paramètres!$A$1:$I$89,3,0)*VLOOKUP('Données projet'!$B$16,Paramètres!$A$1:$I$89,5,0)</f>
        <v>-4.1677594708744434E-14</v>
      </c>
      <c r="FG85" s="14" t="e">
        <f t="shared" si="101"/>
        <v>#NUM!</v>
      </c>
      <c r="FH85" s="22" t="e">
        <f t="shared" si="76"/>
        <v>#NUM!</v>
      </c>
      <c r="FI85" s="60" t="e">
        <f t="shared" si="77"/>
        <v>#NUM!</v>
      </c>
      <c r="FJ85" s="60">
        <f ca="1">AVERAGE(OFFSET($FI$3,0,0,'Données projet'!$E$16+1,1))-AVERAGE(OFFSET($H$3,0,0,'Données projet'!$E$16+1,1))</f>
        <v>368.35775920359396</v>
      </c>
      <c r="FK85" s="60">
        <f t="shared" si="102"/>
        <v>395.5218438652638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9.6</v>
      </c>
      <c r="FZ85" s="13">
        <f>IF('Données projet'!$A$244&gt;35,FZ84+FY85-GH84,IF(A85&lt;'Données projet'!$A$244,$FW$205^A85,IF(A85='Données projet'!$A$244,'Données projet'!$B$244,FZ84+FY85-GH84)))</f>
        <v>443.19999999999993</v>
      </c>
      <c r="GA85" s="18">
        <f>FZ85*VLOOKUP('Données projet'!$B$17,Paramètres!$A$1:$I$89,3,0)*VLOOKUP('Données projet'!$B$17,Paramètres!$A$1:$I$89,5,0)</f>
        <v>380.26560000000001</v>
      </c>
      <c r="GB85" s="14">
        <f t="shared" si="103"/>
        <v>87.764114030778003</v>
      </c>
      <c r="GC85" s="22">
        <f t="shared" si="79"/>
        <v>815.15175193693824</v>
      </c>
      <c r="GD85" s="60">
        <f t="shared" si="80"/>
        <v>1086.6578435689253</v>
      </c>
      <c r="GE85" s="60">
        <f ca="1">AVERAGE(OFFSET($GD$3,0,0,'Données projet'!$E$17+1,1))-AVERAGE(OFFSET($H$3,0,0,'Données projet'!$E$17+1,1))</f>
        <v>701.44583662096022</v>
      </c>
      <c r="GF85" s="60">
        <f t="shared" si="104"/>
        <v>331.25104323342907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-1.1368683772161603E-13</v>
      </c>
      <c r="GV85" s="18">
        <f>GU85*VLOOKUP('Données projet'!$B$18,Paramètres!$A$1:$I$89,3,0)*VLOOKUP('Données projet'!$B$18,Paramètres!$A$1:$I$89,5,0)</f>
        <v>-9.2222762759774927E-14</v>
      </c>
      <c r="GW85" s="14" t="e">
        <f t="shared" si="105"/>
        <v>#NUM!</v>
      </c>
      <c r="GX85" s="22" t="e">
        <f t="shared" si="82"/>
        <v>#NUM!</v>
      </c>
      <c r="GY85" s="60" t="e">
        <f t="shared" si="83"/>
        <v>#NUM!</v>
      </c>
      <c r="GZ85" s="60">
        <f ca="1">AVERAGE(OFFSET($GY$3,0,0,'Données projet'!$E$18+1,1))-AVERAGE(OFFSET($H$3,0,0,'Données projet'!$E$18+1,1))</f>
        <v>272.69564942740931</v>
      </c>
      <c r="HA85" s="60">
        <f t="shared" si="106"/>
        <v>316.57989180609252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25">
      <c r="A86" s="11">
        <f t="shared" si="85"/>
        <v>83</v>
      </c>
      <c r="B86" s="75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8">
        <f t="shared" si="56"/>
        <v>183.33333333333334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6.6</v>
      </c>
      <c r="N86" s="14">
        <f>IF('Données projet'!$A$36&gt;35,N85+M86-V85,IF(A86&lt;'Données projet'!$A$36,$K$205^A86,IF(A86='Données projet'!$A$36,'Données projet'!$B$36,N85+M86-V85)))</f>
        <v>339.80000000000007</v>
      </c>
      <c r="O86" s="14">
        <f>N86*VLOOKUP('Données projet'!$B$9,Paramètres!$A$1:$I$89,3,0)*VLOOKUP('Données projet'!$B$9,Paramètres!$A$1:$I$89,5,0)</f>
        <v>307.45104000000003</v>
      </c>
      <c r="P86" s="14">
        <f t="shared" si="87"/>
        <v>72.736250347470119</v>
      </c>
      <c r="Q86" s="22">
        <f t="shared" si="54"/>
        <v>662.15953068851047</v>
      </c>
      <c r="R86" s="60">
        <f t="shared" si="55"/>
        <v>934.04427616561395</v>
      </c>
      <c r="S86" s="60">
        <f ca="1">AVERAGE(OFFSET($R$3,0,0,'Données projet'!$E$9+1,1))-AVERAGE(OFFSET($H$3,0,0,'Données projet'!$E$9+1,1))</f>
        <v>570.08763950759544</v>
      </c>
      <c r="T86" s="60">
        <f t="shared" si="88"/>
        <v>297.32483725004136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-5.6843418860808015E-14</v>
      </c>
      <c r="AJ86" s="14">
        <f>AI86*VLOOKUP('Données projet'!$B$10,Paramètres!$A$1:$I$89,3,0)*VLOOKUP('Données projet'!$B$10,Paramètres!$A$1:$I$89,5,0)</f>
        <v>-4.5224624045658861E-14</v>
      </c>
      <c r="AK86" s="14" t="e">
        <f t="shared" si="89"/>
        <v>#NUM!</v>
      </c>
      <c r="AL86" s="22" t="e">
        <f t="shared" si="58"/>
        <v>#NUM!</v>
      </c>
      <c r="AM86" s="60" t="e">
        <f t="shared" si="59"/>
        <v>#NUM!</v>
      </c>
      <c r="AN86" s="60">
        <f ca="1">AVERAGE(OFFSET($AM$3,0,0,'Données projet'!$E$10+1,1))-AVERAGE(OFFSET($H$3,0,0,'Données projet'!$E$10+1,1))</f>
        <v>394.49874384716014</v>
      </c>
      <c r="AO86" s="60">
        <f t="shared" si="90"/>
        <v>423.72519584013378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4.2307692307692264</v>
      </c>
      <c r="BD86" s="13">
        <f>IF('Données projet'!$A$88&gt;35,BD85+BC86-BL85,IF(A86&lt;'Données projet'!$A$88,$BA$205^A86,IF(A86='Données projet'!$A$88,'Données projet'!$B$88,BD85+BC86-BL85)))</f>
        <v>249.87179487179478</v>
      </c>
      <c r="BE86" s="14">
        <f>BD86*VLOOKUP('Données projet'!$B$11,Paramètres!$A$1:$I$89,3,0)*VLOOKUP('Données projet'!$B$11,Paramètres!$A$1:$I$89,5,0)</f>
        <v>237.77799999999993</v>
      </c>
      <c r="BF86" s="14">
        <f t="shared" si="91"/>
        <v>57.961197863009076</v>
      </c>
      <c r="BG86" s="22">
        <f t="shared" si="61"/>
        <v>515.07910294474061</v>
      </c>
      <c r="BH86" s="60">
        <f t="shared" si="62"/>
        <v>786.96384842184409</v>
      </c>
      <c r="BI86" s="60">
        <f ca="1">AVERAGE(OFFSET($BH$3,0,0,'Données projet'!$E$11+1,1))-AVERAGE(OFFSET($H$3,0,0,'Données projet'!$E$11+1,1))</f>
        <v>441.15969139782891</v>
      </c>
      <c r="BJ86" s="60">
        <f t="shared" si="92"/>
        <v>315.06466790224783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1.1368683772161603E-13</v>
      </c>
      <c r="BZ86" s="14">
        <f>BY86*VLOOKUP('Données projet'!$B$12,Paramètres!$A$1:$I$89,3,0)*VLOOKUP('Données projet'!$B$12,Paramètres!$A$1:$I$89,5,0)</f>
        <v>8.8675733422860506E-14</v>
      </c>
      <c r="CA86" s="14">
        <f t="shared" si="93"/>
        <v>1.3509285393066301E-12</v>
      </c>
      <c r="CB86" s="22">
        <f t="shared" si="64"/>
        <v>2.5073107750038623E-12</v>
      </c>
      <c r="CC86" s="60">
        <f t="shared" si="65"/>
        <v>271.88474547710598</v>
      </c>
      <c r="CD86" s="60">
        <f ca="1">AVERAGE(OFFSET($CC$3,0,0,'Données projet'!$E$12+1,1))-AVERAGE(OFFSET($H$3,0,0,'Données projet'!$E$12+1,1))</f>
        <v>312.59632808777332</v>
      </c>
      <c r="CE86" s="60">
        <f t="shared" si="94"/>
        <v>302.59481222418219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6.6</v>
      </c>
      <c r="CT86" s="13">
        <f>IF('Données projet'!$A$140&gt;35,CT85+CS86-DB85,IF(A86&lt;'Données projet'!$A$140,$CQ$205^A86,IF(A86='Données projet'!$A$140,'Données projet'!$B$140,CT85+CS86-DB85)))</f>
        <v>339.80000000000007</v>
      </c>
      <c r="CU86" s="18">
        <f>CT86*VLOOKUP('Données projet'!$B$13,Paramètres!$A$1:$I$89,3,0)*VLOOKUP('Données projet'!$B$13,Paramètres!$A$1:$I$89,5,0)</f>
        <v>328.65456000000006</v>
      </c>
      <c r="CV86" s="14">
        <f t="shared" si="95"/>
        <v>77.151296842743776</v>
      </c>
      <c r="CW86" s="22">
        <f t="shared" si="67"/>
        <v>706.77853400111223</v>
      </c>
      <c r="CX86" s="60">
        <f t="shared" si="68"/>
        <v>978.66327947821571</v>
      </c>
      <c r="CY86" s="60">
        <f ca="1">AVERAGE(OFFSET($CX$3,0,0,'Données projet'!$E$13+1,1))-AVERAGE(OFFSET($H$3,0,0,'Données projet'!$E$13+1,1))</f>
        <v>603.52431522262032</v>
      </c>
      <c r="CZ86" s="60">
        <f t="shared" si="96"/>
        <v>313.56299786481338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6.6</v>
      </c>
      <c r="DO86" s="13">
        <f>IF('Données projet'!$A$166&gt;35,DO85+DN86-DW85,IF(A86&lt;'Données projet'!$A$166,$DL$205^A86,IF(A86='Données projet'!$A$166,'Données projet'!$B$166,DO85+DN86-DW85)))</f>
        <v>339.80000000000007</v>
      </c>
      <c r="DP86" s="18">
        <f>DO86*VLOOKUP('Données projet'!$B$14,Paramètres!$A$1:$I$89,3,0)*VLOOKUP('Données projet'!$B$14,Paramètres!$A$1:$I$89,5,0)</f>
        <v>365.76072000000005</v>
      </c>
      <c r="DQ86" s="14">
        <f t="shared" si="97"/>
        <v>84.799441176147482</v>
      </c>
      <c r="DR86" s="22">
        <f t="shared" si="70"/>
        <v>784.72561404845692</v>
      </c>
      <c r="DS86" s="60">
        <f t="shared" si="71"/>
        <v>1056.6103595255604</v>
      </c>
      <c r="DT86" s="60">
        <f ca="1">AVERAGE(OFFSET($DS$3,0,0,'Données projet'!$E$14+1,1))-AVERAGE(OFFSET($H$3,0,0,'Données projet'!$E$14+1,1))</f>
        <v>661.93515988633499</v>
      </c>
      <c r="DU86" s="60">
        <f t="shared" si="98"/>
        <v>341.9250949809848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4.4871794871794917</v>
      </c>
      <c r="EJ86" s="13">
        <f>IF('Données projet'!$A$192&gt;35,EJ85+EI86-ER85,IF(A86&lt;'Données projet'!$A$192,$EG$205^A86,IF(A86='Données projet'!$A$192,'Données projet'!$B$192,EJ85+EI86-ER85)))</f>
        <v>311.53846153846155</v>
      </c>
      <c r="EK86" s="18">
        <f>EJ86*VLOOKUP('Données projet'!$B$15,Paramètres!$A$1:$I$89,3,0)*VLOOKUP('Données projet'!$B$15,Paramètres!$A$1:$I$89,5,0)</f>
        <v>208.98</v>
      </c>
      <c r="EL86" s="14">
        <f t="shared" si="99"/>
        <v>51.712626911871766</v>
      </c>
      <c r="EM86" s="22">
        <f t="shared" si="73"/>
        <v>454.03965853817658</v>
      </c>
      <c r="EN86" s="60">
        <f t="shared" si="74"/>
        <v>725.92440401528006</v>
      </c>
      <c r="EO86" s="60">
        <f ca="1">AVERAGE(OFFSET($EN$3,0,0,'Données projet'!$E$15+1,1))-AVERAGE(OFFSET($H$3,0,0,'Données projet'!$E$15+1,1))</f>
        <v>396.0878652679051</v>
      </c>
      <c r="EP86" s="60">
        <f t="shared" si="100"/>
        <v>327.26339199235406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-5.6843418860808015E-14</v>
      </c>
      <c r="FF86" s="18">
        <f>FE86*VLOOKUP('Données projet'!$B$16,Paramètres!$A$1:$I$89,3,0)*VLOOKUP('Données projet'!$B$16,Paramètres!$A$1:$I$89,5,0)</f>
        <v>-4.1677594708744434E-14</v>
      </c>
      <c r="FG86" s="14" t="e">
        <f t="shared" si="101"/>
        <v>#NUM!</v>
      </c>
      <c r="FH86" s="22" t="e">
        <f t="shared" si="76"/>
        <v>#NUM!</v>
      </c>
      <c r="FI86" s="60" t="e">
        <f t="shared" si="77"/>
        <v>#NUM!</v>
      </c>
      <c r="FJ86" s="60">
        <f ca="1">AVERAGE(OFFSET($FI$3,0,0,'Données projet'!$E$16+1,1))-AVERAGE(OFFSET($H$3,0,0,'Données projet'!$E$16+1,1))</f>
        <v>368.35775920359396</v>
      </c>
      <c r="FK86" s="60">
        <f t="shared" si="102"/>
        <v>395.5218438652638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9.6</v>
      </c>
      <c r="FZ86" s="13">
        <f>IF('Données projet'!$A$244&gt;35,FZ85+FY86-GH85,IF(A86&lt;'Données projet'!$A$244,$FW$205^A86,IF(A86='Données projet'!$A$244,'Données projet'!$B$244,FZ85+FY86-GH85)))</f>
        <v>452.79999999999995</v>
      </c>
      <c r="GA86" s="18">
        <f>FZ86*VLOOKUP('Données projet'!$B$17,Paramètres!$A$1:$I$89,3,0)*VLOOKUP('Données projet'!$B$17,Paramètres!$A$1:$I$89,5,0)</f>
        <v>388.50240000000002</v>
      </c>
      <c r="GB86" s="14">
        <f t="shared" si="103"/>
        <v>89.441761444345047</v>
      </c>
      <c r="GC86" s="22">
        <f t="shared" si="79"/>
        <v>832.41941451556761</v>
      </c>
      <c r="GD86" s="60">
        <f t="shared" si="80"/>
        <v>1104.304159992671</v>
      </c>
      <c r="GE86" s="60">
        <f ca="1">AVERAGE(OFFSET($GD$3,0,0,'Données projet'!$E$17+1,1))-AVERAGE(OFFSET($H$3,0,0,'Données projet'!$E$17+1,1))</f>
        <v>701.44583662096022</v>
      </c>
      <c r="GF86" s="60">
        <f t="shared" si="104"/>
        <v>331.25104323342907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-1.1368683772161603E-13</v>
      </c>
      <c r="GV86" s="18">
        <f>GU86*VLOOKUP('Données projet'!$B$18,Paramètres!$A$1:$I$89,3,0)*VLOOKUP('Données projet'!$B$18,Paramètres!$A$1:$I$89,5,0)</f>
        <v>-9.2222762759774927E-14</v>
      </c>
      <c r="GW86" s="14" t="e">
        <f t="shared" si="105"/>
        <v>#NUM!</v>
      </c>
      <c r="GX86" s="22" t="e">
        <f t="shared" si="82"/>
        <v>#NUM!</v>
      </c>
      <c r="GY86" s="60" t="e">
        <f t="shared" si="83"/>
        <v>#NUM!</v>
      </c>
      <c r="GZ86" s="60">
        <f ca="1">AVERAGE(OFFSET($GY$3,0,0,'Données projet'!$E$18+1,1))-AVERAGE(OFFSET($H$3,0,0,'Données projet'!$E$18+1,1))</f>
        <v>272.69564942740931</v>
      </c>
      <c r="HA86" s="60">
        <f t="shared" si="106"/>
        <v>316.57989180609252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25">
      <c r="A87" s="11">
        <f t="shared" si="85"/>
        <v>84</v>
      </c>
      <c r="B87" s="75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8">
        <f t="shared" si="56"/>
        <v>183.33333333333334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6.6</v>
      </c>
      <c r="N87" s="14">
        <f>IF('Données projet'!$A$36&gt;35,N86+M87-V86,IF(A87&lt;'Données projet'!$A$36,$K$205^A87,IF(A87='Données projet'!$A$36,'Données projet'!$B$36,N86+M87-V86)))</f>
        <v>346.40000000000009</v>
      </c>
      <c r="O87" s="14">
        <f>N87*VLOOKUP('Données projet'!$B$9,Paramètres!$A$1:$I$89,3,0)*VLOOKUP('Données projet'!$B$9,Paramètres!$A$1:$I$89,5,0)</f>
        <v>313.42272000000008</v>
      </c>
      <c r="P87" s="14">
        <f t="shared" si="87"/>
        <v>73.983172890008831</v>
      </c>
      <c r="Q87" s="22">
        <f t="shared" si="54"/>
        <v>674.73193011676551</v>
      </c>
      <c r="R87" s="60">
        <f t="shared" si="55"/>
        <v>946.98876064131582</v>
      </c>
      <c r="S87" s="60">
        <f ca="1">AVERAGE(OFFSET($R$3,0,0,'Données projet'!$E$9+1,1))-AVERAGE(OFFSET($H$3,0,0,'Données projet'!$E$9+1,1))</f>
        <v>570.08763950759544</v>
      </c>
      <c r="T87" s="60">
        <f t="shared" si="88"/>
        <v>297.32483725004136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-5.6843418860808015E-14</v>
      </c>
      <c r="AJ87" s="14">
        <f>AI87*VLOOKUP('Données projet'!$B$10,Paramètres!$A$1:$I$89,3,0)*VLOOKUP('Données projet'!$B$10,Paramètres!$A$1:$I$89,5,0)</f>
        <v>-4.5224624045658861E-14</v>
      </c>
      <c r="AK87" s="14" t="e">
        <f t="shared" si="89"/>
        <v>#NUM!</v>
      </c>
      <c r="AL87" s="22" t="e">
        <f t="shared" si="58"/>
        <v>#NUM!</v>
      </c>
      <c r="AM87" s="60" t="e">
        <f t="shared" si="59"/>
        <v>#NUM!</v>
      </c>
      <c r="AN87" s="60">
        <f ca="1">AVERAGE(OFFSET($AM$3,0,0,'Données projet'!$E$10+1,1))-AVERAGE(OFFSET($H$3,0,0,'Données projet'!$E$10+1,1))</f>
        <v>394.49874384716014</v>
      </c>
      <c r="AO87" s="60">
        <f t="shared" si="90"/>
        <v>423.72519584013378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4.2307692307692264</v>
      </c>
      <c r="BD87" s="13">
        <f>IF('Données projet'!$A$88&gt;35,BD86+BC87-BL86,IF(A87&lt;'Données projet'!$A$88,$BA$205^A87,IF(A87='Données projet'!$A$88,'Données projet'!$B$88,BD86+BC87-BL86)))</f>
        <v>254.102564102564</v>
      </c>
      <c r="BE87" s="14">
        <f>BD87*VLOOKUP('Données projet'!$B$11,Paramètres!$A$1:$I$89,3,0)*VLOOKUP('Données projet'!$B$11,Paramètres!$A$1:$I$89,5,0)</f>
        <v>241.80399999999992</v>
      </c>
      <c r="BF87" s="14">
        <f t="shared" si="91"/>
        <v>58.827500543950599</v>
      </c>
      <c r="BG87" s="22">
        <f t="shared" si="61"/>
        <v>523.59986344738036</v>
      </c>
      <c r="BH87" s="60">
        <f t="shared" si="62"/>
        <v>795.85669397193067</v>
      </c>
      <c r="BI87" s="60">
        <f ca="1">AVERAGE(OFFSET($BH$3,0,0,'Données projet'!$E$11+1,1))-AVERAGE(OFFSET($H$3,0,0,'Données projet'!$E$11+1,1))</f>
        <v>441.15969139782891</v>
      </c>
      <c r="BJ87" s="60">
        <f t="shared" si="92"/>
        <v>315.06466790224783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1.1368683772161603E-13</v>
      </c>
      <c r="BZ87" s="14">
        <f>BY87*VLOOKUP('Données projet'!$B$12,Paramètres!$A$1:$I$89,3,0)*VLOOKUP('Données projet'!$B$12,Paramètres!$A$1:$I$89,5,0)</f>
        <v>8.8675733422860506E-14</v>
      </c>
      <c r="CA87" s="14">
        <f t="shared" si="93"/>
        <v>1.3509285393066301E-12</v>
      </c>
      <c r="CB87" s="22">
        <f t="shared" si="64"/>
        <v>2.5073107750038623E-12</v>
      </c>
      <c r="CC87" s="60">
        <f t="shared" si="65"/>
        <v>272.25683052455281</v>
      </c>
      <c r="CD87" s="60">
        <f ca="1">AVERAGE(OFFSET($CC$3,0,0,'Données projet'!$E$12+1,1))-AVERAGE(OFFSET($H$3,0,0,'Données projet'!$E$12+1,1))</f>
        <v>312.59632808777332</v>
      </c>
      <c r="CE87" s="60">
        <f t="shared" si="94"/>
        <v>302.59481222418219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6.6</v>
      </c>
      <c r="CT87" s="13">
        <f>IF('Données projet'!$A$140&gt;35,CT86+CS87-DB86,IF(A87&lt;'Données projet'!$A$140,$CQ$205^A87,IF(A87='Données projet'!$A$140,'Données projet'!$B$140,CT86+CS87-DB86)))</f>
        <v>346.40000000000009</v>
      </c>
      <c r="CU87" s="18">
        <f>CT87*VLOOKUP('Données projet'!$B$13,Paramètres!$A$1:$I$89,3,0)*VLOOKUP('Données projet'!$B$13,Paramètres!$A$1:$I$89,5,0)</f>
        <v>335.03808000000009</v>
      </c>
      <c r="CV87" s="14">
        <f t="shared" si="95"/>
        <v>78.473906831019789</v>
      </c>
      <c r="CW87" s="22">
        <f t="shared" si="67"/>
        <v>720.20004373069298</v>
      </c>
      <c r="CX87" s="60">
        <f t="shared" si="68"/>
        <v>992.45687425524329</v>
      </c>
      <c r="CY87" s="60">
        <f ca="1">AVERAGE(OFFSET($CX$3,0,0,'Données projet'!$E$13+1,1))-AVERAGE(OFFSET($H$3,0,0,'Données projet'!$E$13+1,1))</f>
        <v>603.52431522262032</v>
      </c>
      <c r="CZ87" s="60">
        <f t="shared" si="96"/>
        <v>313.56299786481338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6.6</v>
      </c>
      <c r="DO87" s="13">
        <f>IF('Données projet'!$A$166&gt;35,DO86+DN87-DW86,IF(A87&lt;'Données projet'!$A$166,$DL$205^A87,IF(A87='Données projet'!$A$166,'Données projet'!$B$166,DO86+DN87-DW86)))</f>
        <v>346.40000000000009</v>
      </c>
      <c r="DP87" s="18">
        <f>DO87*VLOOKUP('Données projet'!$B$14,Paramètres!$A$1:$I$89,3,0)*VLOOKUP('Données projet'!$B$14,Paramètres!$A$1:$I$89,5,0)</f>
        <v>372.86496000000011</v>
      </c>
      <c r="DQ87" s="14">
        <f t="shared" si="97"/>
        <v>86.253163828773907</v>
      </c>
      <c r="DR87" s="22">
        <f t="shared" si="70"/>
        <v>799.63073233511477</v>
      </c>
      <c r="DS87" s="60">
        <f t="shared" si="71"/>
        <v>1071.8875628596652</v>
      </c>
      <c r="DT87" s="60">
        <f ca="1">AVERAGE(OFFSET($DS$3,0,0,'Données projet'!$E$14+1,1))-AVERAGE(OFFSET($H$3,0,0,'Données projet'!$E$14+1,1))</f>
        <v>661.93515988633499</v>
      </c>
      <c r="DU87" s="60">
        <f t="shared" si="98"/>
        <v>341.9250949809848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4.4871794871794917</v>
      </c>
      <c r="EJ87" s="13">
        <f>IF('Données projet'!$A$192&gt;35,EJ86+EI87-ER86,IF(A87&lt;'Données projet'!$A$192,$EG$205^A87,IF(A87='Données projet'!$A$192,'Données projet'!$B$192,EJ86+EI87-ER86)))</f>
        <v>316.02564102564105</v>
      </c>
      <c r="EK87" s="18">
        <f>EJ87*VLOOKUP('Données projet'!$B$15,Paramètres!$A$1:$I$89,3,0)*VLOOKUP('Données projet'!$B$15,Paramètres!$A$1:$I$89,5,0)</f>
        <v>211.99000000000004</v>
      </c>
      <c r="EL87" s="14">
        <f t="shared" si="99"/>
        <v>52.370211773211892</v>
      </c>
      <c r="EM87" s="22">
        <f t="shared" si="73"/>
        <v>460.42736883834408</v>
      </c>
      <c r="EN87" s="60">
        <f t="shared" si="74"/>
        <v>732.68419936289433</v>
      </c>
      <c r="EO87" s="60">
        <f ca="1">AVERAGE(OFFSET($EN$3,0,0,'Données projet'!$E$15+1,1))-AVERAGE(OFFSET($H$3,0,0,'Données projet'!$E$15+1,1))</f>
        <v>396.0878652679051</v>
      </c>
      <c r="EP87" s="60">
        <f t="shared" si="100"/>
        <v>327.26339199235406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-5.6843418860808015E-14</v>
      </c>
      <c r="FF87" s="18">
        <f>FE87*VLOOKUP('Données projet'!$B$16,Paramètres!$A$1:$I$89,3,0)*VLOOKUP('Données projet'!$B$16,Paramètres!$A$1:$I$89,5,0)</f>
        <v>-4.1677594708744434E-14</v>
      </c>
      <c r="FG87" s="14" t="e">
        <f t="shared" si="101"/>
        <v>#NUM!</v>
      </c>
      <c r="FH87" s="22" t="e">
        <f t="shared" si="76"/>
        <v>#NUM!</v>
      </c>
      <c r="FI87" s="60" t="e">
        <f t="shared" si="77"/>
        <v>#NUM!</v>
      </c>
      <c r="FJ87" s="60">
        <f ca="1">AVERAGE(OFFSET($FI$3,0,0,'Données projet'!$E$16+1,1))-AVERAGE(OFFSET($H$3,0,0,'Données projet'!$E$16+1,1))</f>
        <v>368.35775920359396</v>
      </c>
      <c r="FK87" s="60">
        <f t="shared" si="102"/>
        <v>395.5218438652638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9.6</v>
      </c>
      <c r="FZ87" s="13">
        <f>IF('Données projet'!$A$244&gt;35,FZ86+FY87-GH86,IF(A87&lt;'Données projet'!$A$244,$FW$205^A87,IF(A87='Données projet'!$A$244,'Données projet'!$B$244,FZ86+FY87-GH86)))</f>
        <v>462.4</v>
      </c>
      <c r="GA87" s="18">
        <f>FZ87*VLOOKUP('Données projet'!$B$17,Paramètres!$A$1:$I$89,3,0)*VLOOKUP('Données projet'!$B$17,Paramètres!$A$1:$I$89,5,0)</f>
        <v>396.73920000000004</v>
      </c>
      <c r="GB87" s="14">
        <f t="shared" si="103"/>
        <v>91.11527346191049</v>
      </c>
      <c r="GC87" s="22">
        <f t="shared" si="79"/>
        <v>849.67987461282746</v>
      </c>
      <c r="GD87" s="60">
        <f t="shared" si="80"/>
        <v>1121.9367051373779</v>
      </c>
      <c r="GE87" s="60">
        <f ca="1">AVERAGE(OFFSET($GD$3,0,0,'Données projet'!$E$17+1,1))-AVERAGE(OFFSET($H$3,0,0,'Données projet'!$E$17+1,1))</f>
        <v>701.44583662096022</v>
      </c>
      <c r="GF87" s="60">
        <f t="shared" si="104"/>
        <v>331.25104323342907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-1.1368683772161603E-13</v>
      </c>
      <c r="GV87" s="18">
        <f>GU87*VLOOKUP('Données projet'!$B$18,Paramètres!$A$1:$I$89,3,0)*VLOOKUP('Données projet'!$B$18,Paramètres!$A$1:$I$89,5,0)</f>
        <v>-9.2222762759774927E-14</v>
      </c>
      <c r="GW87" s="14" t="e">
        <f t="shared" si="105"/>
        <v>#NUM!</v>
      </c>
      <c r="GX87" s="22" t="e">
        <f t="shared" si="82"/>
        <v>#NUM!</v>
      </c>
      <c r="GY87" s="60" t="e">
        <f t="shared" si="83"/>
        <v>#NUM!</v>
      </c>
      <c r="GZ87" s="60">
        <f ca="1">AVERAGE(OFFSET($GY$3,0,0,'Données projet'!$E$18+1,1))-AVERAGE(OFFSET($H$3,0,0,'Données projet'!$E$18+1,1))</f>
        <v>272.69564942740931</v>
      </c>
      <c r="HA87" s="60">
        <f t="shared" si="106"/>
        <v>316.57989180609252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25">
      <c r="A88" s="11">
        <f t="shared" si="85"/>
        <v>85</v>
      </c>
      <c r="B88" s="75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8">
        <f t="shared" si="56"/>
        <v>183.33333333333334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6.6</v>
      </c>
      <c r="N88" s="14">
        <f>IF('Données projet'!$A$36&gt;35,N87+M88-V87,IF(A88&lt;'Données projet'!$A$36,$K$205^A88,IF(A88='Données projet'!$A$36,'Données projet'!$B$36,N87+M88-V87)))</f>
        <v>353.00000000000011</v>
      </c>
      <c r="O88" s="14">
        <f>N88*VLOOKUP('Données projet'!$B$9,Paramètres!$A$1:$I$89,3,0)*VLOOKUP('Données projet'!$B$9,Paramètres!$A$1:$I$89,5,0)</f>
        <v>319.39440000000013</v>
      </c>
      <c r="P88" s="14">
        <f t="shared" si="87"/>
        <v>75.227332916620099</v>
      </c>
      <c r="Q88" s="22">
        <f t="shared" si="54"/>
        <v>687.29951816311348</v>
      </c>
      <c r="R88" s="60">
        <f t="shared" si="55"/>
        <v>959.92197889139493</v>
      </c>
      <c r="S88" s="60">
        <f ca="1">AVERAGE(OFFSET($R$3,0,0,'Données projet'!$E$9+1,1))-AVERAGE(OFFSET($H$3,0,0,'Données projet'!$E$9+1,1))</f>
        <v>570.08763950759544</v>
      </c>
      <c r="T88" s="60">
        <f t="shared" si="88"/>
        <v>297.32483725004136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-5.6843418860808015E-14</v>
      </c>
      <c r="AJ88" s="14">
        <f>AI88*VLOOKUP('Données projet'!$B$10,Paramètres!$A$1:$I$89,3,0)*VLOOKUP('Données projet'!$B$10,Paramètres!$A$1:$I$89,5,0)</f>
        <v>-4.5224624045658861E-14</v>
      </c>
      <c r="AK88" s="14" t="e">
        <f t="shared" si="89"/>
        <v>#NUM!</v>
      </c>
      <c r="AL88" s="22" t="e">
        <f t="shared" si="58"/>
        <v>#NUM!</v>
      </c>
      <c r="AM88" s="60" t="e">
        <f t="shared" si="59"/>
        <v>#NUM!</v>
      </c>
      <c r="AN88" s="60">
        <f ca="1">AVERAGE(OFFSET($AM$3,0,0,'Données projet'!$E$10+1,1))-AVERAGE(OFFSET($H$3,0,0,'Données projet'!$E$10+1,1))</f>
        <v>394.49874384716014</v>
      </c>
      <c r="AO88" s="60">
        <f t="shared" si="90"/>
        <v>423.72519584013378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258.33333333333331</v>
      </c>
      <c r="BB88" s="13">
        <f>VLOOKUP(A88,'Données projet'!$A$87:$I$107,9,0)</f>
        <v>4.2307692307692264</v>
      </c>
      <c r="BC88" s="13">
        <f t="array" ref="BC88">INDEX(BB:BB,MIN(IF(ISNUMBER(BB88:BB284),ROW(BB88:BB284),"")))</f>
        <v>4.2307692307692264</v>
      </c>
      <c r="BD88" s="13">
        <f>IF('Données projet'!$A$88&gt;35,BD87+BC88-BL87,IF(A88&lt;'Données projet'!$A$88,$BA$205^A88,IF(A88='Données projet'!$A$88,'Données projet'!$B$88,BD87+BC88-BL87)))</f>
        <v>258.33333333333326</v>
      </c>
      <c r="BE88" s="14">
        <f>BD88*VLOOKUP('Données projet'!$B$11,Paramètres!$A$1:$I$89,3,0)*VLOOKUP('Données projet'!$B$11,Paramètres!$A$1:$I$89,5,0)</f>
        <v>245.82999999999993</v>
      </c>
      <c r="BF88" s="14">
        <f t="shared" si="91"/>
        <v>59.692125837514034</v>
      </c>
      <c r="BG88" s="22">
        <f t="shared" si="61"/>
        <v>532.1177025003368</v>
      </c>
      <c r="BH88" s="60">
        <f t="shared" si="62"/>
        <v>804.74016322861826</v>
      </c>
      <c r="BI88" s="60">
        <f ca="1">AVERAGE(OFFSET($BH$3,0,0,'Données projet'!$E$11+1,1))-AVERAGE(OFFSET($H$3,0,0,'Données projet'!$E$11+1,1))</f>
        <v>441.15969139782891</v>
      </c>
      <c r="BJ88" s="60">
        <f t="shared" si="92"/>
        <v>315.06466790224783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28.846153846153847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1.1368683772161603E-13</v>
      </c>
      <c r="BZ88" s="14">
        <f>BY88*VLOOKUP('Données projet'!$B$12,Paramètres!$A$1:$I$89,3,0)*VLOOKUP('Données projet'!$B$12,Paramètres!$A$1:$I$89,5,0)</f>
        <v>8.8675733422860506E-14</v>
      </c>
      <c r="CA88" s="14">
        <f t="shared" si="93"/>
        <v>1.3509285393066301E-12</v>
      </c>
      <c r="CB88" s="22">
        <f t="shared" si="64"/>
        <v>2.5073107750038623E-12</v>
      </c>
      <c r="CC88" s="60">
        <f t="shared" si="65"/>
        <v>272.62246072828401</v>
      </c>
      <c r="CD88" s="60">
        <f ca="1">AVERAGE(OFFSET($CC$3,0,0,'Données projet'!$E$12+1,1))-AVERAGE(OFFSET($H$3,0,0,'Données projet'!$E$12+1,1))</f>
        <v>312.59632808777332</v>
      </c>
      <c r="CE88" s="60">
        <f t="shared" si="94"/>
        <v>302.59481222418219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6.6</v>
      </c>
      <c r="CT88" s="13">
        <f>IF('Données projet'!$A$140&gt;35,CT87+CS88-DB87,IF(A88&lt;'Données projet'!$A$140,$CQ$205^A88,IF(A88='Données projet'!$A$140,'Données projet'!$B$140,CT87+CS88-DB87)))</f>
        <v>353.00000000000011</v>
      </c>
      <c r="CU88" s="18">
        <f>CT88*VLOOKUP('Données projet'!$B$13,Paramètres!$A$1:$I$89,3,0)*VLOOKUP('Données projet'!$B$13,Paramètres!$A$1:$I$89,5,0)</f>
        <v>341.42160000000013</v>
      </c>
      <c r="CV88" s="14">
        <f t="shared" si="95"/>
        <v>79.793586620318962</v>
      </c>
      <c r="CW88" s="22">
        <f t="shared" si="67"/>
        <v>733.61645003038905</v>
      </c>
      <c r="CX88" s="60">
        <f t="shared" si="68"/>
        <v>1006.2389107586705</v>
      </c>
      <c r="CY88" s="60">
        <f ca="1">AVERAGE(OFFSET($CX$3,0,0,'Données projet'!$E$13+1,1))-AVERAGE(OFFSET($H$3,0,0,'Données projet'!$E$13+1,1))</f>
        <v>603.52431522262032</v>
      </c>
      <c r="CZ88" s="60">
        <f t="shared" si="96"/>
        <v>313.56299786481338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6.6</v>
      </c>
      <c r="DO88" s="13">
        <f>IF('Données projet'!$A$166&gt;35,DO87+DN88-DW87,IF(A88&lt;'Données projet'!$A$166,$DL$205^A88,IF(A88='Données projet'!$A$166,'Données projet'!$B$166,DO87+DN88-DW87)))</f>
        <v>353.00000000000011</v>
      </c>
      <c r="DP88" s="18">
        <f>DO88*VLOOKUP('Données projet'!$B$14,Paramètres!$A$1:$I$89,3,0)*VLOOKUP('Données projet'!$B$14,Paramètres!$A$1:$I$89,5,0)</f>
        <v>379.96920000000011</v>
      </c>
      <c r="DQ88" s="14">
        <f t="shared" si="97"/>
        <v>87.703665806622979</v>
      </c>
      <c r="DR88" s="22">
        <f t="shared" si="70"/>
        <v>814.53024127986862</v>
      </c>
      <c r="DS88" s="60">
        <f t="shared" si="71"/>
        <v>1087.1527020081501</v>
      </c>
      <c r="DT88" s="60">
        <f ca="1">AVERAGE(OFFSET($DS$3,0,0,'Données projet'!$E$14+1,1))-AVERAGE(OFFSET($H$3,0,0,'Données projet'!$E$14+1,1))</f>
        <v>661.93515988633499</v>
      </c>
      <c r="DU88" s="60">
        <f t="shared" si="98"/>
        <v>341.9250949809848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320.5128205128205</v>
      </c>
      <c r="EH88" s="13">
        <f>VLOOKUP(A88,'Données projet'!$A$191:$I$211,9,0)</f>
        <v>4.4871794871794917</v>
      </c>
      <c r="EI88" s="13">
        <f t="array" ref="EI88">INDEX(EH:EH,MIN(IF(ISNUMBER(EH88:EH284),ROW(EH88:EH284),"")))</f>
        <v>4.4871794871794917</v>
      </c>
      <c r="EJ88" s="13">
        <f>IF('Données projet'!$A$192&gt;35,EJ87+EI88-ER87,IF(A88&lt;'Données projet'!$A$192,$EG$205^A88,IF(A88='Données projet'!$A$192,'Données projet'!$B$192,EJ87+EI88-ER87)))</f>
        <v>320.51282051282055</v>
      </c>
      <c r="EK88" s="18">
        <f>EJ88*VLOOKUP('Données projet'!$B$15,Paramètres!$A$1:$I$89,3,0)*VLOOKUP('Données projet'!$B$15,Paramètres!$A$1:$I$89,5,0)</f>
        <v>215.00000000000006</v>
      </c>
      <c r="EL88" s="14">
        <f t="shared" si="99"/>
        <v>53.026710677875606</v>
      </c>
      <c r="EM88" s="22">
        <f t="shared" si="73"/>
        <v>466.81318776396671</v>
      </c>
      <c r="EN88" s="60">
        <f t="shared" si="74"/>
        <v>739.43564849224822</v>
      </c>
      <c r="EO88" s="60">
        <f ca="1">AVERAGE(OFFSET($EN$3,0,0,'Données projet'!$E$15+1,1))-AVERAGE(OFFSET($H$3,0,0,'Données projet'!$E$15+1,1))</f>
        <v>396.0878652679051</v>
      </c>
      <c r="EP88" s="60">
        <f t="shared" si="100"/>
        <v>327.26339199235406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-5.6843418860808015E-14</v>
      </c>
      <c r="FF88" s="18">
        <f>FE88*VLOOKUP('Données projet'!$B$16,Paramètres!$A$1:$I$89,3,0)*VLOOKUP('Données projet'!$B$16,Paramètres!$A$1:$I$89,5,0)</f>
        <v>-4.1677594708744434E-14</v>
      </c>
      <c r="FG88" s="14" t="e">
        <f t="shared" si="101"/>
        <v>#NUM!</v>
      </c>
      <c r="FH88" s="22" t="e">
        <f t="shared" si="76"/>
        <v>#NUM!</v>
      </c>
      <c r="FI88" s="60" t="e">
        <f t="shared" si="77"/>
        <v>#NUM!</v>
      </c>
      <c r="FJ88" s="60">
        <f ca="1">AVERAGE(OFFSET($FI$3,0,0,'Données projet'!$E$16+1,1))-AVERAGE(OFFSET($H$3,0,0,'Données projet'!$E$16+1,1))</f>
        <v>368.35775920359396</v>
      </c>
      <c r="FK88" s="60">
        <f t="shared" si="102"/>
        <v>395.5218438652638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>
        <f>VLOOKUP(A88,'Données projet'!$A$243:$I$263,2,0)</f>
        <v>472</v>
      </c>
      <c r="FX88" s="13">
        <f>VLOOKUP(A88,'Données projet'!$A$243:$I$263,9,0)</f>
        <v>9.6</v>
      </c>
      <c r="FY88" s="13">
        <f t="array" ref="FY88">INDEX(FX:FX,MIN(IF(ISNUMBER(FX88:FX284),ROW(FX88:FX284),"")))</f>
        <v>9.6</v>
      </c>
      <c r="FZ88" s="13">
        <f>IF('Données projet'!$A$244&gt;35,FZ87+FY88-GH87,IF(A88&lt;'Données projet'!$A$244,$FW$205^A88,IF(A88='Données projet'!$A$244,'Données projet'!$B$244,FZ87+FY88-GH87)))</f>
        <v>472</v>
      </c>
      <c r="GA88" s="18">
        <f>FZ88*VLOOKUP('Données projet'!$B$17,Paramètres!$A$1:$I$89,3,0)*VLOOKUP('Données projet'!$B$17,Paramètres!$A$1:$I$89,5,0)</f>
        <v>404.97600000000006</v>
      </c>
      <c r="GB88" s="14">
        <f t="shared" si="103"/>
        <v>92.784745831246795</v>
      </c>
      <c r="GC88" s="22">
        <f t="shared" si="79"/>
        <v>866.93329898942159</v>
      </c>
      <c r="GD88" s="60">
        <f t="shared" si="80"/>
        <v>1139.555759717703</v>
      </c>
      <c r="GE88" s="60">
        <f ca="1">AVERAGE(OFFSET($GD$3,0,0,'Données projet'!$E$17+1,1))-AVERAGE(OFFSET($H$3,0,0,'Données projet'!$E$17+1,1))</f>
        <v>701.44583662096022</v>
      </c>
      <c r="GF88" s="60">
        <f t="shared" si="104"/>
        <v>331.25104323342907</v>
      </c>
      <c r="GG88" s="16">
        <f>IF(ISNA(VLOOKUP(A88,'Données projet'!$A$243:$I$263,3,0)),0,VLOOKUP(A88,'Données projet'!$A$243:$I$263,3,0))</f>
        <v>7</v>
      </c>
      <c r="GH88" s="16">
        <f>IF(ISNA(VLOOKUP(A88,'Données projet'!$A$243:$I$263,4,0)),0,VLOOKUP(A88,'Données projet'!$A$243:$I$263,4,0))</f>
        <v>67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-1.1368683772161603E-13</v>
      </c>
      <c r="GV88" s="18">
        <f>GU88*VLOOKUP('Données projet'!$B$18,Paramètres!$A$1:$I$89,3,0)*VLOOKUP('Données projet'!$B$18,Paramètres!$A$1:$I$89,5,0)</f>
        <v>-9.2222762759774927E-14</v>
      </c>
      <c r="GW88" s="14" t="e">
        <f t="shared" si="105"/>
        <v>#NUM!</v>
      </c>
      <c r="GX88" s="22" t="e">
        <f t="shared" si="82"/>
        <v>#NUM!</v>
      </c>
      <c r="GY88" s="60" t="e">
        <f t="shared" si="83"/>
        <v>#NUM!</v>
      </c>
      <c r="GZ88" s="60">
        <f ca="1">AVERAGE(OFFSET($GY$3,0,0,'Données projet'!$E$18+1,1))-AVERAGE(OFFSET($H$3,0,0,'Données projet'!$E$18+1,1))</f>
        <v>272.69564942740931</v>
      </c>
      <c r="HA88" s="60">
        <f t="shared" si="106"/>
        <v>316.57989180609252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25">
      <c r="A89" s="11">
        <f t="shared" si="85"/>
        <v>86</v>
      </c>
      <c r="B89" s="75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8">
        <f t="shared" si="56"/>
        <v>183.33333333333334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6.6</v>
      </c>
      <c r="N89" s="14">
        <f>IF('Données projet'!$A$36&gt;35,N88+M89-V88,IF(A89&lt;'Données projet'!$A$36,$K$205^A89,IF(A89='Données projet'!$A$36,'Données projet'!$B$36,N88+M89-V88)))</f>
        <v>359.60000000000014</v>
      </c>
      <c r="O89" s="14">
        <f>N89*VLOOKUP('Données projet'!$B$9,Paramètres!$A$1:$I$89,3,0)*VLOOKUP('Données projet'!$B$9,Paramètres!$A$1:$I$89,5,0)</f>
        <v>325.36608000000012</v>
      </c>
      <c r="P89" s="14">
        <f t="shared" si="87"/>
        <v>76.468788033923758</v>
      </c>
      <c r="Q89" s="22">
        <f t="shared" si="54"/>
        <v>699.86239515908403</v>
      </c>
      <c r="R89" s="60">
        <f t="shared" si="55"/>
        <v>972.84414322448879</v>
      </c>
      <c r="S89" s="60">
        <f ca="1">AVERAGE(OFFSET($R$3,0,0,'Données projet'!$E$9+1,1))-AVERAGE(OFFSET($H$3,0,0,'Données projet'!$E$9+1,1))</f>
        <v>570.08763950759544</v>
      </c>
      <c r="T89" s="60">
        <f t="shared" si="88"/>
        <v>297.32483725004136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-5.6843418860808015E-14</v>
      </c>
      <c r="AJ89" s="14">
        <f>AI89*VLOOKUP('Données projet'!$B$10,Paramètres!$A$1:$I$89,3,0)*VLOOKUP('Données projet'!$B$10,Paramètres!$A$1:$I$89,5,0)</f>
        <v>-4.5224624045658861E-14</v>
      </c>
      <c r="AK89" s="14" t="e">
        <f t="shared" si="89"/>
        <v>#NUM!</v>
      </c>
      <c r="AL89" s="22" t="e">
        <f t="shared" si="58"/>
        <v>#NUM!</v>
      </c>
      <c r="AM89" s="60" t="e">
        <f t="shared" si="59"/>
        <v>#NUM!</v>
      </c>
      <c r="AN89" s="60">
        <f ca="1">AVERAGE(OFFSET($AM$3,0,0,'Données projet'!$E$10+1,1))-AVERAGE(OFFSET($H$3,0,0,'Données projet'!$E$10+1,1))</f>
        <v>394.49874384716014</v>
      </c>
      <c r="AO89" s="60">
        <f t="shared" si="90"/>
        <v>423.72519584013378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3.8461538461538454</v>
      </c>
      <c r="BD89" s="13">
        <f>IF('Données projet'!$A$88&gt;35,BD88+BC89-BL88,IF(A89&lt;'Données projet'!$A$88,$BA$205^A89,IF(A89='Données projet'!$A$88,'Données projet'!$B$88,BD88+BC89-BL88)))</f>
        <v>233.33333333333329</v>
      </c>
      <c r="BE89" s="14">
        <f>BD89*VLOOKUP('Données projet'!$B$11,Paramètres!$A$1:$I$89,3,0)*VLOOKUP('Données projet'!$B$11,Paramètres!$A$1:$I$89,5,0)</f>
        <v>222.04</v>
      </c>
      <c r="BF89" s="14">
        <f t="shared" si="91"/>
        <v>54.558031180803546</v>
      </c>
      <c r="BG89" s="22">
        <f t="shared" si="61"/>
        <v>481.74157097323285</v>
      </c>
      <c r="BH89" s="60">
        <f t="shared" si="62"/>
        <v>754.72331903863756</v>
      </c>
      <c r="BI89" s="60">
        <f ca="1">AVERAGE(OFFSET($BH$3,0,0,'Données projet'!$E$11+1,1))-AVERAGE(OFFSET($H$3,0,0,'Données projet'!$E$11+1,1))</f>
        <v>441.15969139782891</v>
      </c>
      <c r="BJ89" s="60">
        <f t="shared" si="92"/>
        <v>315.06466790224783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1.1368683772161603E-13</v>
      </c>
      <c r="BZ89" s="14">
        <f>BY89*VLOOKUP('Données projet'!$B$12,Paramètres!$A$1:$I$89,3,0)*VLOOKUP('Données projet'!$B$12,Paramètres!$A$1:$I$89,5,0)</f>
        <v>8.8675733422860506E-14</v>
      </c>
      <c r="CA89" s="14">
        <f t="shared" si="93"/>
        <v>1.3509285393066301E-12</v>
      </c>
      <c r="CB89" s="22">
        <f t="shared" si="64"/>
        <v>2.5073107750038623E-12</v>
      </c>
      <c r="CC89" s="60">
        <f t="shared" si="65"/>
        <v>272.9817480654072</v>
      </c>
      <c r="CD89" s="60">
        <f ca="1">AVERAGE(OFFSET($CC$3,0,0,'Données projet'!$E$12+1,1))-AVERAGE(OFFSET($H$3,0,0,'Données projet'!$E$12+1,1))</f>
        <v>312.59632808777332</v>
      </c>
      <c r="CE89" s="60">
        <f t="shared" si="94"/>
        <v>302.59481222418219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6.6</v>
      </c>
      <c r="CT89" s="13">
        <f>IF('Données projet'!$A$140&gt;35,CT88+CS89-DB88,IF(A89&lt;'Données projet'!$A$140,$CQ$205^A89,IF(A89='Données projet'!$A$140,'Données projet'!$B$140,CT88+CS89-DB88)))</f>
        <v>359.60000000000014</v>
      </c>
      <c r="CU89" s="18">
        <f>CT89*VLOOKUP('Données projet'!$B$13,Paramètres!$A$1:$I$89,3,0)*VLOOKUP('Données projet'!$B$13,Paramètres!$A$1:$I$89,5,0)</f>
        <v>347.80512000000016</v>
      </c>
      <c r="CV89" s="14">
        <f t="shared" si="95"/>
        <v>81.110397313948141</v>
      </c>
      <c r="CW89" s="22">
        <f t="shared" si="67"/>
        <v>747.02785932179313</v>
      </c>
      <c r="CX89" s="60">
        <f t="shared" si="68"/>
        <v>1020.0096073871978</v>
      </c>
      <c r="CY89" s="60">
        <f ca="1">AVERAGE(OFFSET($CX$3,0,0,'Données projet'!$E$13+1,1))-AVERAGE(OFFSET($H$3,0,0,'Données projet'!$E$13+1,1))</f>
        <v>603.52431522262032</v>
      </c>
      <c r="CZ89" s="60">
        <f t="shared" si="96"/>
        <v>313.56299786481338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6.6</v>
      </c>
      <c r="DO89" s="13">
        <f>IF('Données projet'!$A$166&gt;35,DO88+DN89-DW88,IF(A89&lt;'Données projet'!$A$166,$DL$205^A89,IF(A89='Données projet'!$A$166,'Données projet'!$B$166,DO88+DN89-DW88)))</f>
        <v>359.60000000000014</v>
      </c>
      <c r="DP89" s="18">
        <f>DO89*VLOOKUP('Données projet'!$B$14,Paramètres!$A$1:$I$89,3,0)*VLOOKUP('Données projet'!$B$14,Paramètres!$A$1:$I$89,5,0)</f>
        <v>387.07344000000012</v>
      </c>
      <c r="DQ89" s="14">
        <f t="shared" si="97"/>
        <v>89.151014270280484</v>
      </c>
      <c r="DR89" s="22">
        <f t="shared" si="70"/>
        <v>829.42425785407204</v>
      </c>
      <c r="DS89" s="60">
        <f t="shared" si="71"/>
        <v>1102.4060059194767</v>
      </c>
      <c r="DT89" s="60">
        <f ca="1">AVERAGE(OFFSET($DS$3,0,0,'Données projet'!$E$14+1,1))-AVERAGE(OFFSET($H$3,0,0,'Données projet'!$E$14+1,1))</f>
        <v>661.93515988633499</v>
      </c>
      <c r="DU89" s="60">
        <f t="shared" si="98"/>
        <v>341.9250949809848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4.3589743589743648</v>
      </c>
      <c r="EJ89" s="13">
        <f>IF('Données projet'!$A$192&gt;35,EJ88+EI89-ER88,IF(A89&lt;'Données projet'!$A$192,$EG$205^A89,IF(A89='Données projet'!$A$192,'Données projet'!$B$192,EJ88+EI89-ER88)))</f>
        <v>324.87179487179492</v>
      </c>
      <c r="EK89" s="18">
        <f>EJ89*VLOOKUP('Données projet'!$B$15,Paramètres!$A$1:$I$89,3,0)*VLOOKUP('Données projet'!$B$15,Paramètres!$A$1:$I$89,5,0)</f>
        <v>217.92400000000001</v>
      </c>
      <c r="EL89" s="14">
        <f t="shared" si="99"/>
        <v>53.663428701179583</v>
      </c>
      <c r="EM89" s="22">
        <f t="shared" si="73"/>
        <v>473.01477165455441</v>
      </c>
      <c r="EN89" s="60">
        <f t="shared" si="74"/>
        <v>745.99651971995911</v>
      </c>
      <c r="EO89" s="60">
        <f ca="1">AVERAGE(OFFSET($EN$3,0,0,'Données projet'!$E$15+1,1))-AVERAGE(OFFSET($H$3,0,0,'Données projet'!$E$15+1,1))</f>
        <v>396.0878652679051</v>
      </c>
      <c r="EP89" s="60">
        <f t="shared" si="100"/>
        <v>327.26339199235406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-5.6843418860808015E-14</v>
      </c>
      <c r="FF89" s="18">
        <f>FE89*VLOOKUP('Données projet'!$B$16,Paramètres!$A$1:$I$89,3,0)*VLOOKUP('Données projet'!$B$16,Paramètres!$A$1:$I$89,5,0)</f>
        <v>-4.1677594708744434E-14</v>
      </c>
      <c r="FG89" s="14" t="e">
        <f t="shared" si="101"/>
        <v>#NUM!</v>
      </c>
      <c r="FH89" s="22" t="e">
        <f t="shared" si="76"/>
        <v>#NUM!</v>
      </c>
      <c r="FI89" s="60" t="e">
        <f t="shared" si="77"/>
        <v>#NUM!</v>
      </c>
      <c r="FJ89" s="60">
        <f ca="1">AVERAGE(OFFSET($FI$3,0,0,'Données projet'!$E$16+1,1))-AVERAGE(OFFSET($H$3,0,0,'Données projet'!$E$16+1,1))</f>
        <v>368.35775920359396</v>
      </c>
      <c r="FK89" s="60">
        <f t="shared" si="102"/>
        <v>395.5218438652638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8.9</v>
      </c>
      <c r="FZ89" s="13">
        <f>IF('Données projet'!$A$244&gt;35,FZ88+FY89-GH88,IF(A89&lt;'Données projet'!$A$244,$FW$205^A89,IF(A89='Données projet'!$A$244,'Données projet'!$B$244,FZ88+FY89-GH88)))</f>
        <v>413.9</v>
      </c>
      <c r="GA89" s="18">
        <f>FZ89*VLOOKUP('Données projet'!$B$17,Paramètres!$A$1:$I$89,3,0)*VLOOKUP('Données projet'!$B$17,Paramètres!$A$1:$I$89,5,0)</f>
        <v>355.12620000000004</v>
      </c>
      <c r="GB89" s="14">
        <f t="shared" si="103"/>
        <v>82.617154167584189</v>
      </c>
      <c r="GC89" s="22">
        <f t="shared" si="79"/>
        <v>762.40300850854248</v>
      </c>
      <c r="GD89" s="60">
        <f t="shared" si="80"/>
        <v>1035.3847565739472</v>
      </c>
      <c r="GE89" s="60">
        <f ca="1">AVERAGE(OFFSET($GD$3,0,0,'Données projet'!$E$17+1,1))-AVERAGE(OFFSET($H$3,0,0,'Données projet'!$E$17+1,1))</f>
        <v>701.44583662096022</v>
      </c>
      <c r="GF89" s="60">
        <f t="shared" si="104"/>
        <v>331.25104323342907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-1.1368683772161603E-13</v>
      </c>
      <c r="GV89" s="18">
        <f>GU89*VLOOKUP('Données projet'!$B$18,Paramètres!$A$1:$I$89,3,0)*VLOOKUP('Données projet'!$B$18,Paramètres!$A$1:$I$89,5,0)</f>
        <v>-9.2222762759774927E-14</v>
      </c>
      <c r="GW89" s="14" t="e">
        <f t="shared" si="105"/>
        <v>#NUM!</v>
      </c>
      <c r="GX89" s="22" t="e">
        <f t="shared" si="82"/>
        <v>#NUM!</v>
      </c>
      <c r="GY89" s="60" t="e">
        <f t="shared" si="83"/>
        <v>#NUM!</v>
      </c>
      <c r="GZ89" s="60">
        <f ca="1">AVERAGE(OFFSET($GY$3,0,0,'Données projet'!$E$18+1,1))-AVERAGE(OFFSET($H$3,0,0,'Données projet'!$E$18+1,1))</f>
        <v>272.69564942740931</v>
      </c>
      <c r="HA89" s="60">
        <f t="shared" si="106"/>
        <v>316.57989180609252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25">
      <c r="A90" s="11">
        <f t="shared" si="85"/>
        <v>87</v>
      </c>
      <c r="B90" s="75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8">
        <f t="shared" si="56"/>
        <v>183.33333333333334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6.6</v>
      </c>
      <c r="N90" s="14">
        <f>IF('Données projet'!$A$36&gt;35,N89+M90-V89,IF(A90&lt;'Données projet'!$A$36,$K$205^A90,IF(A90='Données projet'!$A$36,'Données projet'!$B$36,N89+M90-V89)))</f>
        <v>366.20000000000016</v>
      </c>
      <c r="O90" s="14">
        <f>N90*VLOOKUP('Données projet'!$B$9,Paramètres!$A$1:$I$89,3,0)*VLOOKUP('Données projet'!$B$9,Paramètres!$A$1:$I$89,5,0)</f>
        <v>331.33776000000012</v>
      </c>
      <c r="P90" s="14">
        <f t="shared" si="87"/>
        <v>77.707593612890619</v>
      </c>
      <c r="Q90" s="22">
        <f t="shared" si="54"/>
        <v>712.42065754245129</v>
      </c>
      <c r="R90" s="60">
        <f t="shared" si="55"/>
        <v>985.75546011292613</v>
      </c>
      <c r="S90" s="60">
        <f ca="1">AVERAGE(OFFSET($R$3,0,0,'Données projet'!$E$9+1,1))-AVERAGE(OFFSET($H$3,0,0,'Données projet'!$E$9+1,1))</f>
        <v>570.08763950759544</v>
      </c>
      <c r="T90" s="60">
        <f t="shared" si="88"/>
        <v>297.32483725004136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-5.6843418860808015E-14</v>
      </c>
      <c r="AJ90" s="14">
        <f>AI90*VLOOKUP('Données projet'!$B$10,Paramètres!$A$1:$I$89,3,0)*VLOOKUP('Données projet'!$B$10,Paramètres!$A$1:$I$89,5,0)</f>
        <v>-4.5224624045658861E-14</v>
      </c>
      <c r="AK90" s="14" t="e">
        <f t="shared" si="89"/>
        <v>#NUM!</v>
      </c>
      <c r="AL90" s="22" t="e">
        <f t="shared" si="58"/>
        <v>#NUM!</v>
      </c>
      <c r="AM90" s="60" t="e">
        <f t="shared" si="59"/>
        <v>#NUM!</v>
      </c>
      <c r="AN90" s="60">
        <f ca="1">AVERAGE(OFFSET($AM$3,0,0,'Données projet'!$E$10+1,1))-AVERAGE(OFFSET($H$3,0,0,'Données projet'!$E$10+1,1))</f>
        <v>394.49874384716014</v>
      </c>
      <c r="AO90" s="60">
        <f t="shared" si="90"/>
        <v>423.72519584013378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3.8461538461538454</v>
      </c>
      <c r="BD90" s="13">
        <f>IF('Données projet'!$A$88&gt;35,BD89+BC90-BL89,IF(A90&lt;'Données projet'!$A$88,$BA$205^A90,IF(A90='Données projet'!$A$88,'Données projet'!$B$88,BD89+BC90-BL89)))</f>
        <v>237.17948717948713</v>
      </c>
      <c r="BE90" s="14">
        <f>BD90*VLOOKUP('Données projet'!$B$11,Paramètres!$A$1:$I$89,3,0)*VLOOKUP('Données projet'!$B$11,Paramètres!$A$1:$I$89,5,0)</f>
        <v>225.69999999999996</v>
      </c>
      <c r="BF90" s="14">
        <f t="shared" si="91"/>
        <v>55.351902227970015</v>
      </c>
      <c r="BG90" s="22">
        <f t="shared" si="61"/>
        <v>489.49872971371445</v>
      </c>
      <c r="BH90" s="60">
        <f t="shared" si="62"/>
        <v>762.83353228418923</v>
      </c>
      <c r="BI90" s="60">
        <f ca="1">AVERAGE(OFFSET($BH$3,0,0,'Données projet'!$E$11+1,1))-AVERAGE(OFFSET($H$3,0,0,'Données projet'!$E$11+1,1))</f>
        <v>441.15969139782891</v>
      </c>
      <c r="BJ90" s="60">
        <f t="shared" si="92"/>
        <v>315.06466790224783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1.1368683772161603E-13</v>
      </c>
      <c r="BZ90" s="14">
        <f>BY90*VLOOKUP('Données projet'!$B$12,Paramètres!$A$1:$I$89,3,0)*VLOOKUP('Données projet'!$B$12,Paramètres!$A$1:$I$89,5,0)</f>
        <v>8.8675733422860506E-14</v>
      </c>
      <c r="CA90" s="14">
        <f t="shared" si="93"/>
        <v>1.3509285393066301E-12</v>
      </c>
      <c r="CB90" s="22">
        <f t="shared" si="64"/>
        <v>2.5073107750038623E-12</v>
      </c>
      <c r="CC90" s="60">
        <f t="shared" si="65"/>
        <v>273.33480257047734</v>
      </c>
      <c r="CD90" s="60">
        <f ca="1">AVERAGE(OFFSET($CC$3,0,0,'Données projet'!$E$12+1,1))-AVERAGE(OFFSET($H$3,0,0,'Données projet'!$E$12+1,1))</f>
        <v>312.59632808777332</v>
      </c>
      <c r="CE90" s="60">
        <f t="shared" si="94"/>
        <v>302.59481222418219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6.6</v>
      </c>
      <c r="CT90" s="13">
        <f>IF('Données projet'!$A$140&gt;35,CT89+CS90-DB89,IF(A90&lt;'Données projet'!$A$140,$CQ$205^A90,IF(A90='Données projet'!$A$140,'Données projet'!$B$140,CT89+CS90-DB89)))</f>
        <v>366.20000000000016</v>
      </c>
      <c r="CU90" s="18">
        <f>CT90*VLOOKUP('Données projet'!$B$13,Paramètres!$A$1:$I$89,3,0)*VLOOKUP('Données projet'!$B$13,Paramètres!$A$1:$I$89,5,0)</f>
        <v>354.18864000000013</v>
      </c>
      <c r="CV90" s="14">
        <f t="shared" si="95"/>
        <v>82.424397643862704</v>
      </c>
      <c r="CW90" s="22">
        <f t="shared" si="67"/>
        <v>760.4343738963945</v>
      </c>
      <c r="CX90" s="60">
        <f t="shared" si="68"/>
        <v>1033.7691764668693</v>
      </c>
      <c r="CY90" s="60">
        <f ca="1">AVERAGE(OFFSET($CX$3,0,0,'Données projet'!$E$13+1,1))-AVERAGE(OFFSET($H$3,0,0,'Données projet'!$E$13+1,1))</f>
        <v>603.52431522262032</v>
      </c>
      <c r="CZ90" s="60">
        <f t="shared" si="96"/>
        <v>313.56299786481338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6.6</v>
      </c>
      <c r="DO90" s="13">
        <f>IF('Données projet'!$A$166&gt;35,DO89+DN90-DW89,IF(A90&lt;'Données projet'!$A$166,$DL$205^A90,IF(A90='Données projet'!$A$166,'Données projet'!$B$166,DO89+DN90-DW89)))</f>
        <v>366.20000000000016</v>
      </c>
      <c r="DP90" s="18">
        <f>DO90*VLOOKUP('Données projet'!$B$14,Paramètres!$A$1:$I$89,3,0)*VLOOKUP('Données projet'!$B$14,Paramètres!$A$1:$I$89,5,0)</f>
        <v>394.17768000000012</v>
      </c>
      <c r="DQ90" s="14">
        <f t="shared" si="97"/>
        <v>90.59527377390414</v>
      </c>
      <c r="DR90" s="22">
        <f t="shared" si="70"/>
        <v>844.31289448954988</v>
      </c>
      <c r="DS90" s="60">
        <f t="shared" si="71"/>
        <v>1117.6476970600247</v>
      </c>
      <c r="DT90" s="60">
        <f ca="1">AVERAGE(OFFSET($DS$3,0,0,'Données projet'!$E$14+1,1))-AVERAGE(OFFSET($H$3,0,0,'Données projet'!$E$14+1,1))</f>
        <v>661.93515988633499</v>
      </c>
      <c r="DU90" s="60">
        <f t="shared" si="98"/>
        <v>341.9250949809848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4.3589743589743648</v>
      </c>
      <c r="EJ90" s="13">
        <f>IF('Données projet'!$A$192&gt;35,EJ89+EI90-ER89,IF(A90&lt;'Données projet'!$A$192,$EG$205^A90,IF(A90='Données projet'!$A$192,'Données projet'!$B$192,EJ89+EI90-ER89)))</f>
        <v>329.23076923076928</v>
      </c>
      <c r="EK90" s="18">
        <f>EJ90*VLOOKUP('Données projet'!$B$15,Paramètres!$A$1:$I$89,3,0)*VLOOKUP('Données projet'!$B$15,Paramètres!$A$1:$I$89,5,0)</f>
        <v>220.84800000000004</v>
      </c>
      <c r="EL90" s="14">
        <f t="shared" si="99"/>
        <v>54.299153043191723</v>
      </c>
      <c r="EM90" s="22">
        <f t="shared" si="73"/>
        <v>479.214624883559</v>
      </c>
      <c r="EN90" s="60">
        <f t="shared" si="74"/>
        <v>752.54942745403378</v>
      </c>
      <c r="EO90" s="60">
        <f ca="1">AVERAGE(OFFSET($EN$3,0,0,'Données projet'!$E$15+1,1))-AVERAGE(OFFSET($H$3,0,0,'Données projet'!$E$15+1,1))</f>
        <v>396.0878652679051</v>
      </c>
      <c r="EP90" s="60">
        <f t="shared" si="100"/>
        <v>327.26339199235406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-5.6843418860808015E-14</v>
      </c>
      <c r="FF90" s="18">
        <f>FE90*VLOOKUP('Données projet'!$B$16,Paramètres!$A$1:$I$89,3,0)*VLOOKUP('Données projet'!$B$16,Paramètres!$A$1:$I$89,5,0)</f>
        <v>-4.1677594708744434E-14</v>
      </c>
      <c r="FG90" s="14" t="e">
        <f t="shared" si="101"/>
        <v>#NUM!</v>
      </c>
      <c r="FH90" s="22" t="e">
        <f t="shared" si="76"/>
        <v>#NUM!</v>
      </c>
      <c r="FI90" s="60" t="e">
        <f t="shared" si="77"/>
        <v>#NUM!</v>
      </c>
      <c r="FJ90" s="60">
        <f ca="1">AVERAGE(OFFSET($FI$3,0,0,'Données projet'!$E$16+1,1))-AVERAGE(OFFSET($H$3,0,0,'Données projet'!$E$16+1,1))</f>
        <v>368.35775920359396</v>
      </c>
      <c r="FK90" s="60">
        <f t="shared" si="102"/>
        <v>395.5218438652638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8.9</v>
      </c>
      <c r="FZ90" s="13">
        <f>IF('Données projet'!$A$244&gt;35,FZ89+FY90-GH89,IF(A90&lt;'Données projet'!$A$244,$FW$205^A90,IF(A90='Données projet'!$A$244,'Données projet'!$B$244,FZ89+FY90-GH89)))</f>
        <v>422.79999999999995</v>
      </c>
      <c r="GA90" s="18">
        <f>FZ90*VLOOKUP('Données projet'!$B$17,Paramètres!$A$1:$I$89,3,0)*VLOOKUP('Données projet'!$B$17,Paramètres!$A$1:$I$89,5,0)</f>
        <v>362.76240000000001</v>
      </c>
      <c r="GB90" s="14">
        <f t="shared" si="103"/>
        <v>84.18491922622529</v>
      </c>
      <c r="GC90" s="22">
        <f t="shared" si="79"/>
        <v>778.43324765234229</v>
      </c>
      <c r="GD90" s="60">
        <f t="shared" si="80"/>
        <v>1051.7680502228172</v>
      </c>
      <c r="GE90" s="60">
        <f ca="1">AVERAGE(OFFSET($GD$3,0,0,'Données projet'!$E$17+1,1))-AVERAGE(OFFSET($H$3,0,0,'Données projet'!$E$17+1,1))</f>
        <v>701.44583662096022</v>
      </c>
      <c r="GF90" s="60">
        <f t="shared" si="104"/>
        <v>331.25104323342907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-1.1368683772161603E-13</v>
      </c>
      <c r="GV90" s="18">
        <f>GU90*VLOOKUP('Données projet'!$B$18,Paramètres!$A$1:$I$89,3,0)*VLOOKUP('Données projet'!$B$18,Paramètres!$A$1:$I$89,5,0)</f>
        <v>-9.2222762759774927E-14</v>
      </c>
      <c r="GW90" s="14" t="e">
        <f t="shared" si="105"/>
        <v>#NUM!</v>
      </c>
      <c r="GX90" s="22" t="e">
        <f t="shared" si="82"/>
        <v>#NUM!</v>
      </c>
      <c r="GY90" s="60" t="e">
        <f t="shared" si="83"/>
        <v>#NUM!</v>
      </c>
      <c r="GZ90" s="60">
        <f ca="1">AVERAGE(OFFSET($GY$3,0,0,'Données projet'!$E$18+1,1))-AVERAGE(OFFSET($H$3,0,0,'Données projet'!$E$18+1,1))</f>
        <v>272.69564942740931</v>
      </c>
      <c r="HA90" s="60">
        <f t="shared" si="106"/>
        <v>316.57989180609252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25">
      <c r="A91" s="11">
        <f t="shared" si="85"/>
        <v>88</v>
      </c>
      <c r="B91" s="75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8">
        <f t="shared" si="56"/>
        <v>183.33333333333334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6.6</v>
      </c>
      <c r="N91" s="14">
        <f>IF('Données projet'!$A$36&gt;35,N90+M91-V90,IF(A91&lt;'Données projet'!$A$36,$K$205^A91,IF(A91='Données projet'!$A$36,'Données projet'!$B$36,N90+M91-V90)))</f>
        <v>372.80000000000018</v>
      </c>
      <c r="O91" s="14">
        <f>N91*VLOOKUP('Données projet'!$B$9,Paramètres!$A$1:$I$89,3,0)*VLOOKUP('Données projet'!$B$9,Paramètres!$A$1:$I$89,5,0)</f>
        <v>337.30944000000017</v>
      </c>
      <c r="P91" s="14">
        <f t="shared" si="87"/>
        <v>78.943802914307284</v>
      </c>
      <c r="Q91" s="22">
        <f t="shared" si="54"/>
        <v>724.97439807575211</v>
      </c>
      <c r="R91" s="60">
        <f t="shared" si="55"/>
        <v>998.6561304449458</v>
      </c>
      <c r="S91" s="60">
        <f ca="1">AVERAGE(OFFSET($R$3,0,0,'Données projet'!$E$9+1,1))-AVERAGE(OFFSET($H$3,0,0,'Données projet'!$E$9+1,1))</f>
        <v>570.08763950759544</v>
      </c>
      <c r="T91" s="60">
        <f t="shared" si="88"/>
        <v>297.32483725004136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-5.6843418860808015E-14</v>
      </c>
      <c r="AJ91" s="14">
        <f>AI91*VLOOKUP('Données projet'!$B$10,Paramètres!$A$1:$I$89,3,0)*VLOOKUP('Données projet'!$B$10,Paramètres!$A$1:$I$89,5,0)</f>
        <v>-4.5224624045658861E-14</v>
      </c>
      <c r="AK91" s="14" t="e">
        <f t="shared" si="89"/>
        <v>#NUM!</v>
      </c>
      <c r="AL91" s="22" t="e">
        <f t="shared" si="58"/>
        <v>#NUM!</v>
      </c>
      <c r="AM91" s="60" t="e">
        <f t="shared" si="59"/>
        <v>#NUM!</v>
      </c>
      <c r="AN91" s="60">
        <f ca="1">AVERAGE(OFFSET($AM$3,0,0,'Données projet'!$E$10+1,1))-AVERAGE(OFFSET($H$3,0,0,'Données projet'!$E$10+1,1))</f>
        <v>394.49874384716014</v>
      </c>
      <c r="AO91" s="60">
        <f t="shared" si="90"/>
        <v>423.72519584013378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3.8461538461538454</v>
      </c>
      <c r="BD91" s="13">
        <f>IF('Données projet'!$A$88&gt;35,BD90+BC91-BL90,IF(A91&lt;'Données projet'!$A$88,$BA$205^A91,IF(A91='Données projet'!$A$88,'Données projet'!$B$88,BD90+BC91-BL90)))</f>
        <v>241.02564102564097</v>
      </c>
      <c r="BE91" s="14">
        <f>BD91*VLOOKUP('Données projet'!$B$11,Paramètres!$A$1:$I$89,3,0)*VLOOKUP('Données projet'!$B$11,Paramètres!$A$1:$I$89,5,0)</f>
        <v>229.35999999999996</v>
      </c>
      <c r="BF91" s="14">
        <f t="shared" si="91"/>
        <v>56.144276133877753</v>
      </c>
      <c r="BG91" s="22">
        <f t="shared" si="61"/>
        <v>497.25328093317034</v>
      </c>
      <c r="BH91" s="60">
        <f t="shared" si="62"/>
        <v>770.93501330236404</v>
      </c>
      <c r="BI91" s="60">
        <f ca="1">AVERAGE(OFFSET($BH$3,0,0,'Données projet'!$E$11+1,1))-AVERAGE(OFFSET($H$3,0,0,'Données projet'!$E$11+1,1))</f>
        <v>441.15969139782891</v>
      </c>
      <c r="BJ91" s="60">
        <f t="shared" si="92"/>
        <v>315.06466790224783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1.1368683772161603E-13</v>
      </c>
      <c r="BZ91" s="14">
        <f>BY91*VLOOKUP('Données projet'!$B$12,Paramètres!$A$1:$I$89,3,0)*VLOOKUP('Données projet'!$B$12,Paramètres!$A$1:$I$89,5,0)</f>
        <v>8.8675733422860506E-14</v>
      </c>
      <c r="CA91" s="14">
        <f t="shared" si="93"/>
        <v>1.3509285393066301E-12</v>
      </c>
      <c r="CB91" s="22">
        <f t="shared" si="64"/>
        <v>2.5073107750038623E-12</v>
      </c>
      <c r="CC91" s="60">
        <f t="shared" si="65"/>
        <v>273.6817323691962</v>
      </c>
      <c r="CD91" s="60">
        <f ca="1">AVERAGE(OFFSET($CC$3,0,0,'Données projet'!$E$12+1,1))-AVERAGE(OFFSET($H$3,0,0,'Données projet'!$E$12+1,1))</f>
        <v>312.59632808777332</v>
      </c>
      <c r="CE91" s="60">
        <f t="shared" si="94"/>
        <v>302.59481222418219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6.6</v>
      </c>
      <c r="CT91" s="13">
        <f>IF('Données projet'!$A$140&gt;35,CT90+CS91-DB90,IF(A91&lt;'Données projet'!$A$140,$CQ$205^A91,IF(A91='Données projet'!$A$140,'Données projet'!$B$140,CT90+CS91-DB90)))</f>
        <v>372.80000000000018</v>
      </c>
      <c r="CU91" s="18">
        <f>CT91*VLOOKUP('Données projet'!$B$13,Paramètres!$A$1:$I$89,3,0)*VLOOKUP('Données projet'!$B$13,Paramètres!$A$1:$I$89,5,0)</f>
        <v>360.57216000000017</v>
      </c>
      <c r="CV91" s="14">
        <f t="shared" si="95"/>
        <v>83.735644103746736</v>
      </c>
      <c r="CW91" s="22">
        <f t="shared" si="67"/>
        <v>773.83609214735907</v>
      </c>
      <c r="CX91" s="60">
        <f t="shared" si="68"/>
        <v>1047.5178245165528</v>
      </c>
      <c r="CY91" s="60">
        <f ca="1">AVERAGE(OFFSET($CX$3,0,0,'Données projet'!$E$13+1,1))-AVERAGE(OFFSET($H$3,0,0,'Données projet'!$E$13+1,1))</f>
        <v>603.52431522262032</v>
      </c>
      <c r="CZ91" s="60">
        <f t="shared" si="96"/>
        <v>313.56299786481338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6.6</v>
      </c>
      <c r="DO91" s="13">
        <f>IF('Données projet'!$A$166&gt;35,DO90+DN91-DW90,IF(A91&lt;'Données projet'!$A$166,$DL$205^A91,IF(A91='Données projet'!$A$166,'Données projet'!$B$166,DO90+DN91-DW90)))</f>
        <v>372.80000000000018</v>
      </c>
      <c r="DP91" s="18">
        <f>DO91*VLOOKUP('Données projet'!$B$14,Paramètres!$A$1:$I$89,3,0)*VLOOKUP('Données projet'!$B$14,Paramètres!$A$1:$I$89,5,0)</f>
        <v>401.28192000000013</v>
      </c>
      <c r="DQ91" s="14">
        <f t="shared" si="97"/>
        <v>92.036506411496944</v>
      </c>
      <c r="DR91" s="22">
        <f t="shared" si="70"/>
        <v>859.19625933335737</v>
      </c>
      <c r="DS91" s="60">
        <f t="shared" si="71"/>
        <v>1132.8779917025511</v>
      </c>
      <c r="DT91" s="60">
        <f ca="1">AVERAGE(OFFSET($DS$3,0,0,'Données projet'!$E$14+1,1))-AVERAGE(OFFSET($H$3,0,0,'Données projet'!$E$14+1,1))</f>
        <v>661.93515988633499</v>
      </c>
      <c r="DU91" s="60">
        <f t="shared" si="98"/>
        <v>341.9250949809848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4.3589743589743648</v>
      </c>
      <c r="EJ91" s="13">
        <f>IF('Données projet'!$A$192&gt;35,EJ90+EI91-ER90,IF(A91&lt;'Données projet'!$A$192,$EG$205^A91,IF(A91='Données projet'!$A$192,'Données projet'!$B$192,EJ90+EI91-ER90)))</f>
        <v>333.58974358974365</v>
      </c>
      <c r="EK91" s="18">
        <f>EJ91*VLOOKUP('Données projet'!$B$15,Paramètres!$A$1:$I$89,3,0)*VLOOKUP('Données projet'!$B$15,Paramètres!$A$1:$I$89,5,0)</f>
        <v>223.77200000000005</v>
      </c>
      <c r="EL91" s="14">
        <f t="shared" si="99"/>
        <v>54.933898381063038</v>
      </c>
      <c r="EM91" s="22">
        <f t="shared" si="73"/>
        <v>485.4127730136849</v>
      </c>
      <c r="EN91" s="60">
        <f t="shared" si="74"/>
        <v>759.09450538287865</v>
      </c>
      <c r="EO91" s="60">
        <f ca="1">AVERAGE(OFFSET($EN$3,0,0,'Données projet'!$E$15+1,1))-AVERAGE(OFFSET($H$3,0,0,'Données projet'!$E$15+1,1))</f>
        <v>396.0878652679051</v>
      </c>
      <c r="EP91" s="60">
        <f t="shared" si="100"/>
        <v>327.26339199235406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-5.6843418860808015E-14</v>
      </c>
      <c r="FF91" s="18">
        <f>FE91*VLOOKUP('Données projet'!$B$16,Paramètres!$A$1:$I$89,3,0)*VLOOKUP('Données projet'!$B$16,Paramètres!$A$1:$I$89,5,0)</f>
        <v>-4.1677594708744434E-14</v>
      </c>
      <c r="FG91" s="14" t="e">
        <f t="shared" si="101"/>
        <v>#NUM!</v>
      </c>
      <c r="FH91" s="22" t="e">
        <f t="shared" si="76"/>
        <v>#NUM!</v>
      </c>
      <c r="FI91" s="60" t="e">
        <f t="shared" si="77"/>
        <v>#NUM!</v>
      </c>
      <c r="FJ91" s="60">
        <f ca="1">AVERAGE(OFFSET($FI$3,0,0,'Données projet'!$E$16+1,1))-AVERAGE(OFFSET($H$3,0,0,'Données projet'!$E$16+1,1))</f>
        <v>368.35775920359396</v>
      </c>
      <c r="FK91" s="60">
        <f t="shared" si="102"/>
        <v>395.5218438652638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8.9</v>
      </c>
      <c r="FZ91" s="13">
        <f>IF('Données projet'!$A$244&gt;35,FZ90+FY91-GH90,IF(A91&lt;'Données projet'!$A$244,$FW$205^A91,IF(A91='Données projet'!$A$244,'Données projet'!$B$244,FZ90+FY91-GH90)))</f>
        <v>431.69999999999993</v>
      </c>
      <c r="GA91" s="18">
        <f>FZ91*VLOOKUP('Données projet'!$B$17,Paramètres!$A$1:$I$89,3,0)*VLOOKUP('Données projet'!$B$17,Paramètres!$A$1:$I$89,5,0)</f>
        <v>370.39859999999999</v>
      </c>
      <c r="GB91" s="14">
        <f t="shared" si="103"/>
        <v>85.748847292465143</v>
      </c>
      <c r="GC91" s="22">
        <f t="shared" si="79"/>
        <v>794.45680403437666</v>
      </c>
      <c r="GD91" s="60">
        <f t="shared" si="80"/>
        <v>1068.1385364035705</v>
      </c>
      <c r="GE91" s="60">
        <f ca="1">AVERAGE(OFFSET($GD$3,0,0,'Données projet'!$E$17+1,1))-AVERAGE(OFFSET($H$3,0,0,'Données projet'!$E$17+1,1))</f>
        <v>701.44583662096022</v>
      </c>
      <c r="GF91" s="60">
        <f t="shared" si="104"/>
        <v>331.25104323342907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-1.1368683772161603E-13</v>
      </c>
      <c r="GV91" s="18">
        <f>GU91*VLOOKUP('Données projet'!$B$18,Paramètres!$A$1:$I$89,3,0)*VLOOKUP('Données projet'!$B$18,Paramètres!$A$1:$I$89,5,0)</f>
        <v>-9.2222762759774927E-14</v>
      </c>
      <c r="GW91" s="14" t="e">
        <f t="shared" si="105"/>
        <v>#NUM!</v>
      </c>
      <c r="GX91" s="22" t="e">
        <f t="shared" si="82"/>
        <v>#NUM!</v>
      </c>
      <c r="GY91" s="60" t="e">
        <f t="shared" si="83"/>
        <v>#NUM!</v>
      </c>
      <c r="GZ91" s="60">
        <f ca="1">AVERAGE(OFFSET($GY$3,0,0,'Données projet'!$E$18+1,1))-AVERAGE(OFFSET($H$3,0,0,'Données projet'!$E$18+1,1))</f>
        <v>272.69564942740931</v>
      </c>
      <c r="HA91" s="60">
        <f t="shared" si="106"/>
        <v>316.57989180609252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25">
      <c r="A92" s="11">
        <f t="shared" si="85"/>
        <v>89</v>
      </c>
      <c r="B92" s="75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8">
        <f t="shared" si="56"/>
        <v>183.33333333333334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6.6</v>
      </c>
      <c r="N92" s="14">
        <f>IF('Données projet'!$A$36&gt;35,N91+M92-V91,IF(A92&lt;'Données projet'!$A$36,$K$205^A92,IF(A92='Données projet'!$A$36,'Données projet'!$B$36,N91+M92-V91)))</f>
        <v>379.4000000000002</v>
      </c>
      <c r="O92" s="14">
        <f>N92*VLOOKUP('Données projet'!$B$9,Paramètres!$A$1:$I$89,3,0)*VLOOKUP('Données projet'!$B$9,Paramètres!$A$1:$I$89,5,0)</f>
        <v>343.28112000000016</v>
      </c>
      <c r="P92" s="14">
        <f t="shared" si="87"/>
        <v>80.17746720510398</v>
      </c>
      <c r="Q92" s="22">
        <f t="shared" si="54"/>
        <v>737.52370604888972</v>
      </c>
      <c r="R92" s="60">
        <f t="shared" si="55"/>
        <v>1011.5463497604132</v>
      </c>
      <c r="S92" s="60">
        <f ca="1">AVERAGE(OFFSET($R$3,0,0,'Données projet'!$E$9+1,1))-AVERAGE(OFFSET($H$3,0,0,'Données projet'!$E$9+1,1))</f>
        <v>570.08763950759544</v>
      </c>
      <c r="T92" s="60">
        <f t="shared" si="88"/>
        <v>297.32483725004136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-5.6843418860808015E-14</v>
      </c>
      <c r="AJ92" s="14">
        <f>AI92*VLOOKUP('Données projet'!$B$10,Paramètres!$A$1:$I$89,3,0)*VLOOKUP('Données projet'!$B$10,Paramètres!$A$1:$I$89,5,0)</f>
        <v>-4.5224624045658861E-14</v>
      </c>
      <c r="AK92" s="14" t="e">
        <f t="shared" si="89"/>
        <v>#NUM!</v>
      </c>
      <c r="AL92" s="22" t="e">
        <f t="shared" si="58"/>
        <v>#NUM!</v>
      </c>
      <c r="AM92" s="60" t="e">
        <f t="shared" si="59"/>
        <v>#NUM!</v>
      </c>
      <c r="AN92" s="60">
        <f ca="1">AVERAGE(OFFSET($AM$3,0,0,'Données projet'!$E$10+1,1))-AVERAGE(OFFSET($H$3,0,0,'Données projet'!$E$10+1,1))</f>
        <v>394.49874384716014</v>
      </c>
      <c r="AO92" s="60">
        <f t="shared" si="90"/>
        <v>423.72519584013378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3.8461538461538454</v>
      </c>
      <c r="BD92" s="13">
        <f>IF('Données projet'!$A$88&gt;35,BD91+BC92-BL91,IF(A92&lt;'Données projet'!$A$88,$BA$205^A92,IF(A92='Données projet'!$A$88,'Données projet'!$B$88,BD91+BC92-BL91)))</f>
        <v>244.8717948717948</v>
      </c>
      <c r="BE92" s="14">
        <f>BD92*VLOOKUP('Données projet'!$B$11,Paramètres!$A$1:$I$89,3,0)*VLOOKUP('Données projet'!$B$11,Paramètres!$A$1:$I$89,5,0)</f>
        <v>233.01999999999995</v>
      </c>
      <c r="BF92" s="14">
        <f t="shared" si="91"/>
        <v>56.935179547462297</v>
      </c>
      <c r="BG92" s="22">
        <f t="shared" si="61"/>
        <v>505.00527104516345</v>
      </c>
      <c r="BH92" s="60">
        <f t="shared" si="62"/>
        <v>779.0279147566871</v>
      </c>
      <c r="BI92" s="60">
        <f ca="1">AVERAGE(OFFSET($BH$3,0,0,'Données projet'!$E$11+1,1))-AVERAGE(OFFSET($H$3,0,0,'Données projet'!$E$11+1,1))</f>
        <v>441.15969139782891</v>
      </c>
      <c r="BJ92" s="60">
        <f t="shared" si="92"/>
        <v>315.06466790224783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1.1368683772161603E-13</v>
      </c>
      <c r="BZ92" s="14">
        <f>BY92*VLOOKUP('Données projet'!$B$12,Paramètres!$A$1:$I$89,3,0)*VLOOKUP('Données projet'!$B$12,Paramètres!$A$1:$I$89,5,0)</f>
        <v>8.8675733422860506E-14</v>
      </c>
      <c r="CA92" s="14">
        <f t="shared" si="93"/>
        <v>1.3509285393066301E-12</v>
      </c>
      <c r="CB92" s="22">
        <f t="shared" si="64"/>
        <v>2.5073107750038623E-12</v>
      </c>
      <c r="CC92" s="60">
        <f t="shared" si="65"/>
        <v>274.02264371152609</v>
      </c>
      <c r="CD92" s="60">
        <f ca="1">AVERAGE(OFFSET($CC$3,0,0,'Données projet'!$E$12+1,1))-AVERAGE(OFFSET($H$3,0,0,'Données projet'!$E$12+1,1))</f>
        <v>312.59632808777332</v>
      </c>
      <c r="CE92" s="60">
        <f t="shared" si="94"/>
        <v>302.59481222418219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6.6</v>
      </c>
      <c r="CT92" s="13">
        <f>IF('Données projet'!$A$140&gt;35,CT91+CS92-DB91,IF(A92&lt;'Données projet'!$A$140,$CQ$205^A92,IF(A92='Données projet'!$A$140,'Données projet'!$B$140,CT91+CS92-DB91)))</f>
        <v>379.4000000000002</v>
      </c>
      <c r="CU92" s="18">
        <f>CT92*VLOOKUP('Données projet'!$B$13,Paramètres!$A$1:$I$89,3,0)*VLOOKUP('Données projet'!$B$13,Paramètres!$A$1:$I$89,5,0)</f>
        <v>366.9556800000002</v>
      </c>
      <c r="CV92" s="14">
        <f t="shared" si="95"/>
        <v>85.044191072402157</v>
      </c>
      <c r="CW92" s="22">
        <f t="shared" si="67"/>
        <v>787.23310878443408</v>
      </c>
      <c r="CX92" s="60">
        <f t="shared" si="68"/>
        <v>1061.2557524959577</v>
      </c>
      <c r="CY92" s="60">
        <f ca="1">AVERAGE(OFFSET($CX$3,0,0,'Données projet'!$E$13+1,1))-AVERAGE(OFFSET($H$3,0,0,'Données projet'!$E$13+1,1))</f>
        <v>603.52431522262032</v>
      </c>
      <c r="CZ92" s="60">
        <f t="shared" si="96"/>
        <v>313.56299786481338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6.6</v>
      </c>
      <c r="DO92" s="13">
        <f>IF('Données projet'!$A$166&gt;35,DO91+DN92-DW91,IF(A92&lt;'Données projet'!$A$166,$DL$205^A92,IF(A92='Données projet'!$A$166,'Données projet'!$B$166,DO91+DN92-DW91)))</f>
        <v>379.4000000000002</v>
      </c>
      <c r="DP92" s="18">
        <f>DO92*VLOOKUP('Données projet'!$B$14,Paramètres!$A$1:$I$89,3,0)*VLOOKUP('Données projet'!$B$14,Paramètres!$A$1:$I$89,5,0)</f>
        <v>408.38616000000019</v>
      </c>
      <c r="DQ92" s="14">
        <f t="shared" si="97"/>
        <v>93.474771952527362</v>
      </c>
      <c r="DR92" s="22">
        <f t="shared" si="70"/>
        <v>874.0744564839855</v>
      </c>
      <c r="DS92" s="60">
        <f t="shared" si="71"/>
        <v>1148.097100195509</v>
      </c>
      <c r="DT92" s="60">
        <f ca="1">AVERAGE(OFFSET($DS$3,0,0,'Données projet'!$E$14+1,1))-AVERAGE(OFFSET($H$3,0,0,'Données projet'!$E$14+1,1))</f>
        <v>661.93515988633499</v>
      </c>
      <c r="DU92" s="60">
        <f t="shared" si="98"/>
        <v>341.9250949809848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4.3589743589743648</v>
      </c>
      <c r="EJ92" s="13">
        <f>IF('Données projet'!$A$192&gt;35,EJ91+EI92-ER91,IF(A92&lt;'Données projet'!$A$192,$EG$205^A92,IF(A92='Données projet'!$A$192,'Données projet'!$B$192,EJ91+EI92-ER91)))</f>
        <v>337.94871794871801</v>
      </c>
      <c r="EK92" s="18">
        <f>EJ92*VLOOKUP('Données projet'!$B$15,Paramètres!$A$1:$I$89,3,0)*VLOOKUP('Données projet'!$B$15,Paramètres!$A$1:$I$89,5,0)</f>
        <v>226.69600000000005</v>
      </c>
      <c r="EL92" s="14">
        <f t="shared" si="99"/>
        <v>55.567678986325824</v>
      </c>
      <c r="EM92" s="22">
        <f t="shared" si="73"/>
        <v>491.60924090118425</v>
      </c>
      <c r="EN92" s="60">
        <f t="shared" si="74"/>
        <v>765.63188461270784</v>
      </c>
      <c r="EO92" s="60">
        <f ca="1">AVERAGE(OFFSET($EN$3,0,0,'Données projet'!$E$15+1,1))-AVERAGE(OFFSET($H$3,0,0,'Données projet'!$E$15+1,1))</f>
        <v>396.0878652679051</v>
      </c>
      <c r="EP92" s="60">
        <f t="shared" si="100"/>
        <v>327.26339199235406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-5.6843418860808015E-14</v>
      </c>
      <c r="FF92" s="18">
        <f>FE92*VLOOKUP('Données projet'!$B$16,Paramètres!$A$1:$I$89,3,0)*VLOOKUP('Données projet'!$B$16,Paramètres!$A$1:$I$89,5,0)</f>
        <v>-4.1677594708744434E-14</v>
      </c>
      <c r="FG92" s="14" t="e">
        <f t="shared" si="101"/>
        <v>#NUM!</v>
      </c>
      <c r="FH92" s="22" t="e">
        <f t="shared" si="76"/>
        <v>#NUM!</v>
      </c>
      <c r="FI92" s="60" t="e">
        <f t="shared" si="77"/>
        <v>#NUM!</v>
      </c>
      <c r="FJ92" s="60">
        <f ca="1">AVERAGE(OFFSET($FI$3,0,0,'Données projet'!$E$16+1,1))-AVERAGE(OFFSET($H$3,0,0,'Données projet'!$E$16+1,1))</f>
        <v>368.35775920359396</v>
      </c>
      <c r="FK92" s="60">
        <f t="shared" si="102"/>
        <v>395.5218438652638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8.9</v>
      </c>
      <c r="FZ92" s="13">
        <f>IF('Données projet'!$A$244&gt;35,FZ91+FY92-GH91,IF(A92&lt;'Données projet'!$A$244,$FW$205^A92,IF(A92='Données projet'!$A$244,'Données projet'!$B$244,FZ91+FY92-GH91)))</f>
        <v>440.59999999999991</v>
      </c>
      <c r="GA92" s="18">
        <f>FZ92*VLOOKUP('Données projet'!$B$17,Paramètres!$A$1:$I$89,3,0)*VLOOKUP('Données projet'!$B$17,Paramètres!$A$1:$I$89,5,0)</f>
        <v>378.03479999999996</v>
      </c>
      <c r="GB92" s="14">
        <f t="shared" si="103"/>
        <v>87.30902658484024</v>
      </c>
      <c r="GC92" s="22">
        <f t="shared" si="79"/>
        <v>810.47383130192986</v>
      </c>
      <c r="GD92" s="60">
        <f t="shared" si="80"/>
        <v>1084.4964750134534</v>
      </c>
      <c r="GE92" s="60">
        <f ca="1">AVERAGE(OFFSET($GD$3,0,0,'Données projet'!$E$17+1,1))-AVERAGE(OFFSET($H$3,0,0,'Données projet'!$E$17+1,1))</f>
        <v>701.44583662096022</v>
      </c>
      <c r="GF92" s="60">
        <f t="shared" si="104"/>
        <v>331.25104323342907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-1.1368683772161603E-13</v>
      </c>
      <c r="GV92" s="18">
        <f>GU92*VLOOKUP('Données projet'!$B$18,Paramètres!$A$1:$I$89,3,0)*VLOOKUP('Données projet'!$B$18,Paramètres!$A$1:$I$89,5,0)</f>
        <v>-9.2222762759774927E-14</v>
      </c>
      <c r="GW92" s="14" t="e">
        <f t="shared" si="105"/>
        <v>#NUM!</v>
      </c>
      <c r="GX92" s="22" t="e">
        <f t="shared" si="82"/>
        <v>#NUM!</v>
      </c>
      <c r="GY92" s="60" t="e">
        <f t="shared" si="83"/>
        <v>#NUM!</v>
      </c>
      <c r="GZ92" s="60">
        <f ca="1">AVERAGE(OFFSET($GY$3,0,0,'Données projet'!$E$18+1,1))-AVERAGE(OFFSET($H$3,0,0,'Données projet'!$E$18+1,1))</f>
        <v>272.69564942740931</v>
      </c>
      <c r="HA92" s="60">
        <f t="shared" si="106"/>
        <v>316.57989180609252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25">
      <c r="A93" s="11">
        <f t="shared" si="85"/>
        <v>90</v>
      </c>
      <c r="B93" s="75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8">
        <f t="shared" si="56"/>
        <v>183.33333333333334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386</v>
      </c>
      <c r="L93" s="13">
        <f>VLOOKUP(A93,'Données projet'!$A$35:$I$55,9,0)</f>
        <v>6.6</v>
      </c>
      <c r="M93" s="13">
        <f t="array" ref="M93">INDEX(L:L,MIN(IF(ISNUMBER(L93:L289),ROW(L93:L289),"")))</f>
        <v>6.6</v>
      </c>
      <c r="N93" s="14">
        <f>IF('Données projet'!$A$36&gt;35,N92+M93-V92,IF(A93&lt;'Données projet'!$A$36,$K$205^A93,IF(A93='Données projet'!$A$36,'Données projet'!$B$36,N92+M93-V92)))</f>
        <v>386.00000000000023</v>
      </c>
      <c r="O93" s="14">
        <f>N93*VLOOKUP('Données projet'!$B$9,Paramètres!$A$1:$I$89,3,0)*VLOOKUP('Données projet'!$B$9,Paramètres!$A$1:$I$89,5,0)</f>
        <v>349.25280000000021</v>
      </c>
      <c r="P93" s="14">
        <f t="shared" si="87"/>
        <v>81.408635866358992</v>
      </c>
      <c r="Q93" s="22">
        <f t="shared" si="54"/>
        <v>750.06866746724211</v>
      </c>
      <c r="R93" s="60">
        <f t="shared" si="55"/>
        <v>1024.4263084714698</v>
      </c>
      <c r="S93" s="60">
        <f ca="1">AVERAGE(OFFSET($R$3,0,0,'Données projet'!$E$9+1,1))-AVERAGE(OFFSET($H$3,0,0,'Données projet'!$E$9+1,1))</f>
        <v>570.08763950759544</v>
      </c>
      <c r="T93" s="60">
        <f t="shared" si="88"/>
        <v>297.32483725004136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84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-5.6843418860808015E-14</v>
      </c>
      <c r="AJ93" s="14">
        <f>AI93*VLOOKUP('Données projet'!$B$10,Paramètres!$A$1:$I$89,3,0)*VLOOKUP('Données projet'!$B$10,Paramètres!$A$1:$I$89,5,0)</f>
        <v>-4.5224624045658861E-14</v>
      </c>
      <c r="AK93" s="14" t="e">
        <f t="shared" si="89"/>
        <v>#NUM!</v>
      </c>
      <c r="AL93" s="22" t="e">
        <f t="shared" si="58"/>
        <v>#NUM!</v>
      </c>
      <c r="AM93" s="60" t="e">
        <f t="shared" si="59"/>
        <v>#NUM!</v>
      </c>
      <c r="AN93" s="60">
        <f ca="1">AVERAGE(OFFSET($AM$3,0,0,'Données projet'!$E$10+1,1))-AVERAGE(OFFSET($H$3,0,0,'Données projet'!$E$10+1,1))</f>
        <v>394.49874384716014</v>
      </c>
      <c r="AO93" s="60">
        <f t="shared" si="90"/>
        <v>423.72519584013378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248.7179487179487</v>
      </c>
      <c r="BB93" s="13">
        <f>VLOOKUP(A93,'Données projet'!$A$87:$I$107,9,0)</f>
        <v>3.8461538461538454</v>
      </c>
      <c r="BC93" s="13">
        <f t="array" ref="BC93">INDEX(BB:BB,MIN(IF(ISNUMBER(BB93:BB289),ROW(BB93:BB289),"")))</f>
        <v>3.8461538461538454</v>
      </c>
      <c r="BD93" s="13">
        <f>IF('Données projet'!$A$88&gt;35,BD92+BC93-BL92,IF(A93&lt;'Données projet'!$A$88,$BA$205^A93,IF(A93='Données projet'!$A$88,'Données projet'!$B$88,BD92+BC93-BL92)))</f>
        <v>248.71794871794864</v>
      </c>
      <c r="BE93" s="14">
        <f>BD93*VLOOKUP('Données projet'!$B$11,Paramètres!$A$1:$I$89,3,0)*VLOOKUP('Données projet'!$B$11,Paramètres!$A$1:$I$89,5,0)</f>
        <v>236.67999999999995</v>
      </c>
      <c r="BF93" s="14">
        <f t="shared" si="91"/>
        <v>57.724638232498961</v>
      </c>
      <c r="BG93" s="22">
        <f t="shared" si="61"/>
        <v>512.7547449216022</v>
      </c>
      <c r="BH93" s="60">
        <f t="shared" si="62"/>
        <v>787.11238592582981</v>
      </c>
      <c r="BI93" s="60">
        <f ca="1">AVERAGE(OFFSET($BH$3,0,0,'Données projet'!$E$11+1,1))-AVERAGE(OFFSET($H$3,0,0,'Données projet'!$E$11+1,1))</f>
        <v>441.15969139782891</v>
      </c>
      <c r="BJ93" s="60">
        <f t="shared" si="92"/>
        <v>315.06466790224783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1.1368683772161603E-13</v>
      </c>
      <c r="BZ93" s="14">
        <f>BY93*VLOOKUP('Données projet'!$B$12,Paramètres!$A$1:$I$89,3,0)*VLOOKUP('Données projet'!$B$12,Paramètres!$A$1:$I$89,5,0)</f>
        <v>8.8675733422860506E-14</v>
      </c>
      <c r="CA93" s="14">
        <f t="shared" si="93"/>
        <v>1.3509285393066301E-12</v>
      </c>
      <c r="CB93" s="22">
        <f t="shared" si="64"/>
        <v>2.5073107750038623E-12</v>
      </c>
      <c r="CC93" s="60">
        <f t="shared" si="65"/>
        <v>274.35764100423017</v>
      </c>
      <c r="CD93" s="60">
        <f ca="1">AVERAGE(OFFSET($CC$3,0,0,'Données projet'!$E$12+1,1))-AVERAGE(OFFSET($H$3,0,0,'Données projet'!$E$12+1,1))</f>
        <v>312.59632808777332</v>
      </c>
      <c r="CE93" s="60">
        <f t="shared" si="94"/>
        <v>302.59481222418219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386</v>
      </c>
      <c r="CR93" s="13">
        <f>VLOOKUP(A93,'Données projet'!$A$139:$I$159,9,0)</f>
        <v>6.6</v>
      </c>
      <c r="CS93" s="13">
        <f t="array" ref="CS93">INDEX(CR:CR,MIN(IF(ISNUMBER(CR93:CR289),ROW(CR93:CR289),"")))</f>
        <v>6.6</v>
      </c>
      <c r="CT93" s="13">
        <f>IF('Données projet'!$A$140&gt;35,CT92+CS93-DB92,IF(A93&lt;'Données projet'!$A$140,$CQ$205^A93,IF(A93='Données projet'!$A$140,'Données projet'!$B$140,CT92+CS93-DB92)))</f>
        <v>386.00000000000023</v>
      </c>
      <c r="CU93" s="18">
        <f>CT93*VLOOKUP('Données projet'!$B$13,Paramètres!$A$1:$I$89,3,0)*VLOOKUP('Données projet'!$B$13,Paramètres!$A$1:$I$89,5,0)</f>
        <v>373.33920000000023</v>
      </c>
      <c r="CV93" s="14">
        <f t="shared" si="95"/>
        <v>86.350090928308958</v>
      </c>
      <c r="CW93" s="22">
        <f t="shared" si="67"/>
        <v>800.62551503347186</v>
      </c>
      <c r="CX93" s="60">
        <f t="shared" si="68"/>
        <v>1074.9831560376995</v>
      </c>
      <c r="CY93" s="60">
        <f ca="1">AVERAGE(OFFSET($CX$3,0,0,'Données projet'!$E$13+1,1))-AVERAGE(OFFSET($H$3,0,0,'Données projet'!$E$13+1,1))</f>
        <v>603.52431522262032</v>
      </c>
      <c r="CZ93" s="60">
        <f t="shared" si="96"/>
        <v>313.56299786481338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84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386</v>
      </c>
      <c r="DM93" s="13">
        <f>VLOOKUP(A93,'Données projet'!$A$165:$I$185,9,0)</f>
        <v>6.6</v>
      </c>
      <c r="DN93" s="13">
        <f t="array" ref="DN93">INDEX(DM:DM,MIN(IF(ISNUMBER(DM93:DM289),ROW(DM93:DM289),"")))</f>
        <v>6.6</v>
      </c>
      <c r="DO93" s="13">
        <f>IF('Données projet'!$A$166&gt;35,DO92+DN93-DW92,IF(A93&lt;'Données projet'!$A$166,$DL$205^A93,IF(A93='Données projet'!$A$166,'Données projet'!$B$166,DO92+DN93-DW92)))</f>
        <v>386.00000000000023</v>
      </c>
      <c r="DP93" s="18">
        <f>DO93*VLOOKUP('Données projet'!$B$14,Paramètres!$A$1:$I$89,3,0)*VLOOKUP('Données projet'!$B$14,Paramètres!$A$1:$I$89,5,0)</f>
        <v>415.49040000000025</v>
      </c>
      <c r="DQ93" s="14">
        <f t="shared" si="97"/>
        <v>94.910127967846563</v>
      </c>
      <c r="DR93" s="22">
        <f t="shared" si="70"/>
        <v>888.94758621066649</v>
      </c>
      <c r="DS93" s="60">
        <f t="shared" si="71"/>
        <v>1163.3052272148941</v>
      </c>
      <c r="DT93" s="60">
        <f ca="1">AVERAGE(OFFSET($DS$3,0,0,'Données projet'!$E$14+1,1))-AVERAGE(OFFSET($H$3,0,0,'Données projet'!$E$14+1,1))</f>
        <v>661.93515988633499</v>
      </c>
      <c r="DU93" s="60">
        <f t="shared" si="98"/>
        <v>341.9250949809848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84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342.30769230769232</v>
      </c>
      <c r="EH93" s="13">
        <f>VLOOKUP(A93,'Données projet'!$A$191:$I$211,9,0)</f>
        <v>4.3589743589743648</v>
      </c>
      <c r="EI93" s="13">
        <f t="array" ref="EI93">INDEX(EH:EH,MIN(IF(ISNUMBER(EH93:EH289),ROW(EH93:EH289),"")))</f>
        <v>4.3589743589743648</v>
      </c>
      <c r="EJ93" s="13">
        <f>IF('Données projet'!$A$192&gt;35,EJ92+EI93-ER92,IF(A93&lt;'Données projet'!$A$192,$EG$205^A93,IF(A93='Données projet'!$A$192,'Données projet'!$B$192,EJ92+EI93-ER92)))</f>
        <v>342.30769230769238</v>
      </c>
      <c r="EK93" s="18">
        <f>EJ93*VLOOKUP('Données projet'!$B$15,Paramètres!$A$1:$I$89,3,0)*VLOOKUP('Données projet'!$B$15,Paramètres!$A$1:$I$89,5,0)</f>
        <v>229.62000000000003</v>
      </c>
      <c r="EL93" s="14">
        <f t="shared" si="99"/>
        <v>56.200508741188202</v>
      </c>
      <c r="EM93" s="22">
        <f t="shared" si="73"/>
        <v>497.8040527242361</v>
      </c>
      <c r="EN93" s="60">
        <f t="shared" si="74"/>
        <v>772.16169372846377</v>
      </c>
      <c r="EO93" s="60">
        <f ca="1">AVERAGE(OFFSET($EN$3,0,0,'Données projet'!$E$15+1,1))-AVERAGE(OFFSET($H$3,0,0,'Données projet'!$E$15+1,1))</f>
        <v>396.0878652679051</v>
      </c>
      <c r="EP93" s="60">
        <f t="shared" si="100"/>
        <v>327.26339199235406</v>
      </c>
      <c r="EQ93" s="16">
        <f>IF(ISNA(VLOOKUP(A93,'Données projet'!$A$191:$I$211,3,0)),0,VLOOKUP(A93,'Données projet'!$A$191:$I$211,3,0))</f>
        <v>8</v>
      </c>
      <c r="ER93" s="16">
        <f>IF(ISNA(VLOOKUP(A93,'Données projet'!$A$191:$I$211,4,0)),0,VLOOKUP(A93,'Données projet'!$A$191:$I$211,4,0))</f>
        <v>27.564102564102562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-5.6843418860808015E-14</v>
      </c>
      <c r="FF93" s="18">
        <f>FE93*VLOOKUP('Données projet'!$B$16,Paramètres!$A$1:$I$89,3,0)*VLOOKUP('Données projet'!$B$16,Paramètres!$A$1:$I$89,5,0)</f>
        <v>-4.1677594708744434E-14</v>
      </c>
      <c r="FG93" s="14" t="e">
        <f t="shared" si="101"/>
        <v>#NUM!</v>
      </c>
      <c r="FH93" s="22" t="e">
        <f t="shared" si="76"/>
        <v>#NUM!</v>
      </c>
      <c r="FI93" s="60" t="e">
        <f t="shared" si="77"/>
        <v>#NUM!</v>
      </c>
      <c r="FJ93" s="60">
        <f ca="1">AVERAGE(OFFSET($FI$3,0,0,'Données projet'!$E$16+1,1))-AVERAGE(OFFSET($H$3,0,0,'Données projet'!$E$16+1,1))</f>
        <v>368.35775920359396</v>
      </c>
      <c r="FK93" s="60">
        <f t="shared" si="102"/>
        <v>395.5218438652638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8.9</v>
      </c>
      <c r="FZ93" s="13">
        <f>IF('Données projet'!$A$244&gt;35,FZ92+FY93-GH92,IF(A93&lt;'Données projet'!$A$244,$FW$205^A93,IF(A93='Données projet'!$A$244,'Données projet'!$B$244,FZ92+FY93-GH92)))</f>
        <v>449.49999999999989</v>
      </c>
      <c r="GA93" s="18">
        <f>FZ93*VLOOKUP('Données projet'!$B$17,Paramètres!$A$1:$I$89,3,0)*VLOOKUP('Données projet'!$B$17,Paramètres!$A$1:$I$89,5,0)</f>
        <v>385.67099999999994</v>
      </c>
      <c r="GB93" s="14">
        <f t="shared" si="103"/>
        <v>88.865541554144215</v>
      </c>
      <c r="GC93" s="22">
        <f t="shared" si="79"/>
        <v>826.48447654013432</v>
      </c>
      <c r="GD93" s="60">
        <f t="shared" si="80"/>
        <v>1100.8421175443621</v>
      </c>
      <c r="GE93" s="60">
        <f ca="1">AVERAGE(OFFSET($GD$3,0,0,'Données projet'!$E$17+1,1))-AVERAGE(OFFSET($H$3,0,0,'Données projet'!$E$17+1,1))</f>
        <v>701.44583662096022</v>
      </c>
      <c r="GF93" s="60">
        <f t="shared" si="104"/>
        <v>331.25104323342907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-1.1368683772161603E-13</v>
      </c>
      <c r="GV93" s="18">
        <f>GU93*VLOOKUP('Données projet'!$B$18,Paramètres!$A$1:$I$89,3,0)*VLOOKUP('Données projet'!$B$18,Paramètres!$A$1:$I$89,5,0)</f>
        <v>-9.2222762759774927E-14</v>
      </c>
      <c r="GW93" s="14" t="e">
        <f t="shared" si="105"/>
        <v>#NUM!</v>
      </c>
      <c r="GX93" s="22" t="e">
        <f t="shared" si="82"/>
        <v>#NUM!</v>
      </c>
      <c r="GY93" s="60" t="e">
        <f t="shared" si="83"/>
        <v>#NUM!</v>
      </c>
      <c r="GZ93" s="60">
        <f ca="1">AVERAGE(OFFSET($GY$3,0,0,'Données projet'!$E$18+1,1))-AVERAGE(OFFSET($H$3,0,0,'Données projet'!$E$18+1,1))</f>
        <v>272.69564942740931</v>
      </c>
      <c r="HA93" s="60">
        <f t="shared" si="106"/>
        <v>316.57989180609252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25">
      <c r="A94" s="11">
        <f t="shared" si="85"/>
        <v>91</v>
      </c>
      <c r="B94" s="75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8">
        <f t="shared" si="56"/>
        <v>183.33333333333334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5.9</v>
      </c>
      <c r="N94" s="14">
        <f>IF('Données projet'!$A$36&gt;35,N93+M94-V93,IF(A94&lt;'Données projet'!$A$36,$K$205^A94,IF(A94='Données projet'!$A$36,'Données projet'!$B$36,N93+M94-V93)))</f>
        <v>307.9000000000002</v>
      </c>
      <c r="O94" s="14">
        <f>N94*VLOOKUP('Données projet'!$B$9,Paramètres!$A$1:$I$89,3,0)*VLOOKUP('Données projet'!$B$9,Paramètres!$A$1:$I$89,5,0)</f>
        <v>278.58792000000017</v>
      </c>
      <c r="P94" s="14">
        <f t="shared" si="87"/>
        <v>66.668508032294284</v>
      </c>
      <c r="Q94" s="22">
        <f t="shared" si="54"/>
        <v>601.32161215624615</v>
      </c>
      <c r="R94" s="60">
        <f t="shared" si="55"/>
        <v>876.00843899909114</v>
      </c>
      <c r="S94" s="60">
        <f ca="1">AVERAGE(OFFSET($R$3,0,0,'Données projet'!$E$9+1,1))-AVERAGE(OFFSET($H$3,0,0,'Données projet'!$E$9+1,1))</f>
        <v>570.08763950759544</v>
      </c>
      <c r="T94" s="60">
        <f t="shared" si="88"/>
        <v>297.32483725004136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-5.6843418860808015E-14</v>
      </c>
      <c r="AJ94" s="14">
        <f>AI94*VLOOKUP('Données projet'!$B$10,Paramètres!$A$1:$I$89,3,0)*VLOOKUP('Données projet'!$B$10,Paramètres!$A$1:$I$89,5,0)</f>
        <v>-4.5224624045658861E-14</v>
      </c>
      <c r="AK94" s="14" t="e">
        <f t="shared" si="89"/>
        <v>#NUM!</v>
      </c>
      <c r="AL94" s="22" t="e">
        <f t="shared" si="58"/>
        <v>#NUM!</v>
      </c>
      <c r="AM94" s="60" t="e">
        <f t="shared" si="59"/>
        <v>#NUM!</v>
      </c>
      <c r="AN94" s="60">
        <f ca="1">AVERAGE(OFFSET($AM$3,0,0,'Données projet'!$E$10+1,1))-AVERAGE(OFFSET($H$3,0,0,'Données projet'!$E$10+1,1))</f>
        <v>394.49874384716014</v>
      </c>
      <c r="AO94" s="60">
        <f t="shared" si="90"/>
        <v>423.72519584013378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3.8461538461538511</v>
      </c>
      <c r="BD94" s="13">
        <f>IF('Données projet'!$A$88&gt;35,BD93+BC94-BL93,IF(A94&lt;'Données projet'!$A$88,$BA$205^A94,IF(A94='Données projet'!$A$88,'Données projet'!$B$88,BD93+BC94-BL93)))</f>
        <v>252.56410256410248</v>
      </c>
      <c r="BE94" s="14">
        <f>BD94*VLOOKUP('Données projet'!$B$11,Paramètres!$A$1:$I$89,3,0)*VLOOKUP('Données projet'!$B$11,Paramètres!$A$1:$I$89,5,0)</f>
        <v>240.33999999999992</v>
      </c>
      <c r="BF94" s="14">
        <f t="shared" si="91"/>
        <v>58.512677110228594</v>
      </c>
      <c r="BG94" s="22">
        <f t="shared" si="61"/>
        <v>520.50174596698128</v>
      </c>
      <c r="BH94" s="60">
        <f t="shared" si="62"/>
        <v>795.18857280982638</v>
      </c>
      <c r="BI94" s="60">
        <f ca="1">AVERAGE(OFFSET($BH$3,0,0,'Données projet'!$E$11+1,1))-AVERAGE(OFFSET($H$3,0,0,'Données projet'!$E$11+1,1))</f>
        <v>441.15969139782891</v>
      </c>
      <c r="BJ94" s="60">
        <f t="shared" si="92"/>
        <v>315.06466790224783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1.1368683772161603E-13</v>
      </c>
      <c r="BZ94" s="14">
        <f>BY94*VLOOKUP('Données projet'!$B$12,Paramètres!$A$1:$I$89,3,0)*VLOOKUP('Données projet'!$B$12,Paramètres!$A$1:$I$89,5,0)</f>
        <v>8.8675733422860506E-14</v>
      </c>
      <c r="CA94" s="14">
        <f t="shared" si="93"/>
        <v>1.3509285393066301E-12</v>
      </c>
      <c r="CB94" s="22">
        <f t="shared" si="64"/>
        <v>2.5073107750038623E-12</v>
      </c>
      <c r="CC94" s="60">
        <f t="shared" si="65"/>
        <v>274.68682684284755</v>
      </c>
      <c r="CD94" s="60">
        <f ca="1">AVERAGE(OFFSET($CC$3,0,0,'Données projet'!$E$12+1,1))-AVERAGE(OFFSET($H$3,0,0,'Données projet'!$E$12+1,1))</f>
        <v>312.59632808777332</v>
      </c>
      <c r="CE94" s="60">
        <f t="shared" si="94"/>
        <v>302.59481222418219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5.9</v>
      </c>
      <c r="CT94" s="13">
        <f>IF('Données projet'!$A$140&gt;35,CT93+CS94-DB93,IF(A94&lt;'Données projet'!$A$140,$CQ$205^A94,IF(A94='Données projet'!$A$140,'Données projet'!$B$140,CT93+CS94-DB93)))</f>
        <v>307.9000000000002</v>
      </c>
      <c r="CU94" s="18">
        <f>CT94*VLOOKUP('Données projet'!$B$13,Paramètres!$A$1:$I$89,3,0)*VLOOKUP('Données projet'!$B$13,Paramètres!$A$1:$I$89,5,0)</f>
        <v>297.80088000000023</v>
      </c>
      <c r="CV94" s="14">
        <f t="shared" si="95"/>
        <v>70.715246231293804</v>
      </c>
      <c r="CW94" s="22">
        <f t="shared" si="67"/>
        <v>641.83225318617042</v>
      </c>
      <c r="CX94" s="60">
        <f t="shared" si="68"/>
        <v>916.51908002901541</v>
      </c>
      <c r="CY94" s="60">
        <f ca="1">AVERAGE(OFFSET($CX$3,0,0,'Données projet'!$E$13+1,1))-AVERAGE(OFFSET($H$3,0,0,'Données projet'!$E$13+1,1))</f>
        <v>603.52431522262032</v>
      </c>
      <c r="CZ94" s="60">
        <f t="shared" si="96"/>
        <v>313.56299786481338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5.9</v>
      </c>
      <c r="DO94" s="13">
        <f>IF('Données projet'!$A$166&gt;35,DO93+DN94-DW93,IF(A94&lt;'Données projet'!$A$166,$DL$205^A94,IF(A94='Données projet'!$A$166,'Données projet'!$B$166,DO93+DN94-DW93)))</f>
        <v>307.9000000000002</v>
      </c>
      <c r="DP94" s="18">
        <f>DO94*VLOOKUP('Données projet'!$B$14,Paramètres!$A$1:$I$89,3,0)*VLOOKUP('Données projet'!$B$14,Paramètres!$A$1:$I$89,5,0)</f>
        <v>331.42356000000024</v>
      </c>
      <c r="DQ94" s="14">
        <f t="shared" si="97"/>
        <v>77.725373499167262</v>
      </c>
      <c r="DR94" s="22">
        <f t="shared" si="70"/>
        <v>712.60105917771659</v>
      </c>
      <c r="DS94" s="60">
        <f t="shared" si="71"/>
        <v>987.2878860205617</v>
      </c>
      <c r="DT94" s="60">
        <f ca="1">AVERAGE(OFFSET($DS$3,0,0,'Données projet'!$E$14+1,1))-AVERAGE(OFFSET($H$3,0,0,'Données projet'!$E$14+1,1))</f>
        <v>661.93515988633499</v>
      </c>
      <c r="DU94" s="60">
        <f t="shared" si="98"/>
        <v>341.9250949809848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4.102564102564088</v>
      </c>
      <c r="EJ94" s="13">
        <f>IF('Données projet'!$A$192&gt;35,EJ93+EI94-ER93,IF(A94&lt;'Données projet'!$A$192,$EG$205^A94,IF(A94='Données projet'!$A$192,'Données projet'!$B$192,EJ93+EI94-ER93)))</f>
        <v>318.84615384615392</v>
      </c>
      <c r="EK94" s="18">
        <f>EJ94*VLOOKUP('Données projet'!$B$15,Paramètres!$A$1:$I$89,3,0)*VLOOKUP('Données projet'!$B$15,Paramètres!$A$1:$I$89,5,0)</f>
        <v>213.88200000000003</v>
      </c>
      <c r="EL94" s="14">
        <f t="shared" si="99"/>
        <v>52.782993910626054</v>
      </c>
      <c r="EM94" s="22">
        <f t="shared" si="73"/>
        <v>464.44153106100708</v>
      </c>
      <c r="EN94" s="60">
        <f t="shared" si="74"/>
        <v>739.12835790385213</v>
      </c>
      <c r="EO94" s="60">
        <f ca="1">AVERAGE(OFFSET($EN$3,0,0,'Données projet'!$E$15+1,1))-AVERAGE(OFFSET($H$3,0,0,'Données projet'!$E$15+1,1))</f>
        <v>396.0878652679051</v>
      </c>
      <c r="EP94" s="60">
        <f t="shared" si="100"/>
        <v>327.26339199235406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-5.6843418860808015E-14</v>
      </c>
      <c r="FF94" s="18">
        <f>FE94*VLOOKUP('Données projet'!$B$16,Paramètres!$A$1:$I$89,3,0)*VLOOKUP('Données projet'!$B$16,Paramètres!$A$1:$I$89,5,0)</f>
        <v>-4.1677594708744434E-14</v>
      </c>
      <c r="FG94" s="14" t="e">
        <f t="shared" si="101"/>
        <v>#NUM!</v>
      </c>
      <c r="FH94" s="22" t="e">
        <f t="shared" si="76"/>
        <v>#NUM!</v>
      </c>
      <c r="FI94" s="60" t="e">
        <f t="shared" si="77"/>
        <v>#NUM!</v>
      </c>
      <c r="FJ94" s="60">
        <f ca="1">AVERAGE(OFFSET($FI$3,0,0,'Données projet'!$E$16+1,1))-AVERAGE(OFFSET($H$3,0,0,'Données projet'!$E$16+1,1))</f>
        <v>368.35775920359396</v>
      </c>
      <c r="FK94" s="60">
        <f t="shared" si="102"/>
        <v>395.5218438652638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8.9</v>
      </c>
      <c r="FZ94" s="13">
        <f>IF('Données projet'!$A$244&gt;35,FZ93+FY94-GH93,IF(A94&lt;'Données projet'!$A$244,$FW$205^A94,IF(A94='Données projet'!$A$244,'Données projet'!$B$244,FZ93+FY94-GH93)))</f>
        <v>458.39999999999986</v>
      </c>
      <c r="GA94" s="18">
        <f>FZ94*VLOOKUP('Données projet'!$B$17,Paramètres!$A$1:$I$89,3,0)*VLOOKUP('Données projet'!$B$17,Paramètres!$A$1:$I$89,5,0)</f>
        <v>393.30719999999991</v>
      </c>
      <c r="GB94" s="14">
        <f t="shared" si="103"/>
        <v>90.418473115705496</v>
      </c>
      <c r="GC94" s="22">
        <f t="shared" si="79"/>
        <v>842.48888067652013</v>
      </c>
      <c r="GD94" s="60">
        <f t="shared" si="80"/>
        <v>1117.1757075193652</v>
      </c>
      <c r="GE94" s="60">
        <f ca="1">AVERAGE(OFFSET($GD$3,0,0,'Données projet'!$E$17+1,1))-AVERAGE(OFFSET($H$3,0,0,'Données projet'!$E$17+1,1))</f>
        <v>701.44583662096022</v>
      </c>
      <c r="GF94" s="60">
        <f t="shared" si="104"/>
        <v>331.25104323342907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-1.1368683772161603E-13</v>
      </c>
      <c r="GV94" s="18">
        <f>GU94*VLOOKUP('Données projet'!$B$18,Paramètres!$A$1:$I$89,3,0)*VLOOKUP('Données projet'!$B$18,Paramètres!$A$1:$I$89,5,0)</f>
        <v>-9.2222762759774927E-14</v>
      </c>
      <c r="GW94" s="14" t="e">
        <f t="shared" si="105"/>
        <v>#NUM!</v>
      </c>
      <c r="GX94" s="22" t="e">
        <f t="shared" si="82"/>
        <v>#NUM!</v>
      </c>
      <c r="GY94" s="60" t="e">
        <f t="shared" si="83"/>
        <v>#NUM!</v>
      </c>
      <c r="GZ94" s="60">
        <f ca="1">AVERAGE(OFFSET($GY$3,0,0,'Données projet'!$E$18+1,1))-AVERAGE(OFFSET($H$3,0,0,'Données projet'!$E$18+1,1))</f>
        <v>272.69564942740931</v>
      </c>
      <c r="HA94" s="60">
        <f t="shared" si="106"/>
        <v>316.57989180609252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25">
      <c r="A95" s="11">
        <f t="shared" si="85"/>
        <v>92</v>
      </c>
      <c r="B95" s="75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8">
        <f t="shared" si="56"/>
        <v>183.33333333333334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5.9</v>
      </c>
      <c r="N95" s="14">
        <f>IF('Données projet'!$A$36&gt;35,N94+M95-V94,IF(A95&lt;'Données projet'!$A$36,$K$205^A95,IF(A95='Données projet'!$A$36,'Données projet'!$B$36,N94+M95-V94)))</f>
        <v>313.80000000000018</v>
      </c>
      <c r="O95" s="14">
        <f>N95*VLOOKUP('Données projet'!$B$9,Paramètres!$A$1:$I$89,3,0)*VLOOKUP('Données projet'!$B$9,Paramètres!$A$1:$I$89,5,0)</f>
        <v>283.92624000000018</v>
      </c>
      <c r="P95" s="14">
        <f t="shared" si="87"/>
        <v>67.796062628528361</v>
      </c>
      <c r="Q95" s="22">
        <f t="shared" si="54"/>
        <v>612.58301041135394</v>
      </c>
      <c r="R95" s="60">
        <f t="shared" si="55"/>
        <v>887.5933124544656</v>
      </c>
      <c r="S95" s="60">
        <f ca="1">AVERAGE(OFFSET($R$3,0,0,'Données projet'!$E$9+1,1))-AVERAGE(OFFSET($H$3,0,0,'Données projet'!$E$9+1,1))</f>
        <v>570.08763950759544</v>
      </c>
      <c r="T95" s="60">
        <f t="shared" si="88"/>
        <v>297.32483725004136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-5.6843418860808015E-14</v>
      </c>
      <c r="AJ95" s="14">
        <f>AI95*VLOOKUP('Données projet'!$B$10,Paramètres!$A$1:$I$89,3,0)*VLOOKUP('Données projet'!$B$10,Paramètres!$A$1:$I$89,5,0)</f>
        <v>-4.5224624045658861E-14</v>
      </c>
      <c r="AK95" s="14" t="e">
        <f t="shared" si="89"/>
        <v>#NUM!</v>
      </c>
      <c r="AL95" s="22" t="e">
        <f t="shared" si="58"/>
        <v>#NUM!</v>
      </c>
      <c r="AM95" s="60" t="e">
        <f t="shared" si="59"/>
        <v>#NUM!</v>
      </c>
      <c r="AN95" s="60">
        <f ca="1">AVERAGE(OFFSET($AM$3,0,0,'Données projet'!$E$10+1,1))-AVERAGE(OFFSET($H$3,0,0,'Données projet'!$E$10+1,1))</f>
        <v>394.49874384716014</v>
      </c>
      <c r="AO95" s="60">
        <f t="shared" si="90"/>
        <v>423.72519584013378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3.8461538461538511</v>
      </c>
      <c r="BD95" s="13">
        <f>IF('Données projet'!$A$88&gt;35,BD94+BC95-BL94,IF(A95&lt;'Données projet'!$A$88,$BA$205^A95,IF(A95='Données projet'!$A$88,'Données projet'!$B$88,BD94+BC95-BL94)))</f>
        <v>256.41025641025635</v>
      </c>
      <c r="BE95" s="14">
        <f>BD95*VLOOKUP('Données projet'!$B$11,Paramètres!$A$1:$I$89,3,0)*VLOOKUP('Données projet'!$B$11,Paramètres!$A$1:$I$89,5,0)</f>
        <v>243.99999999999997</v>
      </c>
      <c r="BF95" s="14">
        <f t="shared" si="91"/>
        <v>59.299320299313244</v>
      </c>
      <c r="BG95" s="22">
        <f t="shared" si="61"/>
        <v>528.24631618797048</v>
      </c>
      <c r="BH95" s="60">
        <f t="shared" si="62"/>
        <v>803.25661823108226</v>
      </c>
      <c r="BI95" s="60">
        <f ca="1">AVERAGE(OFFSET($BH$3,0,0,'Données projet'!$E$11+1,1))-AVERAGE(OFFSET($H$3,0,0,'Données projet'!$E$11+1,1))</f>
        <v>441.15969139782891</v>
      </c>
      <c r="BJ95" s="60">
        <f t="shared" si="92"/>
        <v>315.06466790224783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1.1368683772161603E-13</v>
      </c>
      <c r="BZ95" s="14">
        <f>BY95*VLOOKUP('Données projet'!$B$12,Paramètres!$A$1:$I$89,3,0)*VLOOKUP('Données projet'!$B$12,Paramètres!$A$1:$I$89,5,0)</f>
        <v>8.8675733422860506E-14</v>
      </c>
      <c r="CA95" s="14">
        <f t="shared" si="93"/>
        <v>1.3509285393066301E-12</v>
      </c>
      <c r="CB95" s="22">
        <f t="shared" si="64"/>
        <v>2.5073107750038623E-12</v>
      </c>
      <c r="CC95" s="60">
        <f t="shared" si="65"/>
        <v>275.01030204311422</v>
      </c>
      <c r="CD95" s="60">
        <f ca="1">AVERAGE(OFFSET($CC$3,0,0,'Données projet'!$E$12+1,1))-AVERAGE(OFFSET($H$3,0,0,'Données projet'!$E$12+1,1))</f>
        <v>312.59632808777332</v>
      </c>
      <c r="CE95" s="60">
        <f t="shared" si="94"/>
        <v>302.59481222418219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5.9</v>
      </c>
      <c r="CT95" s="13">
        <f>IF('Données projet'!$A$140&gt;35,CT94+CS95-DB94,IF(A95&lt;'Données projet'!$A$140,$CQ$205^A95,IF(A95='Données projet'!$A$140,'Données projet'!$B$140,CT94+CS95-DB94)))</f>
        <v>313.80000000000018</v>
      </c>
      <c r="CU95" s="18">
        <f>CT95*VLOOKUP('Données projet'!$B$13,Paramètres!$A$1:$I$89,3,0)*VLOOKUP('Données projet'!$B$13,Paramètres!$A$1:$I$89,5,0)</f>
        <v>303.50736000000023</v>
      </c>
      <c r="CV95" s="14">
        <f t="shared" si="95"/>
        <v>71.911242710970541</v>
      </c>
      <c r="CW95" s="22">
        <f t="shared" si="67"/>
        <v>653.85406638827408</v>
      </c>
      <c r="CX95" s="60">
        <f t="shared" si="68"/>
        <v>928.86436843138586</v>
      </c>
      <c r="CY95" s="60">
        <f ca="1">AVERAGE(OFFSET($CX$3,0,0,'Données projet'!$E$13+1,1))-AVERAGE(OFFSET($H$3,0,0,'Données projet'!$E$13+1,1))</f>
        <v>603.52431522262032</v>
      </c>
      <c r="CZ95" s="60">
        <f t="shared" si="96"/>
        <v>313.56299786481338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5.9</v>
      </c>
      <c r="DO95" s="13">
        <f>IF('Données projet'!$A$166&gt;35,DO94+DN95-DW94,IF(A95&lt;'Données projet'!$A$166,$DL$205^A95,IF(A95='Données projet'!$A$166,'Données projet'!$B$166,DO94+DN95-DW94)))</f>
        <v>313.80000000000018</v>
      </c>
      <c r="DP95" s="18">
        <f>DO95*VLOOKUP('Données projet'!$B$14,Paramètres!$A$1:$I$89,3,0)*VLOOKUP('Données projet'!$B$14,Paramètres!$A$1:$I$89,5,0)</f>
        <v>337.77432000000016</v>
      </c>
      <c r="DQ95" s="14">
        <f t="shared" si="97"/>
        <v>79.039931222441169</v>
      </c>
      <c r="DR95" s="22">
        <f t="shared" si="70"/>
        <v>725.951487545752</v>
      </c>
      <c r="DS95" s="60">
        <f t="shared" si="71"/>
        <v>1000.9617895888637</v>
      </c>
      <c r="DT95" s="60">
        <f ca="1">AVERAGE(OFFSET($DS$3,0,0,'Données projet'!$E$14+1,1))-AVERAGE(OFFSET($H$3,0,0,'Données projet'!$E$14+1,1))</f>
        <v>661.93515988633499</v>
      </c>
      <c r="DU95" s="60">
        <f t="shared" si="98"/>
        <v>341.9250949809848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4.102564102564088</v>
      </c>
      <c r="EJ95" s="13">
        <f>IF('Données projet'!$A$192&gt;35,EJ94+EI95-ER94,IF(A95&lt;'Données projet'!$A$192,$EG$205^A95,IF(A95='Données projet'!$A$192,'Données projet'!$B$192,EJ94+EI95-ER94)))</f>
        <v>322.94871794871801</v>
      </c>
      <c r="EK95" s="18">
        <f>EJ95*VLOOKUP('Données projet'!$B$15,Paramètres!$A$1:$I$89,3,0)*VLOOKUP('Données projet'!$B$15,Paramètres!$A$1:$I$89,5,0)</f>
        <v>216.63400000000004</v>
      </c>
      <c r="EL95" s="14">
        <f t="shared" si="99"/>
        <v>53.382647066119048</v>
      </c>
      <c r="EM95" s="22">
        <f t="shared" si="73"/>
        <v>470.27899364015747</v>
      </c>
      <c r="EN95" s="60">
        <f t="shared" si="74"/>
        <v>745.28929568326919</v>
      </c>
      <c r="EO95" s="60">
        <f ca="1">AVERAGE(OFFSET($EN$3,0,0,'Données projet'!$E$15+1,1))-AVERAGE(OFFSET($H$3,0,0,'Données projet'!$E$15+1,1))</f>
        <v>396.0878652679051</v>
      </c>
      <c r="EP95" s="60">
        <f t="shared" si="100"/>
        <v>327.26339199235406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-5.6843418860808015E-14</v>
      </c>
      <c r="FF95" s="18">
        <f>FE95*VLOOKUP('Données projet'!$B$16,Paramètres!$A$1:$I$89,3,0)*VLOOKUP('Données projet'!$B$16,Paramètres!$A$1:$I$89,5,0)</f>
        <v>-4.1677594708744434E-14</v>
      </c>
      <c r="FG95" s="14" t="e">
        <f t="shared" si="101"/>
        <v>#NUM!</v>
      </c>
      <c r="FH95" s="22" t="e">
        <f t="shared" si="76"/>
        <v>#NUM!</v>
      </c>
      <c r="FI95" s="60" t="e">
        <f t="shared" si="77"/>
        <v>#NUM!</v>
      </c>
      <c r="FJ95" s="60">
        <f ca="1">AVERAGE(OFFSET($FI$3,0,0,'Données projet'!$E$16+1,1))-AVERAGE(OFFSET($H$3,0,0,'Données projet'!$E$16+1,1))</f>
        <v>368.35775920359396</v>
      </c>
      <c r="FK95" s="60">
        <f t="shared" si="102"/>
        <v>395.5218438652638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8.9</v>
      </c>
      <c r="FZ95" s="13">
        <f>IF('Données projet'!$A$244&gt;35,FZ94+FY95-GH94,IF(A95&lt;'Données projet'!$A$244,$FW$205^A95,IF(A95='Données projet'!$A$244,'Données projet'!$B$244,FZ94+FY95-GH94)))</f>
        <v>467.29999999999984</v>
      </c>
      <c r="GA95" s="18">
        <f>FZ95*VLOOKUP('Données projet'!$B$17,Paramètres!$A$1:$I$89,3,0)*VLOOKUP('Données projet'!$B$17,Paramètres!$A$1:$I$89,5,0)</f>
        <v>400.94339999999988</v>
      </c>
      <c r="GB95" s="14">
        <f t="shared" si="103"/>
        <v>91.967898863116829</v>
      </c>
      <c r="GC95" s="22">
        <f t="shared" si="79"/>
        <v>858.48717885326153</v>
      </c>
      <c r="GD95" s="60">
        <f t="shared" si="80"/>
        <v>1133.4974808963732</v>
      </c>
      <c r="GE95" s="60">
        <f ca="1">AVERAGE(OFFSET($GD$3,0,0,'Données projet'!$E$17+1,1))-AVERAGE(OFFSET($H$3,0,0,'Données projet'!$E$17+1,1))</f>
        <v>701.44583662096022</v>
      </c>
      <c r="GF95" s="60">
        <f t="shared" si="104"/>
        <v>331.25104323342907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-1.1368683772161603E-13</v>
      </c>
      <c r="GV95" s="18">
        <f>GU95*VLOOKUP('Données projet'!$B$18,Paramètres!$A$1:$I$89,3,0)*VLOOKUP('Données projet'!$B$18,Paramètres!$A$1:$I$89,5,0)</f>
        <v>-9.2222762759774927E-14</v>
      </c>
      <c r="GW95" s="14" t="e">
        <f t="shared" si="105"/>
        <v>#NUM!</v>
      </c>
      <c r="GX95" s="22" t="e">
        <f t="shared" si="82"/>
        <v>#NUM!</v>
      </c>
      <c r="GY95" s="60" t="e">
        <f t="shared" si="83"/>
        <v>#NUM!</v>
      </c>
      <c r="GZ95" s="60">
        <f ca="1">AVERAGE(OFFSET($GY$3,0,0,'Données projet'!$E$18+1,1))-AVERAGE(OFFSET($H$3,0,0,'Données projet'!$E$18+1,1))</f>
        <v>272.69564942740931</v>
      </c>
      <c r="HA95" s="60">
        <f t="shared" si="106"/>
        <v>316.57989180609252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25">
      <c r="A96" s="11">
        <f t="shared" si="85"/>
        <v>93</v>
      </c>
      <c r="B96" s="75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8">
        <f t="shared" si="56"/>
        <v>183.33333333333334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5.9</v>
      </c>
      <c r="N96" s="14">
        <f>IF('Données projet'!$A$36&gt;35,N95+M96-V95,IF(A96&lt;'Données projet'!$A$36,$K$205^A96,IF(A96='Données projet'!$A$36,'Données projet'!$B$36,N95+M96-V95)))</f>
        <v>319.70000000000016</v>
      </c>
      <c r="O96" s="14">
        <f>N96*VLOOKUP('Données projet'!$B$9,Paramètres!$A$1:$I$89,3,0)*VLOOKUP('Données projet'!$B$9,Paramètres!$A$1:$I$89,5,0)</f>
        <v>289.26456000000013</v>
      </c>
      <c r="P96" s="14">
        <f t="shared" si="87"/>
        <v>68.921152085057912</v>
      </c>
      <c r="Q96" s="22">
        <f t="shared" si="54"/>
        <v>623.84011521480943</v>
      </c>
      <c r="R96" s="60">
        <f t="shared" si="55"/>
        <v>899.16828088664533</v>
      </c>
      <c r="S96" s="60">
        <f ca="1">AVERAGE(OFFSET($R$3,0,0,'Données projet'!$E$9+1,1))-AVERAGE(OFFSET($H$3,0,0,'Données projet'!$E$9+1,1))</f>
        <v>570.08763950759544</v>
      </c>
      <c r="T96" s="60">
        <f t="shared" si="88"/>
        <v>297.32483725004136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-5.6843418860808015E-14</v>
      </c>
      <c r="AJ96" s="14">
        <f>AI96*VLOOKUP('Données projet'!$B$10,Paramètres!$A$1:$I$89,3,0)*VLOOKUP('Données projet'!$B$10,Paramètres!$A$1:$I$89,5,0)</f>
        <v>-4.5224624045658861E-14</v>
      </c>
      <c r="AK96" s="14" t="e">
        <f t="shared" si="89"/>
        <v>#NUM!</v>
      </c>
      <c r="AL96" s="22" t="e">
        <f t="shared" si="58"/>
        <v>#NUM!</v>
      </c>
      <c r="AM96" s="60" t="e">
        <f t="shared" si="59"/>
        <v>#NUM!</v>
      </c>
      <c r="AN96" s="60">
        <f ca="1">AVERAGE(OFFSET($AM$3,0,0,'Données projet'!$E$10+1,1))-AVERAGE(OFFSET($H$3,0,0,'Données projet'!$E$10+1,1))</f>
        <v>394.49874384716014</v>
      </c>
      <c r="AO96" s="60">
        <f t="shared" si="90"/>
        <v>423.72519584013378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3.8461538461538511</v>
      </c>
      <c r="BD96" s="13">
        <f>IF('Données projet'!$A$88&gt;35,BD95+BC96-BL95,IF(A96&lt;'Données projet'!$A$88,$BA$205^A96,IF(A96='Données projet'!$A$88,'Données projet'!$B$88,BD95+BC96-BL95)))</f>
        <v>260.25641025641022</v>
      </c>
      <c r="BE96" s="14">
        <f>BD96*VLOOKUP('Données projet'!$B$11,Paramètres!$A$1:$I$89,3,0)*VLOOKUP('Données projet'!$B$11,Paramètres!$A$1:$I$89,5,0)</f>
        <v>247.65999999999994</v>
      </c>
      <c r="BF96" s="14">
        <f t="shared" si="91"/>
        <v>60.084591153326222</v>
      </c>
      <c r="BG96" s="22">
        <f t="shared" si="61"/>
        <v>535.98849625870969</v>
      </c>
      <c r="BH96" s="60">
        <f t="shared" si="62"/>
        <v>811.31666193054571</v>
      </c>
      <c r="BI96" s="60">
        <f ca="1">AVERAGE(OFFSET($BH$3,0,0,'Données projet'!$E$11+1,1))-AVERAGE(OFFSET($H$3,0,0,'Données projet'!$E$11+1,1))</f>
        <v>441.15969139782891</v>
      </c>
      <c r="BJ96" s="60">
        <f t="shared" si="92"/>
        <v>315.06466790224783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1.1368683772161603E-13</v>
      </c>
      <c r="BZ96" s="14">
        <f>BY96*VLOOKUP('Données projet'!$B$12,Paramètres!$A$1:$I$89,3,0)*VLOOKUP('Données projet'!$B$12,Paramètres!$A$1:$I$89,5,0)</f>
        <v>8.8675733422860506E-14</v>
      </c>
      <c r="CA96" s="14">
        <f t="shared" si="93"/>
        <v>1.3509285393066301E-12</v>
      </c>
      <c r="CB96" s="22">
        <f t="shared" si="64"/>
        <v>2.5073107750038623E-12</v>
      </c>
      <c r="CC96" s="60">
        <f t="shared" si="65"/>
        <v>275.32816567183846</v>
      </c>
      <c r="CD96" s="60">
        <f ca="1">AVERAGE(OFFSET($CC$3,0,0,'Données projet'!$E$12+1,1))-AVERAGE(OFFSET($H$3,0,0,'Données projet'!$E$12+1,1))</f>
        <v>312.59632808777332</v>
      </c>
      <c r="CE96" s="60">
        <f t="shared" si="94"/>
        <v>302.59481222418219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5.9</v>
      </c>
      <c r="CT96" s="13">
        <f>IF('Données projet'!$A$140&gt;35,CT95+CS96-DB95,IF(A96&lt;'Données projet'!$A$140,$CQ$205^A96,IF(A96='Données projet'!$A$140,'Données projet'!$B$140,CT95+CS96-DB95)))</f>
        <v>319.70000000000016</v>
      </c>
      <c r="CU96" s="18">
        <f>CT96*VLOOKUP('Données projet'!$B$13,Paramètres!$A$1:$I$89,3,0)*VLOOKUP('Données projet'!$B$13,Paramètres!$A$1:$I$89,5,0)</f>
        <v>309.21384000000012</v>
      </c>
      <c r="CV96" s="14">
        <f t="shared" si="95"/>
        <v>73.104624418450499</v>
      </c>
      <c r="CW96" s="22">
        <f t="shared" si="67"/>
        <v>665.87132552880155</v>
      </c>
      <c r="CX96" s="60">
        <f t="shared" si="68"/>
        <v>941.19949120063757</v>
      </c>
      <c r="CY96" s="60">
        <f ca="1">AVERAGE(OFFSET($CX$3,0,0,'Données projet'!$E$13+1,1))-AVERAGE(OFFSET($H$3,0,0,'Données projet'!$E$13+1,1))</f>
        <v>603.52431522262032</v>
      </c>
      <c r="CZ96" s="60">
        <f t="shared" si="96"/>
        <v>313.56299786481338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5.9</v>
      </c>
      <c r="DO96" s="13">
        <f>IF('Données projet'!$A$166&gt;35,DO95+DN96-DW95,IF(A96&lt;'Données projet'!$A$166,$DL$205^A96,IF(A96='Données projet'!$A$166,'Données projet'!$B$166,DO95+DN96-DW95)))</f>
        <v>319.70000000000016</v>
      </c>
      <c r="DP96" s="18">
        <f>DO96*VLOOKUP('Données projet'!$B$14,Paramètres!$A$1:$I$89,3,0)*VLOOKUP('Données projet'!$B$14,Paramètres!$A$1:$I$89,5,0)</f>
        <v>344.1250800000002</v>
      </c>
      <c r="DQ96" s="14">
        <f t="shared" si="97"/>
        <v>80.351614966531784</v>
      </c>
      <c r="DR96" s="22">
        <f t="shared" si="70"/>
        <v>739.29691040004309</v>
      </c>
      <c r="DS96" s="60">
        <f t="shared" si="71"/>
        <v>1014.625076071879</v>
      </c>
      <c r="DT96" s="60">
        <f ca="1">AVERAGE(OFFSET($DS$3,0,0,'Données projet'!$E$14+1,1))-AVERAGE(OFFSET($H$3,0,0,'Données projet'!$E$14+1,1))</f>
        <v>661.93515988633499</v>
      </c>
      <c r="DU96" s="60">
        <f t="shared" si="98"/>
        <v>341.9250949809848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4.102564102564088</v>
      </c>
      <c r="EJ96" s="13">
        <f>IF('Données projet'!$A$192&gt;35,EJ95+EI96-ER95,IF(A96&lt;'Données projet'!$A$192,$EG$205^A96,IF(A96='Données projet'!$A$192,'Données projet'!$B$192,EJ95+EI96-ER95)))</f>
        <v>327.0512820512821</v>
      </c>
      <c r="EK96" s="18">
        <f>EJ96*VLOOKUP('Données projet'!$B$15,Paramètres!$A$1:$I$89,3,0)*VLOOKUP('Données projet'!$B$15,Paramètres!$A$1:$I$89,5,0)</f>
        <v>219.38600000000002</v>
      </c>
      <c r="EL96" s="14">
        <f t="shared" si="99"/>
        <v>53.981414155321495</v>
      </c>
      <c r="EM96" s="22">
        <f t="shared" si="73"/>
        <v>476.11491298718494</v>
      </c>
      <c r="EN96" s="60">
        <f t="shared" si="74"/>
        <v>751.4430786590209</v>
      </c>
      <c r="EO96" s="60">
        <f ca="1">AVERAGE(OFFSET($EN$3,0,0,'Données projet'!$E$15+1,1))-AVERAGE(OFFSET($H$3,0,0,'Données projet'!$E$15+1,1))</f>
        <v>396.0878652679051</v>
      </c>
      <c r="EP96" s="60">
        <f t="shared" si="100"/>
        <v>327.26339199235406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-5.6843418860808015E-14</v>
      </c>
      <c r="FF96" s="18">
        <f>FE96*VLOOKUP('Données projet'!$B$16,Paramètres!$A$1:$I$89,3,0)*VLOOKUP('Données projet'!$B$16,Paramètres!$A$1:$I$89,5,0)</f>
        <v>-4.1677594708744434E-14</v>
      </c>
      <c r="FG96" s="14" t="e">
        <f t="shared" si="101"/>
        <v>#NUM!</v>
      </c>
      <c r="FH96" s="22" t="e">
        <f t="shared" si="76"/>
        <v>#NUM!</v>
      </c>
      <c r="FI96" s="60" t="e">
        <f t="shared" si="77"/>
        <v>#NUM!</v>
      </c>
      <c r="FJ96" s="60">
        <f ca="1">AVERAGE(OFFSET($FI$3,0,0,'Données projet'!$E$16+1,1))-AVERAGE(OFFSET($H$3,0,0,'Données projet'!$E$16+1,1))</f>
        <v>368.35775920359396</v>
      </c>
      <c r="FK96" s="60">
        <f t="shared" si="102"/>
        <v>395.5218438652638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8.9</v>
      </c>
      <c r="FZ96" s="13">
        <f>IF('Données projet'!$A$244&gt;35,FZ95+FY96-GH95,IF(A96&lt;'Données projet'!$A$244,$FW$205^A96,IF(A96='Données projet'!$A$244,'Données projet'!$B$244,FZ95+FY96-GH95)))</f>
        <v>476.19999999999982</v>
      </c>
      <c r="GA96" s="18">
        <f>FZ96*VLOOKUP('Données projet'!$B$17,Paramètres!$A$1:$I$89,3,0)*VLOOKUP('Données projet'!$B$17,Paramètres!$A$1:$I$89,5,0)</f>
        <v>408.57959999999986</v>
      </c>
      <c r="GB96" s="14">
        <f t="shared" si="103"/>
        <v>93.513893265221384</v>
      </c>
      <c r="GC96" s="22">
        <f t="shared" si="79"/>
        <v>874.47950077026019</v>
      </c>
      <c r="GD96" s="60">
        <f t="shared" si="80"/>
        <v>1149.8076664420962</v>
      </c>
      <c r="GE96" s="60">
        <f ca="1">AVERAGE(OFFSET($GD$3,0,0,'Données projet'!$E$17+1,1))-AVERAGE(OFFSET($H$3,0,0,'Données projet'!$E$17+1,1))</f>
        <v>701.44583662096022</v>
      </c>
      <c r="GF96" s="60">
        <f t="shared" si="104"/>
        <v>331.25104323342907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-1.1368683772161603E-13</v>
      </c>
      <c r="GV96" s="18">
        <f>GU96*VLOOKUP('Données projet'!$B$18,Paramètres!$A$1:$I$89,3,0)*VLOOKUP('Données projet'!$B$18,Paramètres!$A$1:$I$89,5,0)</f>
        <v>-9.2222762759774927E-14</v>
      </c>
      <c r="GW96" s="14" t="e">
        <f t="shared" si="105"/>
        <v>#NUM!</v>
      </c>
      <c r="GX96" s="22" t="e">
        <f t="shared" si="82"/>
        <v>#NUM!</v>
      </c>
      <c r="GY96" s="60" t="e">
        <f t="shared" si="83"/>
        <v>#NUM!</v>
      </c>
      <c r="GZ96" s="60">
        <f ca="1">AVERAGE(OFFSET($GY$3,0,0,'Données projet'!$E$18+1,1))-AVERAGE(OFFSET($H$3,0,0,'Données projet'!$E$18+1,1))</f>
        <v>272.69564942740931</v>
      </c>
      <c r="HA96" s="60">
        <f t="shared" si="106"/>
        <v>316.57989180609252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25">
      <c r="A97" s="11">
        <f t="shared" si="85"/>
        <v>94</v>
      </c>
      <c r="B97" s="75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8">
        <f t="shared" si="56"/>
        <v>183.33333333333334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5.9</v>
      </c>
      <c r="N97" s="14">
        <f>IF('Données projet'!$A$36&gt;35,N96+M97-V96,IF(A97&lt;'Données projet'!$A$36,$K$205^A97,IF(A97='Données projet'!$A$36,'Données projet'!$B$36,N96+M97-V96)))</f>
        <v>325.60000000000014</v>
      </c>
      <c r="O97" s="14">
        <f>N97*VLOOKUP('Données projet'!$B$9,Paramètres!$A$1:$I$89,3,0)*VLOOKUP('Données projet'!$B$9,Paramètres!$A$1:$I$89,5,0)</f>
        <v>294.60288000000014</v>
      </c>
      <c r="P97" s="14">
        <f t="shared" si="87"/>
        <v>70.043827142305744</v>
      </c>
      <c r="Q97" s="22">
        <f t="shared" si="54"/>
        <v>635.09301493951614</v>
      </c>
      <c r="R97" s="60">
        <f t="shared" si="55"/>
        <v>910.73353001675468</v>
      </c>
      <c r="S97" s="60">
        <f ca="1">AVERAGE(OFFSET($R$3,0,0,'Données projet'!$E$9+1,1))-AVERAGE(OFFSET($H$3,0,0,'Données projet'!$E$9+1,1))</f>
        <v>570.08763950759544</v>
      </c>
      <c r="T97" s="60">
        <f t="shared" si="88"/>
        <v>297.32483725004136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-5.6843418860808015E-14</v>
      </c>
      <c r="AJ97" s="14">
        <f>AI97*VLOOKUP('Données projet'!$B$10,Paramètres!$A$1:$I$89,3,0)*VLOOKUP('Données projet'!$B$10,Paramètres!$A$1:$I$89,5,0)</f>
        <v>-4.5224624045658861E-14</v>
      </c>
      <c r="AK97" s="14" t="e">
        <f t="shared" si="89"/>
        <v>#NUM!</v>
      </c>
      <c r="AL97" s="22" t="e">
        <f t="shared" si="58"/>
        <v>#NUM!</v>
      </c>
      <c r="AM97" s="60" t="e">
        <f t="shared" si="59"/>
        <v>#NUM!</v>
      </c>
      <c r="AN97" s="60">
        <f ca="1">AVERAGE(OFFSET($AM$3,0,0,'Données projet'!$E$10+1,1))-AVERAGE(OFFSET($H$3,0,0,'Données projet'!$E$10+1,1))</f>
        <v>394.49874384716014</v>
      </c>
      <c r="AO97" s="60">
        <f t="shared" si="90"/>
        <v>423.72519584013378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3.8461538461538511</v>
      </c>
      <c r="BD97" s="13">
        <f>IF('Données projet'!$A$88&gt;35,BD96+BC97-BL96,IF(A97&lt;'Données projet'!$A$88,$BA$205^A97,IF(A97='Données projet'!$A$88,'Données projet'!$B$88,BD96+BC97-BL96)))</f>
        <v>264.10256410256409</v>
      </c>
      <c r="BE97" s="14">
        <f>BD97*VLOOKUP('Données projet'!$B$11,Paramètres!$A$1:$I$89,3,0)*VLOOKUP('Données projet'!$B$11,Paramètres!$A$1:$I$89,5,0)</f>
        <v>251.32</v>
      </c>
      <c r="BF97" s="14">
        <f t="shared" si="91"/>
        <v>60.868512295963441</v>
      </c>
      <c r="BG97" s="22">
        <f t="shared" si="61"/>
        <v>543.72832558213634</v>
      </c>
      <c r="BH97" s="60">
        <f t="shared" si="62"/>
        <v>819.36884065937488</v>
      </c>
      <c r="BI97" s="60">
        <f ca="1">AVERAGE(OFFSET($BH$3,0,0,'Données projet'!$E$11+1,1))-AVERAGE(OFFSET($H$3,0,0,'Données projet'!$E$11+1,1))</f>
        <v>441.15969139782891</v>
      </c>
      <c r="BJ97" s="60">
        <f t="shared" si="92"/>
        <v>315.06466790224783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1.1368683772161603E-13</v>
      </c>
      <c r="BZ97" s="14">
        <f>BY97*VLOOKUP('Données projet'!$B$12,Paramètres!$A$1:$I$89,3,0)*VLOOKUP('Données projet'!$B$12,Paramètres!$A$1:$I$89,5,0)</f>
        <v>8.8675733422860506E-14</v>
      </c>
      <c r="CA97" s="14">
        <f t="shared" si="93"/>
        <v>1.3509285393066301E-12</v>
      </c>
      <c r="CB97" s="22">
        <f t="shared" si="64"/>
        <v>2.5073107750038623E-12</v>
      </c>
      <c r="CC97" s="60">
        <f t="shared" si="65"/>
        <v>275.64051507724099</v>
      </c>
      <c r="CD97" s="60">
        <f ca="1">AVERAGE(OFFSET($CC$3,0,0,'Données projet'!$E$12+1,1))-AVERAGE(OFFSET($H$3,0,0,'Données projet'!$E$12+1,1))</f>
        <v>312.59632808777332</v>
      </c>
      <c r="CE97" s="60">
        <f t="shared" si="94"/>
        <v>302.59481222418219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5.9</v>
      </c>
      <c r="CT97" s="13">
        <f>IF('Données projet'!$A$140&gt;35,CT96+CS97-DB96,IF(A97&lt;'Données projet'!$A$140,$CQ$205^A97,IF(A97='Données projet'!$A$140,'Données projet'!$B$140,CT96+CS97-DB96)))</f>
        <v>325.60000000000014</v>
      </c>
      <c r="CU97" s="18">
        <f>CT97*VLOOKUP('Données projet'!$B$13,Paramètres!$A$1:$I$89,3,0)*VLOOKUP('Données projet'!$B$13,Paramètres!$A$1:$I$89,5,0)</f>
        <v>314.92032000000012</v>
      </c>
      <c r="CV97" s="14">
        <f t="shared" si="95"/>
        <v>74.295445174069556</v>
      </c>
      <c r="CW97" s="22">
        <f t="shared" si="67"/>
        <v>677.88412434483791</v>
      </c>
      <c r="CX97" s="60">
        <f t="shared" si="68"/>
        <v>953.52463942207646</v>
      </c>
      <c r="CY97" s="60">
        <f ca="1">AVERAGE(OFFSET($CX$3,0,0,'Données projet'!$E$13+1,1))-AVERAGE(OFFSET($H$3,0,0,'Données projet'!$E$13+1,1))</f>
        <v>603.52431522262032</v>
      </c>
      <c r="CZ97" s="60">
        <f t="shared" si="96"/>
        <v>313.56299786481338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5.9</v>
      </c>
      <c r="DO97" s="13">
        <f>IF('Données projet'!$A$166&gt;35,DO96+DN97-DW96,IF(A97&lt;'Données projet'!$A$166,$DL$205^A97,IF(A97='Données projet'!$A$166,'Données projet'!$B$166,DO96+DN97-DW96)))</f>
        <v>325.60000000000014</v>
      </c>
      <c r="DP97" s="18">
        <f>DO97*VLOOKUP('Données projet'!$B$14,Paramètres!$A$1:$I$89,3,0)*VLOOKUP('Données projet'!$B$14,Paramètres!$A$1:$I$89,5,0)</f>
        <v>350.47584000000012</v>
      </c>
      <c r="DQ97" s="14">
        <f t="shared" si="97"/>
        <v>81.660483887079877</v>
      </c>
      <c r="DR97" s="22">
        <f t="shared" si="70"/>
        <v>752.63743076999765</v>
      </c>
      <c r="DS97" s="60">
        <f t="shared" si="71"/>
        <v>1028.2779458472362</v>
      </c>
      <c r="DT97" s="60">
        <f ca="1">AVERAGE(OFFSET($DS$3,0,0,'Données projet'!$E$14+1,1))-AVERAGE(OFFSET($H$3,0,0,'Données projet'!$E$14+1,1))</f>
        <v>661.93515988633499</v>
      </c>
      <c r="DU97" s="60">
        <f t="shared" si="98"/>
        <v>341.9250949809848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4.102564102564088</v>
      </c>
      <c r="EJ97" s="13">
        <f>IF('Données projet'!$A$192&gt;35,EJ96+EI97-ER96,IF(A97&lt;'Données projet'!$A$192,$EG$205^A97,IF(A97='Données projet'!$A$192,'Données projet'!$B$192,EJ96+EI97-ER96)))</f>
        <v>331.15384615384619</v>
      </c>
      <c r="EK97" s="18">
        <f>EJ97*VLOOKUP('Données projet'!$B$15,Paramètres!$A$1:$I$89,3,0)*VLOOKUP('Données projet'!$B$15,Paramètres!$A$1:$I$89,5,0)</f>
        <v>222.13800000000001</v>
      </c>
      <c r="EL97" s="14">
        <f t="shared" si="99"/>
        <v>54.579307578512022</v>
      </c>
      <c r="EM97" s="22">
        <f t="shared" si="73"/>
        <v>481.94931069924172</v>
      </c>
      <c r="EN97" s="60">
        <f t="shared" si="74"/>
        <v>757.58982577648021</v>
      </c>
      <c r="EO97" s="60">
        <f ca="1">AVERAGE(OFFSET($EN$3,0,0,'Données projet'!$E$15+1,1))-AVERAGE(OFFSET($H$3,0,0,'Données projet'!$E$15+1,1))</f>
        <v>396.0878652679051</v>
      </c>
      <c r="EP97" s="60">
        <f t="shared" si="100"/>
        <v>327.26339199235406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-5.6843418860808015E-14</v>
      </c>
      <c r="FF97" s="18">
        <f>FE97*VLOOKUP('Données projet'!$B$16,Paramètres!$A$1:$I$89,3,0)*VLOOKUP('Données projet'!$B$16,Paramètres!$A$1:$I$89,5,0)</f>
        <v>-4.1677594708744434E-14</v>
      </c>
      <c r="FG97" s="14" t="e">
        <f t="shared" si="101"/>
        <v>#NUM!</v>
      </c>
      <c r="FH97" s="22" t="e">
        <f t="shared" si="76"/>
        <v>#NUM!</v>
      </c>
      <c r="FI97" s="60" t="e">
        <f t="shared" si="77"/>
        <v>#NUM!</v>
      </c>
      <c r="FJ97" s="60">
        <f ca="1">AVERAGE(OFFSET($FI$3,0,0,'Données projet'!$E$16+1,1))-AVERAGE(OFFSET($H$3,0,0,'Données projet'!$E$16+1,1))</f>
        <v>368.35775920359396</v>
      </c>
      <c r="FK97" s="60">
        <f t="shared" si="102"/>
        <v>395.5218438652638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8.9</v>
      </c>
      <c r="FZ97" s="13">
        <f>IF('Données projet'!$A$244&gt;35,FZ96+FY97-GH96,IF(A97&lt;'Données projet'!$A$244,$FW$205^A97,IF(A97='Données projet'!$A$244,'Données projet'!$B$244,FZ96+FY97-GH96)))</f>
        <v>485.0999999999998</v>
      </c>
      <c r="GA97" s="18">
        <f>FZ97*VLOOKUP('Données projet'!$B$17,Paramètres!$A$1:$I$89,3,0)*VLOOKUP('Données projet'!$B$17,Paramètres!$A$1:$I$89,5,0)</f>
        <v>416.21579999999983</v>
      </c>
      <c r="GB97" s="14">
        <f t="shared" si="103"/>
        <v>95.056527847955991</v>
      </c>
      <c r="GC97" s="22">
        <f t="shared" si="79"/>
        <v>890.46597100185636</v>
      </c>
      <c r="GD97" s="60">
        <f t="shared" si="80"/>
        <v>1166.1064860790948</v>
      </c>
      <c r="GE97" s="60">
        <f ca="1">AVERAGE(OFFSET($GD$3,0,0,'Données projet'!$E$17+1,1))-AVERAGE(OFFSET($H$3,0,0,'Données projet'!$E$17+1,1))</f>
        <v>701.44583662096022</v>
      </c>
      <c r="GF97" s="60">
        <f t="shared" si="104"/>
        <v>331.25104323342907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-1.1368683772161603E-13</v>
      </c>
      <c r="GV97" s="18">
        <f>GU97*VLOOKUP('Données projet'!$B$18,Paramètres!$A$1:$I$89,3,0)*VLOOKUP('Données projet'!$B$18,Paramètres!$A$1:$I$89,5,0)</f>
        <v>-9.2222762759774927E-14</v>
      </c>
      <c r="GW97" s="14" t="e">
        <f t="shared" si="105"/>
        <v>#NUM!</v>
      </c>
      <c r="GX97" s="22" t="e">
        <f t="shared" si="82"/>
        <v>#NUM!</v>
      </c>
      <c r="GY97" s="60" t="e">
        <f t="shared" si="83"/>
        <v>#NUM!</v>
      </c>
      <c r="GZ97" s="60">
        <f ca="1">AVERAGE(OFFSET($GY$3,0,0,'Données projet'!$E$18+1,1))-AVERAGE(OFFSET($H$3,0,0,'Données projet'!$E$18+1,1))</f>
        <v>272.69564942740931</v>
      </c>
      <c r="HA97" s="60">
        <f t="shared" si="106"/>
        <v>316.57989180609252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25">
      <c r="A98" s="11">
        <f t="shared" si="85"/>
        <v>95</v>
      </c>
      <c r="B98" s="75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8">
        <f t="shared" si="56"/>
        <v>183.33333333333334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5.9</v>
      </c>
      <c r="N98" s="14">
        <f>IF('Données projet'!$A$36&gt;35,N97+M98-V97,IF(A98&lt;'Données projet'!$A$36,$K$205^A98,IF(A98='Données projet'!$A$36,'Données projet'!$B$36,N97+M98-V97)))</f>
        <v>331.50000000000011</v>
      </c>
      <c r="O98" s="14">
        <f>N98*VLOOKUP('Données projet'!$B$9,Paramètres!$A$1:$I$89,3,0)*VLOOKUP('Données projet'!$B$9,Paramètres!$A$1:$I$89,5,0)</f>
        <v>299.94120000000009</v>
      </c>
      <c r="P98" s="14">
        <f t="shared" si="87"/>
        <v>71.164136596531577</v>
      </c>
      <c r="Q98" s="22">
        <f t="shared" si="54"/>
        <v>646.34179457229266</v>
      </c>
      <c r="R98" s="60">
        <f t="shared" si="55"/>
        <v>922.28924049105854</v>
      </c>
      <c r="S98" s="60">
        <f ca="1">AVERAGE(OFFSET($R$3,0,0,'Données projet'!$E$9+1,1))-AVERAGE(OFFSET($H$3,0,0,'Données projet'!$E$9+1,1))</f>
        <v>570.08763950759544</v>
      </c>
      <c r="T98" s="60">
        <f t="shared" si="88"/>
        <v>297.32483725004136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-5.6843418860808015E-14</v>
      </c>
      <c r="AJ98" s="14">
        <f>AI98*VLOOKUP('Données projet'!$B$10,Paramètres!$A$1:$I$89,3,0)*VLOOKUP('Données projet'!$B$10,Paramètres!$A$1:$I$89,5,0)</f>
        <v>-4.5224624045658861E-14</v>
      </c>
      <c r="AK98" s="14" t="e">
        <f t="shared" si="89"/>
        <v>#NUM!</v>
      </c>
      <c r="AL98" s="22" t="e">
        <f t="shared" si="58"/>
        <v>#NUM!</v>
      </c>
      <c r="AM98" s="60" t="e">
        <f t="shared" si="59"/>
        <v>#NUM!</v>
      </c>
      <c r="AN98" s="60">
        <f ca="1">AVERAGE(OFFSET($AM$3,0,0,'Données projet'!$E$10+1,1))-AVERAGE(OFFSET($H$3,0,0,'Données projet'!$E$10+1,1))</f>
        <v>394.49874384716014</v>
      </c>
      <c r="AO98" s="60">
        <f t="shared" si="90"/>
        <v>423.72519584013378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267.94871794871796</v>
      </c>
      <c r="BB98" s="13">
        <f>VLOOKUP(A98,'Données projet'!$A$87:$I$107,9,0)</f>
        <v>3.8461538461538511</v>
      </c>
      <c r="BC98" s="13">
        <f t="array" ref="BC98">INDEX(BB:BB,MIN(IF(ISNUMBER(BB98:BB294),ROW(BB98:BB294),"")))</f>
        <v>3.8461538461538511</v>
      </c>
      <c r="BD98" s="13">
        <f>IF('Données projet'!$A$88&gt;35,BD97+BC98-BL97,IF(A98&lt;'Données projet'!$A$88,$BA$205^A98,IF(A98='Données projet'!$A$88,'Données projet'!$B$88,BD97+BC98-BL97)))</f>
        <v>267.94871794871796</v>
      </c>
      <c r="BE98" s="14">
        <f>BD98*VLOOKUP('Données projet'!$B$11,Paramètres!$A$1:$I$89,3,0)*VLOOKUP('Données projet'!$B$11,Paramètres!$A$1:$I$89,5,0)</f>
        <v>254.98000000000002</v>
      </c>
      <c r="BF98" s="14">
        <f t="shared" si="91"/>
        <v>61.651105654144821</v>
      </c>
      <c r="BG98" s="22">
        <f t="shared" si="61"/>
        <v>551.46584234763566</v>
      </c>
      <c r="BH98" s="60">
        <f t="shared" si="62"/>
        <v>827.41328826640165</v>
      </c>
      <c r="BI98" s="60">
        <f ca="1">AVERAGE(OFFSET($BH$3,0,0,'Données projet'!$E$11+1,1))-AVERAGE(OFFSET($H$3,0,0,'Données projet'!$E$11+1,1))</f>
        <v>441.15969139782891</v>
      </c>
      <c r="BJ98" s="60">
        <f t="shared" si="92"/>
        <v>315.06466790224783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27.564102564102562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1.1368683772161603E-13</v>
      </c>
      <c r="BZ98" s="14">
        <f>BY98*VLOOKUP('Données projet'!$B$12,Paramètres!$A$1:$I$89,3,0)*VLOOKUP('Données projet'!$B$12,Paramètres!$A$1:$I$89,5,0)</f>
        <v>8.8675733422860506E-14</v>
      </c>
      <c r="CA98" s="14">
        <f t="shared" si="93"/>
        <v>1.3509285393066301E-12</v>
      </c>
      <c r="CB98" s="22">
        <f t="shared" si="64"/>
        <v>2.5073107750038623E-12</v>
      </c>
      <c r="CC98" s="60">
        <f t="shared" si="65"/>
        <v>275.94744591876844</v>
      </c>
      <c r="CD98" s="60">
        <f ca="1">AVERAGE(OFFSET($CC$3,0,0,'Données projet'!$E$12+1,1))-AVERAGE(OFFSET($H$3,0,0,'Données projet'!$E$12+1,1))</f>
        <v>312.59632808777332</v>
      </c>
      <c r="CE98" s="60">
        <f t="shared" si="94"/>
        <v>302.59481222418219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5.9</v>
      </c>
      <c r="CT98" s="13">
        <f>IF('Données projet'!$A$140&gt;35,CT97+CS98-DB97,IF(A98&lt;'Données projet'!$A$140,$CQ$205^A98,IF(A98='Données projet'!$A$140,'Données projet'!$B$140,CT97+CS98-DB97)))</f>
        <v>331.50000000000011</v>
      </c>
      <c r="CU98" s="18">
        <f>CT98*VLOOKUP('Données projet'!$B$13,Paramètres!$A$1:$I$89,3,0)*VLOOKUP('Données projet'!$B$13,Paramètres!$A$1:$I$89,5,0)</f>
        <v>320.62680000000012</v>
      </c>
      <c r="CV98" s="14">
        <f t="shared" si="95"/>
        <v>75.483756735990909</v>
      </c>
      <c r="CW98" s="22">
        <f t="shared" si="67"/>
        <v>689.89255298185105</v>
      </c>
      <c r="CX98" s="60">
        <f t="shared" si="68"/>
        <v>965.83999890061705</v>
      </c>
      <c r="CY98" s="60">
        <f ca="1">AVERAGE(OFFSET($CX$3,0,0,'Données projet'!$E$13+1,1))-AVERAGE(OFFSET($H$3,0,0,'Données projet'!$E$13+1,1))</f>
        <v>603.52431522262032</v>
      </c>
      <c r="CZ98" s="60">
        <f t="shared" si="96"/>
        <v>313.56299786481338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5.9</v>
      </c>
      <c r="DO98" s="13">
        <f>IF('Données projet'!$A$166&gt;35,DO97+DN98-DW97,IF(A98&lt;'Données projet'!$A$166,$DL$205^A98,IF(A98='Données projet'!$A$166,'Données projet'!$B$166,DO97+DN98-DW97)))</f>
        <v>331.50000000000011</v>
      </c>
      <c r="DP98" s="18">
        <f>DO98*VLOOKUP('Données projet'!$B$14,Paramètres!$A$1:$I$89,3,0)*VLOOKUP('Données projet'!$B$14,Paramètres!$A$1:$I$89,5,0)</f>
        <v>356.8266000000001</v>
      </c>
      <c r="DQ98" s="14">
        <f t="shared" si="97"/>
        <v>82.966594873127022</v>
      </c>
      <c r="DR98" s="22">
        <f t="shared" si="70"/>
        <v>765.97314773736298</v>
      </c>
      <c r="DS98" s="60">
        <f t="shared" si="71"/>
        <v>1041.9205936561289</v>
      </c>
      <c r="DT98" s="60">
        <f ca="1">AVERAGE(OFFSET($DS$3,0,0,'Données projet'!$E$14+1,1))-AVERAGE(OFFSET($H$3,0,0,'Données projet'!$E$14+1,1))</f>
        <v>661.93515988633499</v>
      </c>
      <c r="DU98" s="60">
        <f t="shared" si="98"/>
        <v>341.9250949809848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335.25641025641022</v>
      </c>
      <c r="EH98" s="13">
        <f>VLOOKUP(A98,'Données projet'!$A$191:$I$211,9,0)</f>
        <v>4.102564102564088</v>
      </c>
      <c r="EI98" s="13">
        <f t="array" ref="EI98">INDEX(EH:EH,MIN(IF(ISNUMBER(EH98:EH294),ROW(EH98:EH294),"")))</f>
        <v>4.102564102564088</v>
      </c>
      <c r="EJ98" s="13">
        <f>IF('Données projet'!$A$192&gt;35,EJ97+EI98-ER97,IF(A98&lt;'Données projet'!$A$192,$EG$205^A98,IF(A98='Données projet'!$A$192,'Données projet'!$B$192,EJ97+EI98-ER97)))</f>
        <v>335.25641025641028</v>
      </c>
      <c r="EK98" s="18">
        <f>EJ98*VLOOKUP('Données projet'!$B$15,Paramètres!$A$1:$I$89,3,0)*VLOOKUP('Données projet'!$B$15,Paramètres!$A$1:$I$89,5,0)</f>
        <v>224.89000000000001</v>
      </c>
      <c r="EL98" s="14">
        <f t="shared" si="99"/>
        <v>55.17633941105067</v>
      </c>
      <c r="EM98" s="22">
        <f t="shared" si="73"/>
        <v>487.78220780757994</v>
      </c>
      <c r="EN98" s="60">
        <f t="shared" si="74"/>
        <v>763.72965372634587</v>
      </c>
      <c r="EO98" s="60">
        <f ca="1">AVERAGE(OFFSET($EN$3,0,0,'Données projet'!$E$15+1,1))-AVERAGE(OFFSET($H$3,0,0,'Données projet'!$E$15+1,1))</f>
        <v>396.0878652679051</v>
      </c>
      <c r="EP98" s="60">
        <f t="shared" si="100"/>
        <v>327.26339199235406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-5.6843418860808015E-14</v>
      </c>
      <c r="FF98" s="18">
        <f>FE98*VLOOKUP('Données projet'!$B$16,Paramètres!$A$1:$I$89,3,0)*VLOOKUP('Données projet'!$B$16,Paramètres!$A$1:$I$89,5,0)</f>
        <v>-4.1677594708744434E-14</v>
      </c>
      <c r="FG98" s="14" t="e">
        <f t="shared" si="101"/>
        <v>#NUM!</v>
      </c>
      <c r="FH98" s="22" t="e">
        <f t="shared" si="76"/>
        <v>#NUM!</v>
      </c>
      <c r="FI98" s="60" t="e">
        <f t="shared" si="77"/>
        <v>#NUM!</v>
      </c>
      <c r="FJ98" s="60">
        <f ca="1">AVERAGE(OFFSET($FI$3,0,0,'Données projet'!$E$16+1,1))-AVERAGE(OFFSET($H$3,0,0,'Données projet'!$E$16+1,1))</f>
        <v>368.35775920359396</v>
      </c>
      <c r="FK98" s="60">
        <f t="shared" si="102"/>
        <v>395.5218438652638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>
        <f>VLOOKUP(A98,'Données projet'!$A$243:$I$263,2,0)</f>
        <v>494</v>
      </c>
      <c r="FX98" s="13">
        <f>VLOOKUP(A98,'Données projet'!$A$243:$I$263,9,0)</f>
        <v>8.9</v>
      </c>
      <c r="FY98" s="13">
        <f t="array" ref="FY98">INDEX(FX:FX,MIN(IF(ISNUMBER(FX98:FX294),ROW(FX98:FX294),"")))</f>
        <v>8.9</v>
      </c>
      <c r="FZ98" s="13">
        <f>IF('Données projet'!$A$244&gt;35,FZ97+FY98-GH97,IF(A98&lt;'Données projet'!$A$244,$FW$205^A98,IF(A98='Données projet'!$A$244,'Données projet'!$B$244,FZ97+FY98-GH97)))</f>
        <v>493.99999999999977</v>
      </c>
      <c r="GA98" s="18">
        <f>FZ98*VLOOKUP('Données projet'!$B$17,Paramètres!$A$1:$I$89,3,0)*VLOOKUP('Données projet'!$B$17,Paramètres!$A$1:$I$89,5,0)</f>
        <v>423.8519999999998</v>
      </c>
      <c r="GB98" s="14">
        <f t="shared" si="103"/>
        <v>96.595871362472579</v>
      </c>
      <c r="GC98" s="22">
        <f t="shared" si="79"/>
        <v>906.44670928963933</v>
      </c>
      <c r="GD98" s="60">
        <f t="shared" si="80"/>
        <v>1182.3941552084052</v>
      </c>
      <c r="GE98" s="60">
        <f ca="1">AVERAGE(OFFSET($GD$3,0,0,'Données projet'!$E$17+1,1))-AVERAGE(OFFSET($H$3,0,0,'Données projet'!$E$17+1,1))</f>
        <v>701.44583662096022</v>
      </c>
      <c r="GF98" s="60">
        <f t="shared" si="104"/>
        <v>331.25104323342907</v>
      </c>
      <c r="GG98" s="16">
        <f>IF(ISNA(VLOOKUP(A98,'Données projet'!$A$243:$I$263,3,0)),0,VLOOKUP(A98,'Données projet'!$A$243:$I$263,3,0))</f>
        <v>8</v>
      </c>
      <c r="GH98" s="16">
        <f>IF(ISNA(VLOOKUP(A98,'Données projet'!$A$243:$I$263,4,0)),0,VLOOKUP(A98,'Données projet'!$A$243:$I$263,4,0))</f>
        <v>61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-1.1368683772161603E-13</v>
      </c>
      <c r="GV98" s="18">
        <f>GU98*VLOOKUP('Données projet'!$B$18,Paramètres!$A$1:$I$89,3,0)*VLOOKUP('Données projet'!$B$18,Paramètres!$A$1:$I$89,5,0)</f>
        <v>-9.2222762759774927E-14</v>
      </c>
      <c r="GW98" s="14" t="e">
        <f t="shared" si="105"/>
        <v>#NUM!</v>
      </c>
      <c r="GX98" s="22" t="e">
        <f t="shared" si="82"/>
        <v>#NUM!</v>
      </c>
      <c r="GY98" s="60" t="e">
        <f t="shared" si="83"/>
        <v>#NUM!</v>
      </c>
      <c r="GZ98" s="60">
        <f ca="1">AVERAGE(OFFSET($GY$3,0,0,'Données projet'!$E$18+1,1))-AVERAGE(OFFSET($H$3,0,0,'Données projet'!$E$18+1,1))</f>
        <v>272.69564942740931</v>
      </c>
      <c r="HA98" s="60">
        <f t="shared" si="106"/>
        <v>316.57989180609252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25">
      <c r="A99" s="11">
        <f t="shared" si="85"/>
        <v>96</v>
      </c>
      <c r="B99" s="75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8">
        <f t="shared" si="56"/>
        <v>183.33333333333334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5.9</v>
      </c>
      <c r="N99" s="14">
        <f>IF('Données projet'!$A$36&gt;35,N98+M99-V98,IF(A99&lt;'Données projet'!$A$36,$K$205^A99,IF(A99='Données projet'!$A$36,'Données projet'!$B$36,N98+M99-V98)))</f>
        <v>337.40000000000009</v>
      </c>
      <c r="O99" s="14">
        <f>N99*VLOOKUP('Données projet'!$B$9,Paramètres!$A$1:$I$89,3,0)*VLOOKUP('Données projet'!$B$9,Paramètres!$A$1:$I$89,5,0)</f>
        <v>305.27952000000005</v>
      </c>
      <c r="P99" s="14">
        <f t="shared" si="87"/>
        <v>72.282127407576866</v>
      </c>
      <c r="Q99" s="22">
        <f t="shared" ref="Q99:Q130" si="107">(O99+P99)*0.475*44/12</f>
        <v>657.58653590152971</v>
      </c>
      <c r="R99" s="60">
        <f t="shared" si="55"/>
        <v>933.83558809791714</v>
      </c>
      <c r="S99" s="60">
        <f ca="1">AVERAGE(OFFSET($R$3,0,0,'Données projet'!$E$9+1,1))-AVERAGE(OFFSET($H$3,0,0,'Données projet'!$E$9+1,1))</f>
        <v>570.08763950759544</v>
      </c>
      <c r="T99" s="60">
        <f t="shared" si="88"/>
        <v>297.32483725004136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-5.6843418860808015E-14</v>
      </c>
      <c r="AJ99" s="14">
        <f>AI99*VLOOKUP('Données projet'!$B$10,Paramètres!$A$1:$I$89,3,0)*VLOOKUP('Données projet'!$B$10,Paramètres!$A$1:$I$89,5,0)</f>
        <v>-4.5224624045658861E-14</v>
      </c>
      <c r="AK99" s="14" t="e">
        <f t="shared" si="89"/>
        <v>#NUM!</v>
      </c>
      <c r="AL99" s="22" t="e">
        <f t="shared" si="58"/>
        <v>#NUM!</v>
      </c>
      <c r="AM99" s="60" t="e">
        <f t="shared" si="59"/>
        <v>#NUM!</v>
      </c>
      <c r="AN99" s="60">
        <f ca="1">AVERAGE(OFFSET($AM$3,0,0,'Données projet'!$E$10+1,1))-AVERAGE(OFFSET($H$3,0,0,'Données projet'!$E$10+1,1))</f>
        <v>394.49874384716014</v>
      </c>
      <c r="AO99" s="60">
        <f t="shared" si="90"/>
        <v>423.72519584013378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3.5897435897435854</v>
      </c>
      <c r="BD99" s="13">
        <f>IF('Données projet'!$A$88&gt;35,BD98+BC99-BL98,IF(A99&lt;'Données projet'!$A$88,$BA$205^A99,IF(A99='Données projet'!$A$88,'Données projet'!$B$88,BD98+BC99-BL98)))</f>
        <v>243.97435897435898</v>
      </c>
      <c r="BE99" s="14">
        <f>BD99*VLOOKUP('Données projet'!$B$11,Paramètres!$A$1:$I$89,3,0)*VLOOKUP('Données projet'!$B$11,Paramètres!$A$1:$I$89,5,0)</f>
        <v>232.166</v>
      </c>
      <c r="BF99" s="14">
        <f t="shared" si="91"/>
        <v>56.750765573960223</v>
      </c>
      <c r="BG99" s="22">
        <f t="shared" si="61"/>
        <v>503.19670004131399</v>
      </c>
      <c r="BH99" s="60">
        <f t="shared" si="62"/>
        <v>779.44575223770141</v>
      </c>
      <c r="BI99" s="60">
        <f ca="1">AVERAGE(OFFSET($BH$3,0,0,'Données projet'!$E$11+1,1))-AVERAGE(OFFSET($H$3,0,0,'Données projet'!$E$11+1,1))</f>
        <v>441.15969139782891</v>
      </c>
      <c r="BJ99" s="60">
        <f t="shared" si="92"/>
        <v>315.06466790224783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1.1368683772161603E-13</v>
      </c>
      <c r="BZ99" s="14">
        <f>BY99*VLOOKUP('Données projet'!$B$12,Paramètres!$A$1:$I$89,3,0)*VLOOKUP('Données projet'!$B$12,Paramètres!$A$1:$I$89,5,0)</f>
        <v>8.8675733422860506E-14</v>
      </c>
      <c r="CA99" s="14">
        <f t="shared" si="93"/>
        <v>1.3509285393066301E-12</v>
      </c>
      <c r="CB99" s="22">
        <f t="shared" si="64"/>
        <v>2.5073107750038623E-12</v>
      </c>
      <c r="CC99" s="60">
        <f t="shared" si="65"/>
        <v>276.24905219638993</v>
      </c>
      <c r="CD99" s="60">
        <f ca="1">AVERAGE(OFFSET($CC$3,0,0,'Données projet'!$E$12+1,1))-AVERAGE(OFFSET($H$3,0,0,'Données projet'!$E$12+1,1))</f>
        <v>312.59632808777332</v>
      </c>
      <c r="CE99" s="60">
        <f t="shared" si="94"/>
        <v>302.59481222418219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5.9</v>
      </c>
      <c r="CT99" s="13">
        <f>IF('Données projet'!$A$140&gt;35,CT98+CS99-DB98,IF(A99&lt;'Données projet'!$A$140,$CQ$205^A99,IF(A99='Données projet'!$A$140,'Données projet'!$B$140,CT98+CS99-DB98)))</f>
        <v>337.40000000000009</v>
      </c>
      <c r="CU99" s="18">
        <f>CT99*VLOOKUP('Données projet'!$B$13,Paramètres!$A$1:$I$89,3,0)*VLOOKUP('Données projet'!$B$13,Paramètres!$A$1:$I$89,5,0)</f>
        <v>326.33328000000006</v>
      </c>
      <c r="CV99" s="14">
        <f t="shared" si="95"/>
        <v>76.669608914490098</v>
      </c>
      <c r="CW99" s="22">
        <f t="shared" si="67"/>
        <v>701.89669819273695</v>
      </c>
      <c r="CX99" s="60">
        <f t="shared" si="68"/>
        <v>978.14575038912437</v>
      </c>
      <c r="CY99" s="60">
        <f ca="1">AVERAGE(OFFSET($CX$3,0,0,'Données projet'!$E$13+1,1))-AVERAGE(OFFSET($H$3,0,0,'Données projet'!$E$13+1,1))</f>
        <v>603.52431522262032</v>
      </c>
      <c r="CZ99" s="60">
        <f t="shared" si="96"/>
        <v>313.56299786481338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5.9</v>
      </c>
      <c r="DO99" s="13">
        <f>IF('Données projet'!$A$166&gt;35,DO98+DN99-DW98,IF(A99&lt;'Données projet'!$A$166,$DL$205^A99,IF(A99='Données projet'!$A$166,'Données projet'!$B$166,DO98+DN99-DW98)))</f>
        <v>337.40000000000009</v>
      </c>
      <c r="DP99" s="18">
        <f>DO99*VLOOKUP('Données projet'!$B$14,Paramètres!$A$1:$I$89,3,0)*VLOOKUP('Données projet'!$B$14,Paramètres!$A$1:$I$89,5,0)</f>
        <v>363.17736000000008</v>
      </c>
      <c r="DQ99" s="14">
        <f t="shared" si="97"/>
        <v>84.270002672729191</v>
      </c>
      <c r="DR99" s="22">
        <f t="shared" si="70"/>
        <v>779.30415665500334</v>
      </c>
      <c r="DS99" s="60">
        <f t="shared" si="71"/>
        <v>1055.5532088513908</v>
      </c>
      <c r="DT99" s="60">
        <f ca="1">AVERAGE(OFFSET($DS$3,0,0,'Données projet'!$E$14+1,1))-AVERAGE(OFFSET($H$3,0,0,'Données projet'!$E$14+1,1))</f>
        <v>661.93515988633499</v>
      </c>
      <c r="DU99" s="60">
        <f t="shared" si="98"/>
        <v>341.9250949809848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3.9743589743589838</v>
      </c>
      <c r="EJ99" s="13">
        <f>IF('Données projet'!$A$192&gt;35,EJ98+EI99-ER98,IF(A99&lt;'Données projet'!$A$192,$EG$205^A99,IF(A99='Données projet'!$A$192,'Données projet'!$B$192,EJ98+EI99-ER98)))</f>
        <v>339.23076923076928</v>
      </c>
      <c r="EK99" s="18">
        <f>EJ99*VLOOKUP('Données projet'!$B$15,Paramètres!$A$1:$I$89,3,0)*VLOOKUP('Données projet'!$B$15,Paramètres!$A$1:$I$89,5,0)</f>
        <v>227.55600000000004</v>
      </c>
      <c r="EL99" s="14">
        <f t="shared" si="99"/>
        <v>55.753903477108544</v>
      </c>
      <c r="EM99" s="22">
        <f t="shared" si="73"/>
        <v>493.43141522263085</v>
      </c>
      <c r="EN99" s="60">
        <f t="shared" si="74"/>
        <v>769.68046741901821</v>
      </c>
      <c r="EO99" s="60">
        <f ca="1">AVERAGE(OFFSET($EN$3,0,0,'Données projet'!$E$15+1,1))-AVERAGE(OFFSET($H$3,0,0,'Données projet'!$E$15+1,1))</f>
        <v>396.0878652679051</v>
      </c>
      <c r="EP99" s="60">
        <f t="shared" si="100"/>
        <v>327.26339199235406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-5.6843418860808015E-14</v>
      </c>
      <c r="FF99" s="18">
        <f>FE99*VLOOKUP('Données projet'!$B$16,Paramètres!$A$1:$I$89,3,0)*VLOOKUP('Données projet'!$B$16,Paramètres!$A$1:$I$89,5,0)</f>
        <v>-4.1677594708744434E-14</v>
      </c>
      <c r="FG99" s="14" t="e">
        <f t="shared" si="101"/>
        <v>#NUM!</v>
      </c>
      <c r="FH99" s="22" t="e">
        <f t="shared" si="76"/>
        <v>#NUM!</v>
      </c>
      <c r="FI99" s="60" t="e">
        <f t="shared" si="77"/>
        <v>#NUM!</v>
      </c>
      <c r="FJ99" s="60">
        <f ca="1">AVERAGE(OFFSET($FI$3,0,0,'Données projet'!$E$16+1,1))-AVERAGE(OFFSET($H$3,0,0,'Données projet'!$E$16+1,1))</f>
        <v>368.35775920359396</v>
      </c>
      <c r="FK99" s="60">
        <f t="shared" si="102"/>
        <v>395.5218438652638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8</v>
      </c>
      <c r="FZ99" s="13">
        <f>IF('Données projet'!$A$244&gt;35,FZ98+FY99-GH98,IF(A99&lt;'Données projet'!$A$244,$FW$205^A99,IF(A99='Données projet'!$A$244,'Données projet'!$B$244,FZ98+FY99-GH98)))</f>
        <v>440.99999999999977</v>
      </c>
      <c r="GA99" s="18">
        <f>FZ99*VLOOKUP('Données projet'!$B$17,Paramètres!$A$1:$I$89,3,0)*VLOOKUP('Données projet'!$B$17,Paramètres!$A$1:$I$89,5,0)</f>
        <v>378.37799999999987</v>
      </c>
      <c r="GB99" s="14">
        <f t="shared" si="103"/>
        <v>87.379060339798912</v>
      </c>
      <c r="GC99" s="22">
        <f t="shared" si="79"/>
        <v>811.19354675848274</v>
      </c>
      <c r="GD99" s="60">
        <f t="shared" si="80"/>
        <v>1087.4425989548702</v>
      </c>
      <c r="GE99" s="60">
        <f ca="1">AVERAGE(OFFSET($GD$3,0,0,'Données projet'!$E$17+1,1))-AVERAGE(OFFSET($H$3,0,0,'Données projet'!$E$17+1,1))</f>
        <v>701.44583662096022</v>
      </c>
      <c r="GF99" s="60">
        <f t="shared" si="104"/>
        <v>331.25104323342907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-1.1368683772161603E-13</v>
      </c>
      <c r="GV99" s="18">
        <f>GU99*VLOOKUP('Données projet'!$B$18,Paramètres!$A$1:$I$89,3,0)*VLOOKUP('Données projet'!$B$18,Paramètres!$A$1:$I$89,5,0)</f>
        <v>-9.2222762759774927E-14</v>
      </c>
      <c r="GW99" s="14" t="e">
        <f t="shared" si="105"/>
        <v>#NUM!</v>
      </c>
      <c r="GX99" s="22" t="e">
        <f t="shared" si="82"/>
        <v>#NUM!</v>
      </c>
      <c r="GY99" s="60" t="e">
        <f t="shared" si="83"/>
        <v>#NUM!</v>
      </c>
      <c r="GZ99" s="60">
        <f ca="1">AVERAGE(OFFSET($GY$3,0,0,'Données projet'!$E$18+1,1))-AVERAGE(OFFSET($H$3,0,0,'Données projet'!$E$18+1,1))</f>
        <v>272.69564942740931</v>
      </c>
      <c r="HA99" s="60">
        <f t="shared" si="106"/>
        <v>316.57989180609252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25">
      <c r="A100" s="11">
        <f t="shared" si="85"/>
        <v>97</v>
      </c>
      <c r="B100" s="75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8">
        <f t="shared" si="56"/>
        <v>183.33333333333334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5.9</v>
      </c>
      <c r="N100" s="14">
        <f>IF('Données projet'!$A$36&gt;35,N99+M100-V99,IF(A100&lt;'Données projet'!$A$36,$K$205^A100,IF(A100='Données projet'!$A$36,'Données projet'!$B$36,N99+M100-V99)))</f>
        <v>343.30000000000007</v>
      </c>
      <c r="O100" s="14">
        <f>N100*VLOOKUP('Données projet'!$B$9,Paramètres!$A$1:$I$89,3,0)*VLOOKUP('Données projet'!$B$9,Paramètres!$A$1:$I$89,5,0)</f>
        <v>310.61784000000006</v>
      </c>
      <c r="P100" s="14">
        <f t="shared" si="87"/>
        <v>73.397844798859666</v>
      </c>
      <c r="Q100" s="22">
        <f t="shared" si="107"/>
        <v>668.82731769134739</v>
      </c>
      <c r="R100" s="60">
        <f t="shared" si="55"/>
        <v>945.3727439707302</v>
      </c>
      <c r="S100" s="60">
        <f ca="1">AVERAGE(OFFSET($R$3,0,0,'Données projet'!$E$9+1,1))-AVERAGE(OFFSET($H$3,0,0,'Données projet'!$E$9+1,1))</f>
        <v>570.08763950759544</v>
      </c>
      <c r="T100" s="60">
        <f t="shared" si="88"/>
        <v>297.32483725004136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-5.6843418860808015E-14</v>
      </c>
      <c r="AJ100" s="14">
        <f>AI100*VLOOKUP('Données projet'!$B$10,Paramètres!$A$1:$I$89,3,0)*VLOOKUP('Données projet'!$B$10,Paramètres!$A$1:$I$89,5,0)</f>
        <v>-4.5224624045658861E-14</v>
      </c>
      <c r="AK100" s="14" t="e">
        <f t="shared" si="89"/>
        <v>#NUM!</v>
      </c>
      <c r="AL100" s="22" t="e">
        <f t="shared" si="58"/>
        <v>#NUM!</v>
      </c>
      <c r="AM100" s="60" t="e">
        <f t="shared" si="59"/>
        <v>#NUM!</v>
      </c>
      <c r="AN100" s="60">
        <f ca="1">AVERAGE(OFFSET($AM$3,0,0,'Données projet'!$E$10+1,1))-AVERAGE(OFFSET($H$3,0,0,'Données projet'!$E$10+1,1))</f>
        <v>394.49874384716014</v>
      </c>
      <c r="AO100" s="60">
        <f t="shared" si="90"/>
        <v>423.72519584013378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3.5897435897435854</v>
      </c>
      <c r="BD100" s="13">
        <f>IF('Données projet'!$A$88&gt;35,BD99+BC100-BL99,IF(A100&lt;'Données projet'!$A$88,$BA$205^A100,IF(A100='Données projet'!$A$88,'Données projet'!$B$88,BD99+BC100-BL99)))</f>
        <v>247.56410256410257</v>
      </c>
      <c r="BE100" s="14">
        <f>BD100*VLOOKUP('Données projet'!$B$11,Paramètres!$A$1:$I$89,3,0)*VLOOKUP('Données projet'!$B$11,Paramètres!$A$1:$I$89,5,0)</f>
        <v>235.58199999999999</v>
      </c>
      <c r="BF100" s="14">
        <f t="shared" si="91"/>
        <v>57.487950824806624</v>
      </c>
      <c r="BG100" s="22">
        <f t="shared" si="61"/>
        <v>510.4301643532047</v>
      </c>
      <c r="BH100" s="60">
        <f t="shared" si="62"/>
        <v>786.97559063258745</v>
      </c>
      <c r="BI100" s="60">
        <f ca="1">AVERAGE(OFFSET($BH$3,0,0,'Données projet'!$E$11+1,1))-AVERAGE(OFFSET($H$3,0,0,'Données projet'!$E$11+1,1))</f>
        <v>441.15969139782891</v>
      </c>
      <c r="BJ100" s="60">
        <f t="shared" si="92"/>
        <v>315.06466790224783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1.1368683772161603E-13</v>
      </c>
      <c r="BZ100" s="14">
        <f>BY100*VLOOKUP('Données projet'!$B$12,Paramètres!$A$1:$I$89,3,0)*VLOOKUP('Données projet'!$B$12,Paramètres!$A$1:$I$89,5,0)</f>
        <v>8.8675733422860506E-14</v>
      </c>
      <c r="CA100" s="14">
        <f t="shared" si="93"/>
        <v>1.3509285393066301E-12</v>
      </c>
      <c r="CB100" s="22">
        <f t="shared" si="64"/>
        <v>2.5073107750038623E-12</v>
      </c>
      <c r="CC100" s="60">
        <f t="shared" si="65"/>
        <v>276.54542627938531</v>
      </c>
      <c r="CD100" s="60">
        <f ca="1">AVERAGE(OFFSET($CC$3,0,0,'Données projet'!$E$12+1,1))-AVERAGE(OFFSET($H$3,0,0,'Données projet'!$E$12+1,1))</f>
        <v>312.59632808777332</v>
      </c>
      <c r="CE100" s="60">
        <f t="shared" si="94"/>
        <v>302.59481222418219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5.9</v>
      </c>
      <c r="CT100" s="13">
        <f>IF('Données projet'!$A$140&gt;35,CT99+CS100-DB99,IF(A100&lt;'Données projet'!$A$140,$CQ$205^A100,IF(A100='Données projet'!$A$140,'Données projet'!$B$140,CT99+CS100-DB99)))</f>
        <v>343.30000000000007</v>
      </c>
      <c r="CU100" s="18">
        <f>CT100*VLOOKUP('Données projet'!$B$13,Paramètres!$A$1:$I$89,3,0)*VLOOKUP('Données projet'!$B$13,Paramètres!$A$1:$I$89,5,0)</f>
        <v>332.03976000000006</v>
      </c>
      <c r="CV100" s="14">
        <f t="shared" si="95"/>
        <v>77.853049678019573</v>
      </c>
      <c r="CW100" s="22">
        <f t="shared" si="67"/>
        <v>713.89664352255079</v>
      </c>
      <c r="CX100" s="60">
        <f t="shared" si="68"/>
        <v>990.4420698019336</v>
      </c>
      <c r="CY100" s="60">
        <f ca="1">AVERAGE(OFFSET($CX$3,0,0,'Données projet'!$E$13+1,1))-AVERAGE(OFFSET($H$3,0,0,'Données projet'!$E$13+1,1))</f>
        <v>603.52431522262032</v>
      </c>
      <c r="CZ100" s="60">
        <f t="shared" si="96"/>
        <v>313.56299786481338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5.9</v>
      </c>
      <c r="DO100" s="13">
        <f>IF('Données projet'!$A$166&gt;35,DO99+DN100-DW99,IF(A100&lt;'Données projet'!$A$166,$DL$205^A100,IF(A100='Données projet'!$A$166,'Données projet'!$B$166,DO99+DN100-DW99)))</f>
        <v>343.30000000000007</v>
      </c>
      <c r="DP100" s="18">
        <f>DO100*VLOOKUP('Données projet'!$B$14,Paramètres!$A$1:$I$89,3,0)*VLOOKUP('Données projet'!$B$14,Paramètres!$A$1:$I$89,5,0)</f>
        <v>369.52812000000006</v>
      </c>
      <c r="DQ100" s="14">
        <f t="shared" si="97"/>
        <v>85.570760009536102</v>
      </c>
      <c r="DR100" s="22">
        <f t="shared" si="70"/>
        <v>792.63054934994216</v>
      </c>
      <c r="DS100" s="60">
        <f t="shared" si="71"/>
        <v>1069.175975629325</v>
      </c>
      <c r="DT100" s="60">
        <f ca="1">AVERAGE(OFFSET($DS$3,0,0,'Données projet'!$E$14+1,1))-AVERAGE(OFFSET($H$3,0,0,'Données projet'!$E$14+1,1))</f>
        <v>661.93515988633499</v>
      </c>
      <c r="DU100" s="60">
        <f t="shared" si="98"/>
        <v>341.9250949809848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3.9743589743589838</v>
      </c>
      <c r="EJ100" s="13">
        <f>IF('Données projet'!$A$192&gt;35,EJ99+EI100-ER99,IF(A100&lt;'Données projet'!$A$192,$EG$205^A100,IF(A100='Données projet'!$A$192,'Données projet'!$B$192,EJ99+EI100-ER99)))</f>
        <v>343.20512820512829</v>
      </c>
      <c r="EK100" s="18">
        <f>EJ100*VLOOKUP('Données projet'!$B$15,Paramètres!$A$1:$I$89,3,0)*VLOOKUP('Données projet'!$B$15,Paramètres!$A$1:$I$89,5,0)</f>
        <v>230.22200000000004</v>
      </c>
      <c r="EL100" s="14">
        <f t="shared" si="99"/>
        <v>56.330680425949346</v>
      </c>
      <c r="EM100" s="22">
        <f t="shared" si="73"/>
        <v>499.07925174186192</v>
      </c>
      <c r="EN100" s="60">
        <f t="shared" si="74"/>
        <v>775.62467802124479</v>
      </c>
      <c r="EO100" s="60">
        <f ca="1">AVERAGE(OFFSET($EN$3,0,0,'Données projet'!$E$15+1,1))-AVERAGE(OFFSET($H$3,0,0,'Données projet'!$E$15+1,1))</f>
        <v>396.0878652679051</v>
      </c>
      <c r="EP100" s="60">
        <f t="shared" si="100"/>
        <v>327.26339199235406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-5.6843418860808015E-14</v>
      </c>
      <c r="FF100" s="18">
        <f>FE100*VLOOKUP('Données projet'!$B$16,Paramètres!$A$1:$I$89,3,0)*VLOOKUP('Données projet'!$B$16,Paramètres!$A$1:$I$89,5,0)</f>
        <v>-4.1677594708744434E-14</v>
      </c>
      <c r="FG100" s="14" t="e">
        <f t="shared" si="101"/>
        <v>#NUM!</v>
      </c>
      <c r="FH100" s="22" t="e">
        <f t="shared" si="76"/>
        <v>#NUM!</v>
      </c>
      <c r="FI100" s="60" t="e">
        <f t="shared" si="77"/>
        <v>#NUM!</v>
      </c>
      <c r="FJ100" s="60">
        <f ca="1">AVERAGE(OFFSET($FI$3,0,0,'Données projet'!$E$16+1,1))-AVERAGE(OFFSET($H$3,0,0,'Données projet'!$E$16+1,1))</f>
        <v>368.35775920359396</v>
      </c>
      <c r="FK100" s="60">
        <f t="shared" si="102"/>
        <v>395.5218438652638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8</v>
      </c>
      <c r="FZ100" s="13">
        <f>IF('Données projet'!$A$244&gt;35,FZ99+FY100-GH99,IF(A100&lt;'Données projet'!$A$244,$FW$205^A100,IF(A100='Données projet'!$A$244,'Données projet'!$B$244,FZ99+FY100-GH99)))</f>
        <v>448.99999999999977</v>
      </c>
      <c r="GA100" s="18">
        <f>FZ100*VLOOKUP('Données projet'!$B$17,Paramètres!$A$1:$I$89,3,0)*VLOOKUP('Données projet'!$B$17,Paramètres!$A$1:$I$89,5,0)</f>
        <v>385.24199999999985</v>
      </c>
      <c r="GB100" s="14">
        <f t="shared" si="103"/>
        <v>88.778192635344908</v>
      </c>
      <c r="GC100" s="22">
        <f t="shared" si="79"/>
        <v>825.58516883989205</v>
      </c>
      <c r="GD100" s="60">
        <f t="shared" si="80"/>
        <v>1102.1305951192749</v>
      </c>
      <c r="GE100" s="60">
        <f ca="1">AVERAGE(OFFSET($GD$3,0,0,'Données projet'!$E$17+1,1))-AVERAGE(OFFSET($H$3,0,0,'Données projet'!$E$17+1,1))</f>
        <v>701.44583662096022</v>
      </c>
      <c r="GF100" s="60">
        <f t="shared" si="104"/>
        <v>331.25104323342907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-1.1368683772161603E-13</v>
      </c>
      <c r="GV100" s="18">
        <f>GU100*VLOOKUP('Données projet'!$B$18,Paramètres!$A$1:$I$89,3,0)*VLOOKUP('Données projet'!$B$18,Paramètres!$A$1:$I$89,5,0)</f>
        <v>-9.2222762759774927E-14</v>
      </c>
      <c r="GW100" s="14" t="e">
        <f t="shared" si="105"/>
        <v>#NUM!</v>
      </c>
      <c r="GX100" s="22" t="e">
        <f t="shared" si="82"/>
        <v>#NUM!</v>
      </c>
      <c r="GY100" s="60" t="e">
        <f t="shared" si="83"/>
        <v>#NUM!</v>
      </c>
      <c r="GZ100" s="60">
        <f ca="1">AVERAGE(OFFSET($GY$3,0,0,'Données projet'!$E$18+1,1))-AVERAGE(OFFSET($H$3,0,0,'Données projet'!$E$18+1,1))</f>
        <v>272.69564942740931</v>
      </c>
      <c r="HA100" s="60">
        <f t="shared" si="106"/>
        <v>316.57989180609252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25">
      <c r="A101" s="11">
        <f t="shared" si="85"/>
        <v>98</v>
      </c>
      <c r="B101" s="75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8">
        <f t="shared" si="56"/>
        <v>183.33333333333334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5.9</v>
      </c>
      <c r="N101" s="14">
        <f>IF('Données projet'!$A$36&gt;35,N100+M101-V100,IF(A101&lt;'Données projet'!$A$36,$K$205^A101,IF(A101='Données projet'!$A$36,'Données projet'!$B$36,N100+M101-V100)))</f>
        <v>349.20000000000005</v>
      </c>
      <c r="O101" s="14">
        <f>N101*VLOOKUP('Données projet'!$B$9,Paramètres!$A$1:$I$89,3,0)*VLOOKUP('Données projet'!$B$9,Paramètres!$A$1:$I$89,5,0)</f>
        <v>315.95616000000001</v>
      </c>
      <c r="P101" s="14">
        <f t="shared" si="87"/>
        <v>74.511332350301046</v>
      </c>
      <c r="Q101" s="22">
        <f t="shared" si="107"/>
        <v>680.06421584344105</v>
      </c>
      <c r="R101" s="60">
        <f t="shared" si="55"/>
        <v>956.90087477807242</v>
      </c>
      <c r="S101" s="60">
        <f ca="1">AVERAGE(OFFSET($R$3,0,0,'Données projet'!$E$9+1,1))-AVERAGE(OFFSET($H$3,0,0,'Données projet'!$E$9+1,1))</f>
        <v>570.08763950759544</v>
      </c>
      <c r="T101" s="60">
        <f t="shared" si="88"/>
        <v>297.32483725004136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-5.6843418860808015E-14</v>
      </c>
      <c r="AJ101" s="14">
        <f>AI101*VLOOKUP('Données projet'!$B$10,Paramètres!$A$1:$I$89,3,0)*VLOOKUP('Données projet'!$B$10,Paramètres!$A$1:$I$89,5,0)</f>
        <v>-4.5224624045658861E-14</v>
      </c>
      <c r="AK101" s="14" t="e">
        <f t="shared" si="89"/>
        <v>#NUM!</v>
      </c>
      <c r="AL101" s="22" t="e">
        <f t="shared" si="58"/>
        <v>#NUM!</v>
      </c>
      <c r="AM101" s="60" t="e">
        <f t="shared" si="59"/>
        <v>#NUM!</v>
      </c>
      <c r="AN101" s="60">
        <f ca="1">AVERAGE(OFFSET($AM$3,0,0,'Données projet'!$E$10+1,1))-AVERAGE(OFFSET($H$3,0,0,'Données projet'!$E$10+1,1))</f>
        <v>394.49874384716014</v>
      </c>
      <c r="AO101" s="60">
        <f t="shared" si="90"/>
        <v>423.72519584013378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3.5897435897435854</v>
      </c>
      <c r="BD101" s="13">
        <f>IF('Données projet'!$A$88&gt;35,BD100+BC101-BL100,IF(A101&lt;'Données projet'!$A$88,$BA$205^A101,IF(A101='Données projet'!$A$88,'Données projet'!$B$88,BD100+BC101-BL100)))</f>
        <v>251.15384615384616</v>
      </c>
      <c r="BE101" s="14">
        <f>BD101*VLOOKUP('Données projet'!$B$11,Paramètres!$A$1:$I$89,3,0)*VLOOKUP('Données projet'!$B$11,Paramètres!$A$1:$I$89,5,0)</f>
        <v>238.99799999999999</v>
      </c>
      <c r="BF101" s="14">
        <f t="shared" si="91"/>
        <v>58.223892835547517</v>
      </c>
      <c r="BG101" s="22">
        <f t="shared" si="61"/>
        <v>517.66146335524525</v>
      </c>
      <c r="BH101" s="60">
        <f t="shared" si="62"/>
        <v>794.49812228987662</v>
      </c>
      <c r="BI101" s="60">
        <f ca="1">AVERAGE(OFFSET($BH$3,0,0,'Données projet'!$E$11+1,1))-AVERAGE(OFFSET($H$3,0,0,'Données projet'!$E$11+1,1))</f>
        <v>441.15969139782891</v>
      </c>
      <c r="BJ101" s="60">
        <f t="shared" si="92"/>
        <v>315.06466790224783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1.1368683772161603E-13</v>
      </c>
      <c r="BZ101" s="14">
        <f>BY101*VLOOKUP('Données projet'!$B$12,Paramètres!$A$1:$I$89,3,0)*VLOOKUP('Données projet'!$B$12,Paramètres!$A$1:$I$89,5,0)</f>
        <v>8.8675733422860506E-14</v>
      </c>
      <c r="CA101" s="14">
        <f t="shared" si="93"/>
        <v>1.3509285393066301E-12</v>
      </c>
      <c r="CB101" s="22">
        <f t="shared" si="64"/>
        <v>2.5073107750038623E-12</v>
      </c>
      <c r="CC101" s="60">
        <f t="shared" si="65"/>
        <v>276.83665893463387</v>
      </c>
      <c r="CD101" s="60">
        <f ca="1">AVERAGE(OFFSET($CC$3,0,0,'Données projet'!$E$12+1,1))-AVERAGE(OFFSET($H$3,0,0,'Données projet'!$E$12+1,1))</f>
        <v>312.59632808777332</v>
      </c>
      <c r="CE101" s="60">
        <f t="shared" si="94"/>
        <v>302.59481222418219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5.9</v>
      </c>
      <c r="CT101" s="13">
        <f>IF('Données projet'!$A$140&gt;35,CT100+CS101-DB100,IF(A101&lt;'Données projet'!$A$140,$CQ$205^A101,IF(A101='Données projet'!$A$140,'Données projet'!$B$140,CT100+CS101-DB100)))</f>
        <v>349.20000000000005</v>
      </c>
      <c r="CU101" s="18">
        <f>CT101*VLOOKUP('Données projet'!$B$13,Paramètres!$A$1:$I$89,3,0)*VLOOKUP('Données projet'!$B$13,Paramètres!$A$1:$I$89,5,0)</f>
        <v>337.74624000000006</v>
      </c>
      <c r="CV101" s="14">
        <f t="shared" si="95"/>
        <v>79.034125251774896</v>
      </c>
      <c r="CW101" s="22">
        <f t="shared" si="67"/>
        <v>725.89246948017455</v>
      </c>
      <c r="CX101" s="60">
        <f t="shared" si="68"/>
        <v>1002.7291284148059</v>
      </c>
      <c r="CY101" s="60">
        <f ca="1">AVERAGE(OFFSET($CX$3,0,0,'Données projet'!$E$13+1,1))-AVERAGE(OFFSET($H$3,0,0,'Données projet'!$E$13+1,1))</f>
        <v>603.52431522262032</v>
      </c>
      <c r="CZ101" s="60">
        <f t="shared" si="96"/>
        <v>313.56299786481338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5.9</v>
      </c>
      <c r="DO101" s="13">
        <f>IF('Données projet'!$A$166&gt;35,DO100+DN101-DW100,IF(A101&lt;'Données projet'!$A$166,$DL$205^A101,IF(A101='Données projet'!$A$166,'Données projet'!$B$166,DO100+DN101-DW100)))</f>
        <v>349.20000000000005</v>
      </c>
      <c r="DP101" s="18">
        <f>DO101*VLOOKUP('Données projet'!$B$14,Paramètres!$A$1:$I$89,3,0)*VLOOKUP('Données projet'!$B$14,Paramètres!$A$1:$I$89,5,0)</f>
        <v>375.87888000000004</v>
      </c>
      <c r="DQ101" s="14">
        <f t="shared" si="97"/>
        <v>86.868917691128829</v>
      </c>
      <c r="DR101" s="22">
        <f t="shared" si="70"/>
        <v>805.95241431204943</v>
      </c>
      <c r="DS101" s="60">
        <f t="shared" si="71"/>
        <v>1082.7890732466808</v>
      </c>
      <c r="DT101" s="60">
        <f ca="1">AVERAGE(OFFSET($DS$3,0,0,'Données projet'!$E$14+1,1))-AVERAGE(OFFSET($H$3,0,0,'Données projet'!$E$14+1,1))</f>
        <v>661.93515988633499</v>
      </c>
      <c r="DU101" s="60">
        <f t="shared" si="98"/>
        <v>341.9250949809848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3.9743589743589838</v>
      </c>
      <c r="EJ101" s="13">
        <f>IF('Données projet'!$A$192&gt;35,EJ100+EI101-ER100,IF(A101&lt;'Données projet'!$A$192,$EG$205^A101,IF(A101='Données projet'!$A$192,'Données projet'!$B$192,EJ100+EI101-ER100)))</f>
        <v>347.1794871794873</v>
      </c>
      <c r="EK101" s="18">
        <f>EJ101*VLOOKUP('Données projet'!$B$15,Paramètres!$A$1:$I$89,3,0)*VLOOKUP('Données projet'!$B$15,Paramètres!$A$1:$I$89,5,0)</f>
        <v>232.88800000000009</v>
      </c>
      <c r="EL101" s="14">
        <f t="shared" si="99"/>
        <v>56.906680427068601</v>
      </c>
      <c r="EM101" s="22">
        <f t="shared" si="73"/>
        <v>504.72573507714452</v>
      </c>
      <c r="EN101" s="60">
        <f t="shared" si="74"/>
        <v>781.56239401177595</v>
      </c>
      <c r="EO101" s="60">
        <f ca="1">AVERAGE(OFFSET($EN$3,0,0,'Données projet'!$E$15+1,1))-AVERAGE(OFFSET($H$3,0,0,'Données projet'!$E$15+1,1))</f>
        <v>396.0878652679051</v>
      </c>
      <c r="EP101" s="60">
        <f t="shared" si="100"/>
        <v>327.26339199235406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-5.6843418860808015E-14</v>
      </c>
      <c r="FF101" s="18">
        <f>FE101*VLOOKUP('Données projet'!$B$16,Paramètres!$A$1:$I$89,3,0)*VLOOKUP('Données projet'!$B$16,Paramètres!$A$1:$I$89,5,0)</f>
        <v>-4.1677594708744434E-14</v>
      </c>
      <c r="FG101" s="14" t="e">
        <f t="shared" si="101"/>
        <v>#NUM!</v>
      </c>
      <c r="FH101" s="22" t="e">
        <f t="shared" si="76"/>
        <v>#NUM!</v>
      </c>
      <c r="FI101" s="60" t="e">
        <f t="shared" si="77"/>
        <v>#NUM!</v>
      </c>
      <c r="FJ101" s="60">
        <f ca="1">AVERAGE(OFFSET($FI$3,0,0,'Données projet'!$E$16+1,1))-AVERAGE(OFFSET($H$3,0,0,'Données projet'!$E$16+1,1))</f>
        <v>368.35775920359396</v>
      </c>
      <c r="FK101" s="60">
        <f t="shared" si="102"/>
        <v>395.5218438652638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8</v>
      </c>
      <c r="FZ101" s="13">
        <f>IF('Données projet'!$A$244&gt;35,FZ100+FY101-GH100,IF(A101&lt;'Données projet'!$A$244,$FW$205^A101,IF(A101='Données projet'!$A$244,'Données projet'!$B$244,FZ100+FY101-GH100)))</f>
        <v>456.99999999999977</v>
      </c>
      <c r="GA101" s="18">
        <f>FZ101*VLOOKUP('Données projet'!$B$17,Paramètres!$A$1:$I$89,3,0)*VLOOKUP('Données projet'!$B$17,Paramètres!$A$1:$I$89,5,0)</f>
        <v>392.10599999999988</v>
      </c>
      <c r="GB101" s="14">
        <f t="shared" si="103"/>
        <v>90.174426056298898</v>
      </c>
      <c r="GC101" s="22">
        <f t="shared" si="79"/>
        <v>839.97174204805378</v>
      </c>
      <c r="GD101" s="60">
        <f t="shared" si="80"/>
        <v>1116.8084009826853</v>
      </c>
      <c r="GE101" s="60">
        <f ca="1">AVERAGE(OFFSET($GD$3,0,0,'Données projet'!$E$17+1,1))-AVERAGE(OFFSET($H$3,0,0,'Données projet'!$E$17+1,1))</f>
        <v>701.44583662096022</v>
      </c>
      <c r="GF101" s="60">
        <f t="shared" si="104"/>
        <v>331.25104323342907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-1.1368683772161603E-13</v>
      </c>
      <c r="GV101" s="18">
        <f>GU101*VLOOKUP('Données projet'!$B$18,Paramètres!$A$1:$I$89,3,0)*VLOOKUP('Données projet'!$B$18,Paramètres!$A$1:$I$89,5,0)</f>
        <v>-9.2222762759774927E-14</v>
      </c>
      <c r="GW101" s="14" t="e">
        <f t="shared" si="105"/>
        <v>#NUM!</v>
      </c>
      <c r="GX101" s="22" t="e">
        <f t="shared" si="82"/>
        <v>#NUM!</v>
      </c>
      <c r="GY101" s="60" t="e">
        <f t="shared" si="83"/>
        <v>#NUM!</v>
      </c>
      <c r="GZ101" s="60">
        <f ca="1">AVERAGE(OFFSET($GY$3,0,0,'Données projet'!$E$18+1,1))-AVERAGE(OFFSET($H$3,0,0,'Données projet'!$E$18+1,1))</f>
        <v>272.69564942740931</v>
      </c>
      <c r="HA101" s="60">
        <f t="shared" si="106"/>
        <v>316.57989180609252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25">
      <c r="A102" s="11">
        <f t="shared" si="85"/>
        <v>99</v>
      </c>
      <c r="B102" s="75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8">
        <f t="shared" si="56"/>
        <v>183.33333333333334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5.9</v>
      </c>
      <c r="N102" s="14">
        <f>IF('Données projet'!$A$36&gt;35,N101+M102-V101,IF(A102&lt;'Données projet'!$A$36,$K$205^A102,IF(A102='Données projet'!$A$36,'Données projet'!$B$36,N101+M102-V101)))</f>
        <v>355.1</v>
      </c>
      <c r="O102" s="14">
        <f>N102*VLOOKUP('Données projet'!$B$9,Paramètres!$A$1:$I$89,3,0)*VLOOKUP('Données projet'!$B$9,Paramètres!$A$1:$I$89,5,0)</f>
        <v>321.29448000000002</v>
      </c>
      <c r="P102" s="14">
        <f t="shared" si="87"/>
        <v>75.622632084792471</v>
      </c>
      <c r="Q102" s="22">
        <f t="shared" si="107"/>
        <v>691.29730354768026</v>
      </c>
      <c r="R102" s="60">
        <f t="shared" si="55"/>
        <v>968.42014290209045</v>
      </c>
      <c r="S102" s="60">
        <f ca="1">AVERAGE(OFFSET($R$3,0,0,'Données projet'!$E$9+1,1))-AVERAGE(OFFSET($H$3,0,0,'Données projet'!$E$9+1,1))</f>
        <v>570.08763950759544</v>
      </c>
      <c r="T102" s="60">
        <f t="shared" si="88"/>
        <v>297.32483725004136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-5.6843418860808015E-14</v>
      </c>
      <c r="AJ102" s="14">
        <f>AI102*VLOOKUP('Données projet'!$B$10,Paramètres!$A$1:$I$89,3,0)*VLOOKUP('Données projet'!$B$10,Paramètres!$A$1:$I$89,5,0)</f>
        <v>-4.5224624045658861E-14</v>
      </c>
      <c r="AK102" s="14" t="e">
        <f t="shared" si="89"/>
        <v>#NUM!</v>
      </c>
      <c r="AL102" s="22" t="e">
        <f t="shared" si="58"/>
        <v>#NUM!</v>
      </c>
      <c r="AM102" s="60" t="e">
        <f t="shared" si="59"/>
        <v>#NUM!</v>
      </c>
      <c r="AN102" s="60">
        <f ca="1">AVERAGE(OFFSET($AM$3,0,0,'Données projet'!$E$10+1,1))-AVERAGE(OFFSET($H$3,0,0,'Données projet'!$E$10+1,1))</f>
        <v>394.49874384716014</v>
      </c>
      <c r="AO102" s="60">
        <f t="shared" si="90"/>
        <v>423.72519584013378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3.5897435897435854</v>
      </c>
      <c r="BD102" s="13">
        <f>IF('Données projet'!$A$88&gt;35,BD101+BC102-BL101,IF(A102&lt;'Données projet'!$A$88,$BA$205^A102,IF(A102='Données projet'!$A$88,'Données projet'!$B$88,BD101+BC102-BL101)))</f>
        <v>254.74358974358975</v>
      </c>
      <c r="BE102" s="14">
        <f>BD102*VLOOKUP('Données projet'!$B$11,Paramètres!$A$1:$I$89,3,0)*VLOOKUP('Données projet'!$B$11,Paramètres!$A$1:$I$89,5,0)</f>
        <v>242.41400000000002</v>
      </c>
      <c r="BF102" s="14">
        <f t="shared" si="91"/>
        <v>58.958611429073422</v>
      </c>
      <c r="BG102" s="22">
        <f t="shared" si="61"/>
        <v>524.89063157230294</v>
      </c>
      <c r="BH102" s="60">
        <f t="shared" si="62"/>
        <v>802.01347092671313</v>
      </c>
      <c r="BI102" s="60">
        <f ca="1">AVERAGE(OFFSET($BH$3,0,0,'Données projet'!$E$11+1,1))-AVERAGE(OFFSET($H$3,0,0,'Données projet'!$E$11+1,1))</f>
        <v>441.15969139782891</v>
      </c>
      <c r="BJ102" s="60">
        <f t="shared" si="92"/>
        <v>315.06466790224783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1.1368683772161603E-13</v>
      </c>
      <c r="BZ102" s="14">
        <f>BY102*VLOOKUP('Données projet'!$B$12,Paramètres!$A$1:$I$89,3,0)*VLOOKUP('Données projet'!$B$12,Paramètres!$A$1:$I$89,5,0)</f>
        <v>8.8675733422860506E-14</v>
      </c>
      <c r="CA102" s="14">
        <f t="shared" si="93"/>
        <v>1.3509285393066301E-12</v>
      </c>
      <c r="CB102" s="22">
        <f t="shared" si="64"/>
        <v>2.5073107750038623E-12</v>
      </c>
      <c r="CC102" s="60">
        <f t="shared" si="65"/>
        <v>277.12283935441263</v>
      </c>
      <c r="CD102" s="60">
        <f ca="1">AVERAGE(OFFSET($CC$3,0,0,'Données projet'!$E$12+1,1))-AVERAGE(OFFSET($H$3,0,0,'Données projet'!$E$12+1,1))</f>
        <v>312.59632808777332</v>
      </c>
      <c r="CE102" s="60">
        <f t="shared" si="94"/>
        <v>302.59481222418219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5.9</v>
      </c>
      <c r="CT102" s="13">
        <f>IF('Données projet'!$A$140&gt;35,CT101+CS102-DB101,IF(A102&lt;'Données projet'!$A$140,$CQ$205^A102,IF(A102='Données projet'!$A$140,'Données projet'!$B$140,CT101+CS102-DB101)))</f>
        <v>355.1</v>
      </c>
      <c r="CU102" s="18">
        <f>CT102*VLOOKUP('Données projet'!$B$13,Paramètres!$A$1:$I$89,3,0)*VLOOKUP('Données projet'!$B$13,Paramètres!$A$1:$I$89,5,0)</f>
        <v>343.45272</v>
      </c>
      <c r="CV102" s="14">
        <f t="shared" si="95"/>
        <v>80.212880209411935</v>
      </c>
      <c r="CW102" s="22">
        <f t="shared" si="67"/>
        <v>737.88425369805907</v>
      </c>
      <c r="CX102" s="60">
        <f t="shared" si="68"/>
        <v>1015.0070930524691</v>
      </c>
      <c r="CY102" s="60">
        <f ca="1">AVERAGE(OFFSET($CX$3,0,0,'Données projet'!$E$13+1,1))-AVERAGE(OFFSET($H$3,0,0,'Données projet'!$E$13+1,1))</f>
        <v>603.52431522262032</v>
      </c>
      <c r="CZ102" s="60">
        <f t="shared" si="96"/>
        <v>313.56299786481338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5.9</v>
      </c>
      <c r="DO102" s="13">
        <f>IF('Données projet'!$A$166&gt;35,DO101+DN102-DW101,IF(A102&lt;'Données projet'!$A$166,$DL$205^A102,IF(A102='Données projet'!$A$166,'Données projet'!$B$166,DO101+DN102-DW101)))</f>
        <v>355.1</v>
      </c>
      <c r="DP102" s="18">
        <f>DO102*VLOOKUP('Données projet'!$B$14,Paramètres!$A$1:$I$89,3,0)*VLOOKUP('Données projet'!$B$14,Paramètres!$A$1:$I$89,5,0)</f>
        <v>382.22964000000002</v>
      </c>
      <c r="DQ102" s="14">
        <f t="shared" si="97"/>
        <v>88.164524709828513</v>
      </c>
      <c r="DR102" s="22">
        <f t="shared" si="70"/>
        <v>819.26983686961796</v>
      </c>
      <c r="DS102" s="60">
        <f t="shared" si="71"/>
        <v>1096.392676224028</v>
      </c>
      <c r="DT102" s="60">
        <f ca="1">AVERAGE(OFFSET($DS$3,0,0,'Données projet'!$E$14+1,1))-AVERAGE(OFFSET($H$3,0,0,'Données projet'!$E$14+1,1))</f>
        <v>661.93515988633499</v>
      </c>
      <c r="DU102" s="60">
        <f t="shared" si="98"/>
        <v>341.9250949809848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3.9743589743589838</v>
      </c>
      <c r="EJ102" s="13">
        <f>IF('Données projet'!$A$192&gt;35,EJ101+EI102-ER101,IF(A102&lt;'Données projet'!$A$192,$EG$205^A102,IF(A102='Données projet'!$A$192,'Données projet'!$B$192,EJ101+EI102-ER101)))</f>
        <v>351.1538461538463</v>
      </c>
      <c r="EK102" s="18">
        <f>EJ102*VLOOKUP('Données projet'!$B$15,Paramètres!$A$1:$I$89,3,0)*VLOOKUP('Données projet'!$B$15,Paramètres!$A$1:$I$89,5,0)</f>
        <v>235.55400000000009</v>
      </c>
      <c r="EL102" s="14">
        <f t="shared" si="99"/>
        <v>57.481913403727333</v>
      </c>
      <c r="EM102" s="22">
        <f t="shared" si="73"/>
        <v>510.37088251149186</v>
      </c>
      <c r="EN102" s="60">
        <f t="shared" si="74"/>
        <v>787.49372186590199</v>
      </c>
      <c r="EO102" s="60">
        <f ca="1">AVERAGE(OFFSET($EN$3,0,0,'Données projet'!$E$15+1,1))-AVERAGE(OFFSET($H$3,0,0,'Données projet'!$E$15+1,1))</f>
        <v>396.0878652679051</v>
      </c>
      <c r="EP102" s="60">
        <f t="shared" si="100"/>
        <v>327.26339199235406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-5.6843418860808015E-14</v>
      </c>
      <c r="FF102" s="18">
        <f>FE102*VLOOKUP('Données projet'!$B$16,Paramètres!$A$1:$I$89,3,0)*VLOOKUP('Données projet'!$B$16,Paramètres!$A$1:$I$89,5,0)</f>
        <v>-4.1677594708744434E-14</v>
      </c>
      <c r="FG102" s="14" t="e">
        <f t="shared" si="101"/>
        <v>#NUM!</v>
      </c>
      <c r="FH102" s="22" t="e">
        <f t="shared" si="76"/>
        <v>#NUM!</v>
      </c>
      <c r="FI102" s="60" t="e">
        <f t="shared" si="77"/>
        <v>#NUM!</v>
      </c>
      <c r="FJ102" s="60">
        <f ca="1">AVERAGE(OFFSET($FI$3,0,0,'Données projet'!$E$16+1,1))-AVERAGE(OFFSET($H$3,0,0,'Données projet'!$E$16+1,1))</f>
        <v>368.35775920359396</v>
      </c>
      <c r="FK102" s="60">
        <f t="shared" si="102"/>
        <v>395.5218438652638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8</v>
      </c>
      <c r="FZ102" s="13">
        <f>IF('Données projet'!$A$244&gt;35,FZ101+FY102-GH101,IF(A102&lt;'Données projet'!$A$244,$FW$205^A102,IF(A102='Données projet'!$A$244,'Données projet'!$B$244,FZ101+FY102-GH101)))</f>
        <v>464.99999999999977</v>
      </c>
      <c r="GA102" s="18">
        <f>FZ102*VLOOKUP('Données projet'!$B$17,Paramètres!$A$1:$I$89,3,0)*VLOOKUP('Données projet'!$B$17,Paramètres!$A$1:$I$89,5,0)</f>
        <v>398.96999999999986</v>
      </c>
      <c r="GB102" s="14">
        <f t="shared" si="103"/>
        <v>91.567817203825484</v>
      </c>
      <c r="GC102" s="22">
        <f t="shared" si="79"/>
        <v>854.35336496332911</v>
      </c>
      <c r="GD102" s="60">
        <f t="shared" si="80"/>
        <v>1131.4762043177393</v>
      </c>
      <c r="GE102" s="60">
        <f ca="1">AVERAGE(OFFSET($GD$3,0,0,'Données projet'!$E$17+1,1))-AVERAGE(OFFSET($H$3,0,0,'Données projet'!$E$17+1,1))</f>
        <v>701.44583662096022</v>
      </c>
      <c r="GF102" s="60">
        <f t="shared" si="104"/>
        <v>331.25104323342907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-1.1368683772161603E-13</v>
      </c>
      <c r="GV102" s="18">
        <f>GU102*VLOOKUP('Données projet'!$B$18,Paramètres!$A$1:$I$89,3,0)*VLOOKUP('Données projet'!$B$18,Paramètres!$A$1:$I$89,5,0)</f>
        <v>-9.2222762759774927E-14</v>
      </c>
      <c r="GW102" s="14" t="e">
        <f t="shared" si="105"/>
        <v>#NUM!</v>
      </c>
      <c r="GX102" s="22" t="e">
        <f t="shared" si="82"/>
        <v>#NUM!</v>
      </c>
      <c r="GY102" s="60" t="e">
        <f t="shared" si="83"/>
        <v>#NUM!</v>
      </c>
      <c r="GZ102" s="60">
        <f ca="1">AVERAGE(OFFSET($GY$3,0,0,'Données projet'!$E$18+1,1))-AVERAGE(OFFSET($H$3,0,0,'Données projet'!$E$18+1,1))</f>
        <v>272.69564942740931</v>
      </c>
      <c r="HA102" s="60">
        <f t="shared" si="106"/>
        <v>316.57989180609252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25">
      <c r="A103" s="11">
        <f t="shared" si="85"/>
        <v>100</v>
      </c>
      <c r="B103" s="75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8">
        <f t="shared" si="56"/>
        <v>183.33333333333334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361</v>
      </c>
      <c r="L103" s="13">
        <f>VLOOKUP(A103,'Données projet'!$A$35:$I$55,9,0)</f>
        <v>5.9</v>
      </c>
      <c r="M103" s="13">
        <f t="array" ref="M103">INDEX(L:L,MIN(IF(ISNUMBER(L103:L299),ROW(L103:L299),"")))</f>
        <v>5.9</v>
      </c>
      <c r="N103" s="14">
        <f>IF('Données projet'!$A$36&gt;35,N102+M103-V102,IF(A103&lt;'Données projet'!$A$36,$K$205^A103,IF(A103='Données projet'!$A$36,'Données projet'!$B$36,N102+M103-V102)))</f>
        <v>361</v>
      </c>
      <c r="O103" s="14">
        <f>N103*VLOOKUP('Données projet'!$B$9,Paramètres!$A$1:$I$89,3,0)*VLOOKUP('Données projet'!$B$9,Paramètres!$A$1:$I$89,5,0)</f>
        <v>326.63280000000003</v>
      </c>
      <c r="P103" s="14">
        <f t="shared" si="87"/>
        <v>76.731784548754845</v>
      </c>
      <c r="Q103" s="22">
        <f t="shared" si="107"/>
        <v>702.52665142241483</v>
      </c>
      <c r="R103" s="60">
        <f t="shared" si="55"/>
        <v>979.93070660612398</v>
      </c>
      <c r="S103" s="60">
        <f ca="1">AVERAGE(OFFSET($R$3,0,0,'Données projet'!$E$9+1,1))-AVERAGE(OFFSET($H$3,0,0,'Données projet'!$E$9+1,1))</f>
        <v>570.08763950759544</v>
      </c>
      <c r="T103" s="60">
        <f t="shared" si="88"/>
        <v>297.32483725004136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-5.6843418860808015E-14</v>
      </c>
      <c r="AJ103" s="14">
        <f>AI103*VLOOKUP('Données projet'!$B$10,Paramètres!$A$1:$I$89,3,0)*VLOOKUP('Données projet'!$B$10,Paramètres!$A$1:$I$89,5,0)</f>
        <v>-4.5224624045658861E-14</v>
      </c>
      <c r="AK103" s="14" t="e">
        <f t="shared" si="89"/>
        <v>#NUM!</v>
      </c>
      <c r="AL103" s="22" t="e">
        <f t="shared" si="58"/>
        <v>#NUM!</v>
      </c>
      <c r="AM103" s="60" t="e">
        <f t="shared" si="59"/>
        <v>#NUM!</v>
      </c>
      <c r="AN103" s="60">
        <f ca="1">AVERAGE(OFFSET($AM$3,0,0,'Données projet'!$E$10+1,1))-AVERAGE(OFFSET($H$3,0,0,'Données projet'!$E$10+1,1))</f>
        <v>394.49874384716014</v>
      </c>
      <c r="AO103" s="60">
        <f t="shared" si="90"/>
        <v>423.72519584013378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258.33333333333331</v>
      </c>
      <c r="BB103" s="13">
        <f>VLOOKUP(A103,'Données projet'!$A$87:$I$107,9,0)</f>
        <v>3.5897435897435854</v>
      </c>
      <c r="BC103" s="13">
        <f t="array" ref="BC103">INDEX(BB:BB,MIN(IF(ISNUMBER(BB103:BB299),ROW(BB103:BB299),"")))</f>
        <v>3.5897435897435854</v>
      </c>
      <c r="BD103" s="13">
        <f>IF('Données projet'!$A$88&gt;35,BD102+BC103-BL102,IF(A103&lt;'Données projet'!$A$88,$BA$205^A103,IF(A103='Données projet'!$A$88,'Données projet'!$B$88,BD102+BC103-BL102)))</f>
        <v>258.33333333333331</v>
      </c>
      <c r="BE103" s="14">
        <f>BD103*VLOOKUP('Données projet'!$B$11,Paramètres!$A$1:$I$89,3,0)*VLOOKUP('Données projet'!$B$11,Paramètres!$A$1:$I$89,5,0)</f>
        <v>245.82999999999998</v>
      </c>
      <c r="BF103" s="14">
        <f t="shared" si="91"/>
        <v>59.692125837514034</v>
      </c>
      <c r="BG103" s="22">
        <f t="shared" si="61"/>
        <v>532.11770250033692</v>
      </c>
      <c r="BH103" s="60">
        <f t="shared" si="62"/>
        <v>809.52175768404618</v>
      </c>
      <c r="BI103" s="60">
        <f ca="1">AVERAGE(OFFSET($BH$3,0,0,'Données projet'!$E$11+1,1))-AVERAGE(OFFSET($H$3,0,0,'Données projet'!$E$11+1,1))</f>
        <v>441.15969139782891</v>
      </c>
      <c r="BJ103" s="60">
        <f t="shared" si="92"/>
        <v>315.06466790224783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1.1368683772161603E-13</v>
      </c>
      <c r="BZ103" s="14">
        <f>BY103*VLOOKUP('Données projet'!$B$12,Paramètres!$A$1:$I$89,3,0)*VLOOKUP('Données projet'!$B$12,Paramètres!$A$1:$I$89,5,0)</f>
        <v>8.8675733422860506E-14</v>
      </c>
      <c r="CA103" s="14">
        <f t="shared" si="93"/>
        <v>1.3509285393066301E-12</v>
      </c>
      <c r="CB103" s="22">
        <f t="shared" si="64"/>
        <v>2.5073107750038623E-12</v>
      </c>
      <c r="CC103" s="60">
        <f t="shared" si="65"/>
        <v>277.40405518371171</v>
      </c>
      <c r="CD103" s="60">
        <f ca="1">AVERAGE(OFFSET($CC$3,0,0,'Données projet'!$E$12+1,1))-AVERAGE(OFFSET($H$3,0,0,'Données projet'!$E$12+1,1))</f>
        <v>312.59632808777332</v>
      </c>
      <c r="CE103" s="60">
        <f t="shared" si="94"/>
        <v>302.59481222418219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361</v>
      </c>
      <c r="CR103" s="13">
        <f>VLOOKUP(A103,'Données projet'!$A$139:$I$159,9,0)</f>
        <v>5.9</v>
      </c>
      <c r="CS103" s="13">
        <f t="array" ref="CS103">INDEX(CR:CR,MIN(IF(ISNUMBER(CR103:CR299),ROW(CR103:CR299),"")))</f>
        <v>5.9</v>
      </c>
      <c r="CT103" s="13">
        <f>IF('Données projet'!$A$140&gt;35,CT102+CS103-DB102,IF(A103&lt;'Données projet'!$A$140,$CQ$205^A103,IF(A103='Données projet'!$A$140,'Données projet'!$B$140,CT102+CS103-DB102)))</f>
        <v>361</v>
      </c>
      <c r="CU103" s="18">
        <f>CT103*VLOOKUP('Données projet'!$B$13,Paramètres!$A$1:$I$89,3,0)*VLOOKUP('Données projet'!$B$13,Paramètres!$A$1:$I$89,5,0)</f>
        <v>349.1592</v>
      </c>
      <c r="CV103" s="14">
        <f t="shared" si="95"/>
        <v>81.389357558494837</v>
      </c>
      <c r="CW103" s="22">
        <f t="shared" si="67"/>
        <v>749.87207108104519</v>
      </c>
      <c r="CX103" s="60">
        <f t="shared" si="68"/>
        <v>1027.2761262647543</v>
      </c>
      <c r="CY103" s="60">
        <f ca="1">AVERAGE(OFFSET($CX$3,0,0,'Données projet'!$E$13+1,1))-AVERAGE(OFFSET($H$3,0,0,'Données projet'!$E$13+1,1))</f>
        <v>603.52431522262032</v>
      </c>
      <c r="CZ103" s="60">
        <f t="shared" si="96"/>
        <v>313.56299786481338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361</v>
      </c>
      <c r="DM103" s="13">
        <f>VLOOKUP(A103,'Données projet'!$A$165:$I$185,9,0)</f>
        <v>5.9</v>
      </c>
      <c r="DN103" s="13">
        <f t="array" ref="DN103">INDEX(DM:DM,MIN(IF(ISNUMBER(DM103:DM299),ROW(DM103:DM299),"")))</f>
        <v>5.9</v>
      </c>
      <c r="DO103" s="13">
        <f>IF('Données projet'!$A$166&gt;35,DO102+DN103-DW102,IF(A103&lt;'Données projet'!$A$166,$DL$205^A103,IF(A103='Données projet'!$A$166,'Données projet'!$B$166,DO102+DN103-DW102)))</f>
        <v>361</v>
      </c>
      <c r="DP103" s="18">
        <f>DO103*VLOOKUP('Données projet'!$B$14,Paramètres!$A$1:$I$89,3,0)*VLOOKUP('Données projet'!$B$14,Paramètres!$A$1:$I$89,5,0)</f>
        <v>388.5804</v>
      </c>
      <c r="DQ103" s="14">
        <f t="shared" si="97"/>
        <v>89.457628336614817</v>
      </c>
      <c r="DR103" s="22">
        <f t="shared" si="70"/>
        <v>832.58289935293749</v>
      </c>
      <c r="DS103" s="60">
        <f t="shared" si="71"/>
        <v>1109.9869545366466</v>
      </c>
      <c r="DT103" s="60">
        <f ca="1">AVERAGE(OFFSET($DS$3,0,0,'Données projet'!$E$14+1,1))-AVERAGE(OFFSET($H$3,0,0,'Données projet'!$E$14+1,1))</f>
        <v>661.93515988633499</v>
      </c>
      <c r="DU103" s="60">
        <f t="shared" si="98"/>
        <v>341.9250949809848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355.12820512820514</v>
      </c>
      <c r="EH103" s="13">
        <f>VLOOKUP(A103,'Données projet'!$A$191:$I$211,9,0)</f>
        <v>3.9743589743589838</v>
      </c>
      <c r="EI103" s="13">
        <f t="array" ref="EI103">INDEX(EH:EH,MIN(IF(ISNUMBER(EH103:EH299),ROW(EH103:EH299),"")))</f>
        <v>3.9743589743589838</v>
      </c>
      <c r="EJ103" s="13">
        <f>IF('Données projet'!$A$192&gt;35,EJ102+EI103-ER102,IF(A103&lt;'Données projet'!$A$192,$EG$205^A103,IF(A103='Données projet'!$A$192,'Données projet'!$B$192,EJ102+EI103-ER102)))</f>
        <v>355.12820512820531</v>
      </c>
      <c r="EK103" s="18">
        <f>EJ103*VLOOKUP('Données projet'!$B$15,Paramètres!$A$1:$I$89,3,0)*VLOOKUP('Données projet'!$B$15,Paramètres!$A$1:$I$89,5,0)</f>
        <v>238.22000000000014</v>
      </c>
      <c r="EL103" s="14">
        <f t="shared" si="99"/>
        <v>58.05638904163186</v>
      </c>
      <c r="EM103" s="22">
        <f t="shared" si="73"/>
        <v>516.01471091417579</v>
      </c>
      <c r="EN103" s="60">
        <f t="shared" si="74"/>
        <v>793.41876609788505</v>
      </c>
      <c r="EO103" s="60">
        <f ca="1">AVERAGE(OFFSET($EN$3,0,0,'Données projet'!$E$15+1,1))-AVERAGE(OFFSET($H$3,0,0,'Données projet'!$E$15+1,1))</f>
        <v>396.0878652679051</v>
      </c>
      <c r="EP103" s="60">
        <f t="shared" si="100"/>
        <v>327.26339199235406</v>
      </c>
      <c r="EQ103" s="16">
        <f>IF(ISNA(VLOOKUP(A103,'Données projet'!$A$191:$I$211,3,0)),0,VLOOKUP(A103,'Données projet'!$A$191:$I$211,3,0))</f>
        <v>9</v>
      </c>
      <c r="ER103" s="16">
        <f>IF(ISNA(VLOOKUP(A103,'Données projet'!$A$191:$I$211,4,0)),0,VLOOKUP(A103,'Données projet'!$A$191:$I$211,4,0))</f>
        <v>25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-5.6843418860808015E-14</v>
      </c>
      <c r="FF103" s="18">
        <f>FE103*VLOOKUP('Données projet'!$B$16,Paramètres!$A$1:$I$89,3,0)*VLOOKUP('Données projet'!$B$16,Paramètres!$A$1:$I$89,5,0)</f>
        <v>-4.1677594708744434E-14</v>
      </c>
      <c r="FG103" s="14" t="e">
        <f t="shared" si="101"/>
        <v>#NUM!</v>
      </c>
      <c r="FH103" s="22" t="e">
        <f t="shared" si="76"/>
        <v>#NUM!</v>
      </c>
      <c r="FI103" s="60" t="e">
        <f t="shared" si="77"/>
        <v>#NUM!</v>
      </c>
      <c r="FJ103" s="60">
        <f ca="1">AVERAGE(OFFSET($FI$3,0,0,'Données projet'!$E$16+1,1))-AVERAGE(OFFSET($H$3,0,0,'Données projet'!$E$16+1,1))</f>
        <v>368.35775920359396</v>
      </c>
      <c r="FK103" s="60">
        <f t="shared" si="102"/>
        <v>395.5218438652638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8</v>
      </c>
      <c r="FZ103" s="13">
        <f>IF('Données projet'!$A$244&gt;35,FZ102+FY103-GH102,IF(A103&lt;'Données projet'!$A$244,$FW$205^A103,IF(A103='Données projet'!$A$244,'Données projet'!$B$244,FZ102+FY103-GH102)))</f>
        <v>472.99999999999977</v>
      </c>
      <c r="GA103" s="18">
        <f>FZ103*VLOOKUP('Données projet'!$B$17,Paramètres!$A$1:$I$89,3,0)*VLOOKUP('Données projet'!$B$17,Paramètres!$A$1:$I$89,5,0)</f>
        <v>405.83399999999989</v>
      </c>
      <c r="GB103" s="14">
        <f t="shared" si="103"/>
        <v>92.958420619932326</v>
      </c>
      <c r="GC103" s="22">
        <f t="shared" si="79"/>
        <v>868.73013257971525</v>
      </c>
      <c r="GD103" s="60">
        <f t="shared" si="80"/>
        <v>1146.1341877634245</v>
      </c>
      <c r="GE103" s="60">
        <f ca="1">AVERAGE(OFFSET($GD$3,0,0,'Données projet'!$E$17+1,1))-AVERAGE(OFFSET($H$3,0,0,'Données projet'!$E$17+1,1))</f>
        <v>701.44583662096022</v>
      </c>
      <c r="GF103" s="60">
        <f t="shared" si="104"/>
        <v>331.25104323342907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-1.1368683772161603E-13</v>
      </c>
      <c r="GV103" s="18">
        <f>GU103*VLOOKUP('Données projet'!$B$18,Paramètres!$A$1:$I$89,3,0)*VLOOKUP('Données projet'!$B$18,Paramètres!$A$1:$I$89,5,0)</f>
        <v>-9.2222762759774927E-14</v>
      </c>
      <c r="GW103" s="14" t="e">
        <f t="shared" si="105"/>
        <v>#NUM!</v>
      </c>
      <c r="GX103" s="22" t="e">
        <f t="shared" si="82"/>
        <v>#NUM!</v>
      </c>
      <c r="GY103" s="60" t="e">
        <f t="shared" si="83"/>
        <v>#NUM!</v>
      </c>
      <c r="GZ103" s="60">
        <f ca="1">AVERAGE(OFFSET($GY$3,0,0,'Données projet'!$E$18+1,1))-AVERAGE(OFFSET($H$3,0,0,'Données projet'!$E$18+1,1))</f>
        <v>272.69564942740931</v>
      </c>
      <c r="HA103" s="60">
        <f t="shared" si="106"/>
        <v>316.57989180609252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25">
      <c r="A104" s="11">
        <f t="shared" si="85"/>
        <v>101</v>
      </c>
      <c r="B104" s="75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8">
        <f t="shared" si="56"/>
        <v>183.33333333333334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5.2</v>
      </c>
      <c r="N104" s="14">
        <f>IF('Données projet'!$A$36&gt;35,N103+M104-V103,IF(A104&lt;'Données projet'!$A$36,$K$205^A104,IF(A104='Données projet'!$A$36,'Données projet'!$B$36,N103+M104-V103)))</f>
        <v>366.2</v>
      </c>
      <c r="O104" s="14">
        <f>N104*VLOOKUP('Données projet'!$B$9,Paramètres!$A$1:$I$89,3,0)*VLOOKUP('Données projet'!$B$9,Paramètres!$A$1:$I$89,5,0)</f>
        <v>331.33776</v>
      </c>
      <c r="P104" s="14">
        <f t="shared" si="87"/>
        <v>77.707593612890619</v>
      </c>
      <c r="Q104" s="22">
        <f t="shared" si="107"/>
        <v>712.42065754245107</v>
      </c>
      <c r="R104" s="60">
        <f t="shared" si="55"/>
        <v>990.10105008952542</v>
      </c>
      <c r="S104" s="60">
        <f ca="1">AVERAGE(OFFSET($R$3,0,0,'Données projet'!$E$9+1,1))-AVERAGE(OFFSET($H$3,0,0,'Données projet'!$E$9+1,1))</f>
        <v>570.08763950759544</v>
      </c>
      <c r="T104" s="60">
        <f t="shared" si="88"/>
        <v>297.32483725004136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-5.6843418860808015E-14</v>
      </c>
      <c r="AJ104" s="14">
        <f>AI104*VLOOKUP('Données projet'!$B$10,Paramètres!$A$1:$I$89,3,0)*VLOOKUP('Données projet'!$B$10,Paramètres!$A$1:$I$89,5,0)</f>
        <v>-4.5224624045658861E-14</v>
      </c>
      <c r="AK104" s="14" t="e">
        <f t="shared" si="89"/>
        <v>#NUM!</v>
      </c>
      <c r="AL104" s="22" t="e">
        <f t="shared" si="58"/>
        <v>#NUM!</v>
      </c>
      <c r="AM104" s="60" t="e">
        <f t="shared" si="59"/>
        <v>#NUM!</v>
      </c>
      <c r="AN104" s="60">
        <f ca="1">AVERAGE(OFFSET($AM$3,0,0,'Données projet'!$E$10+1,1))-AVERAGE(OFFSET($H$3,0,0,'Données projet'!$E$10+1,1))</f>
        <v>394.49874384716014</v>
      </c>
      <c r="AO104" s="60">
        <f t="shared" si="90"/>
        <v>423.72519584013378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3.3974358974359005</v>
      </c>
      <c r="BD104" s="13">
        <f>IF('Données projet'!$A$88&gt;35,BD103+BC104-BL103,IF(A104&lt;'Données projet'!$A$88,$BA$205^A104,IF(A104='Données projet'!$A$88,'Données projet'!$B$88,BD103+BC104-BL103)))</f>
        <v>261.73076923076923</v>
      </c>
      <c r="BE104" s="14">
        <f>BD104*VLOOKUP('Données projet'!$B$11,Paramètres!$A$1:$I$89,3,0)*VLOOKUP('Données projet'!$B$11,Paramètres!$A$1:$I$89,5,0)</f>
        <v>249.06300000000002</v>
      </c>
      <c r="BF104" s="14">
        <f t="shared" si="91"/>
        <v>60.385252576343511</v>
      </c>
      <c r="BG104" s="22">
        <f t="shared" si="61"/>
        <v>538.95570657046494</v>
      </c>
      <c r="BH104" s="60">
        <f t="shared" si="62"/>
        <v>816.63609911753929</v>
      </c>
      <c r="BI104" s="60">
        <f ca="1">AVERAGE(OFFSET($BH$3,0,0,'Données projet'!$E$11+1,1))-AVERAGE(OFFSET($H$3,0,0,'Données projet'!$E$11+1,1))</f>
        <v>441.15969139782891</v>
      </c>
      <c r="BJ104" s="60">
        <f t="shared" si="92"/>
        <v>315.06466790224783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1.1368683772161603E-13</v>
      </c>
      <c r="BZ104" s="14">
        <f>BY104*VLOOKUP('Données projet'!$B$12,Paramètres!$A$1:$I$89,3,0)*VLOOKUP('Données projet'!$B$12,Paramètres!$A$1:$I$89,5,0)</f>
        <v>8.8675733422860506E-14</v>
      </c>
      <c r="CA104" s="14">
        <f t="shared" si="93"/>
        <v>1.3509285393066301E-12</v>
      </c>
      <c r="CB104" s="22">
        <f t="shared" si="64"/>
        <v>2.5073107750038623E-12</v>
      </c>
      <c r="CC104" s="60">
        <f t="shared" si="65"/>
        <v>277.68039254707691</v>
      </c>
      <c r="CD104" s="60">
        <f ca="1">AVERAGE(OFFSET($CC$3,0,0,'Données projet'!$E$12+1,1))-AVERAGE(OFFSET($H$3,0,0,'Données projet'!$E$12+1,1))</f>
        <v>312.59632808777332</v>
      </c>
      <c r="CE104" s="60">
        <f t="shared" si="94"/>
        <v>302.59481222418219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5.2</v>
      </c>
      <c r="CT104" s="13">
        <f>IF('Données projet'!$A$140&gt;35,CT103+CS104-DB103,IF(A104&lt;'Données projet'!$A$140,$CQ$205^A104,IF(A104='Données projet'!$A$140,'Données projet'!$B$140,CT103+CS104-DB103)))</f>
        <v>366.2</v>
      </c>
      <c r="CU104" s="18">
        <f>CT104*VLOOKUP('Données projet'!$B$13,Paramètres!$A$1:$I$89,3,0)*VLOOKUP('Données projet'!$B$13,Paramètres!$A$1:$I$89,5,0)</f>
        <v>354.18863999999996</v>
      </c>
      <c r="CV104" s="14">
        <f t="shared" si="95"/>
        <v>82.424397643862633</v>
      </c>
      <c r="CW104" s="22">
        <f t="shared" si="67"/>
        <v>760.43437389639394</v>
      </c>
      <c r="CX104" s="60">
        <f t="shared" si="68"/>
        <v>1038.1147664434684</v>
      </c>
      <c r="CY104" s="60">
        <f ca="1">AVERAGE(OFFSET($CX$3,0,0,'Données projet'!$E$13+1,1))-AVERAGE(OFFSET($H$3,0,0,'Données projet'!$E$13+1,1))</f>
        <v>603.52431522262032</v>
      </c>
      <c r="CZ104" s="60">
        <f t="shared" si="96"/>
        <v>313.56299786481338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5.2</v>
      </c>
      <c r="DO104" s="13">
        <f>IF('Données projet'!$A$166&gt;35,DO103+DN104-DW103,IF(A104&lt;'Données projet'!$A$166,$DL$205^A104,IF(A104='Données projet'!$A$166,'Données projet'!$B$166,DO103+DN104-DW103)))</f>
        <v>366.2</v>
      </c>
      <c r="DP104" s="18">
        <f>DO104*VLOOKUP('Données projet'!$B$14,Paramètres!$A$1:$I$89,3,0)*VLOOKUP('Données projet'!$B$14,Paramètres!$A$1:$I$89,5,0)</f>
        <v>394.17767999999995</v>
      </c>
      <c r="DQ104" s="14">
        <f t="shared" si="97"/>
        <v>90.59527377390414</v>
      </c>
      <c r="DR104" s="22">
        <f t="shared" si="70"/>
        <v>844.31289448954965</v>
      </c>
      <c r="DS104" s="60">
        <f t="shared" si="71"/>
        <v>1121.993287036624</v>
      </c>
      <c r="DT104" s="60">
        <f ca="1">AVERAGE(OFFSET($DS$3,0,0,'Données projet'!$E$14+1,1))-AVERAGE(OFFSET($H$3,0,0,'Données projet'!$E$14+1,1))</f>
        <v>661.93515988633499</v>
      </c>
      <c r="DU104" s="60">
        <f t="shared" si="98"/>
        <v>341.9250949809848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3.6538461538461489</v>
      </c>
      <c r="EJ104" s="13">
        <f>IF('Données projet'!$A$192&gt;35,EJ103+EI104-ER103,IF(A104&lt;'Données projet'!$A$192,$EG$205^A104,IF(A104='Données projet'!$A$192,'Données projet'!$B$192,EJ103+EI104-ER103)))</f>
        <v>333.78205128205144</v>
      </c>
      <c r="EK104" s="18">
        <f>EJ104*VLOOKUP('Données projet'!$B$15,Paramètres!$A$1:$I$89,3,0)*VLOOKUP('Données projet'!$B$15,Paramètres!$A$1:$I$89,5,0)</f>
        <v>223.90100000000012</v>
      </c>
      <c r="EL104" s="14">
        <f t="shared" si="99"/>
        <v>54.961879528873183</v>
      </c>
      <c r="EM104" s="22">
        <f t="shared" si="73"/>
        <v>485.68618184612097</v>
      </c>
      <c r="EN104" s="60">
        <f t="shared" si="74"/>
        <v>763.36657439319538</v>
      </c>
      <c r="EO104" s="60">
        <f ca="1">AVERAGE(OFFSET($EN$3,0,0,'Données projet'!$E$15+1,1))-AVERAGE(OFFSET($H$3,0,0,'Données projet'!$E$15+1,1))</f>
        <v>396.0878652679051</v>
      </c>
      <c r="EP104" s="60">
        <f t="shared" si="100"/>
        <v>327.26339199235406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-5.6843418860808015E-14</v>
      </c>
      <c r="FF104" s="18">
        <f>FE104*VLOOKUP('Données projet'!$B$16,Paramètres!$A$1:$I$89,3,0)*VLOOKUP('Données projet'!$B$16,Paramètres!$A$1:$I$89,5,0)</f>
        <v>-4.1677594708744434E-14</v>
      </c>
      <c r="FG104" s="14" t="e">
        <f t="shared" si="101"/>
        <v>#NUM!</v>
      </c>
      <c r="FH104" s="22" t="e">
        <f t="shared" si="76"/>
        <v>#NUM!</v>
      </c>
      <c r="FI104" s="60" t="e">
        <f t="shared" si="77"/>
        <v>#NUM!</v>
      </c>
      <c r="FJ104" s="60">
        <f ca="1">AVERAGE(OFFSET($FI$3,0,0,'Données projet'!$E$16+1,1))-AVERAGE(OFFSET($H$3,0,0,'Données projet'!$E$16+1,1))</f>
        <v>368.35775920359396</v>
      </c>
      <c r="FK104" s="60">
        <f t="shared" si="102"/>
        <v>395.5218438652638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8</v>
      </c>
      <c r="FZ104" s="13">
        <f>IF('Données projet'!$A$244&gt;35,FZ103+FY104-GH103,IF(A104&lt;'Données projet'!$A$244,$FW$205^A104,IF(A104='Données projet'!$A$244,'Données projet'!$B$244,FZ103+FY104-GH103)))</f>
        <v>480.99999999999977</v>
      </c>
      <c r="GA104" s="18">
        <f>FZ104*VLOOKUP('Données projet'!$B$17,Paramètres!$A$1:$I$89,3,0)*VLOOKUP('Données projet'!$B$17,Paramètres!$A$1:$I$89,5,0)</f>
        <v>412.69799999999987</v>
      </c>
      <c r="GB104" s="14">
        <f t="shared" si="103"/>
        <v>94.34628889591923</v>
      </c>
      <c r="GC104" s="22">
        <f t="shared" si="79"/>
        <v>883.10213649372565</v>
      </c>
      <c r="GD104" s="60">
        <f t="shared" si="80"/>
        <v>1160.7825290408</v>
      </c>
      <c r="GE104" s="60">
        <f ca="1">AVERAGE(OFFSET($GD$3,0,0,'Données projet'!$E$17+1,1))-AVERAGE(OFFSET($H$3,0,0,'Données projet'!$E$17+1,1))</f>
        <v>701.44583662096022</v>
      </c>
      <c r="GF104" s="60">
        <f t="shared" si="104"/>
        <v>331.25104323342907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-1.1368683772161603E-13</v>
      </c>
      <c r="GV104" s="18">
        <f>GU104*VLOOKUP('Données projet'!$B$18,Paramètres!$A$1:$I$89,3,0)*VLOOKUP('Données projet'!$B$18,Paramètres!$A$1:$I$89,5,0)</f>
        <v>-9.2222762759774927E-14</v>
      </c>
      <c r="GW104" s="14" t="e">
        <f t="shared" si="105"/>
        <v>#NUM!</v>
      </c>
      <c r="GX104" s="22" t="e">
        <f t="shared" si="82"/>
        <v>#NUM!</v>
      </c>
      <c r="GY104" s="60" t="e">
        <f t="shared" si="83"/>
        <v>#NUM!</v>
      </c>
      <c r="GZ104" s="60">
        <f ca="1">AVERAGE(OFFSET($GY$3,0,0,'Données projet'!$E$18+1,1))-AVERAGE(OFFSET($H$3,0,0,'Données projet'!$E$18+1,1))</f>
        <v>272.69564942740931</v>
      </c>
      <c r="HA104" s="60">
        <f t="shared" si="106"/>
        <v>316.57989180609252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25">
      <c r="A105" s="11">
        <f t="shared" si="85"/>
        <v>102</v>
      </c>
      <c r="B105" s="75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8">
        <f t="shared" si="56"/>
        <v>183.33333333333334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5.2</v>
      </c>
      <c r="N105" s="14">
        <f>IF('Données projet'!$A$36&gt;35,N104+M105-V104,IF(A105&lt;'Données projet'!$A$36,$K$205^A105,IF(A105='Données projet'!$A$36,'Données projet'!$B$36,N104+M105-V104)))</f>
        <v>371.4</v>
      </c>
      <c r="O105" s="14">
        <f>N105*VLOOKUP('Données projet'!$B$9,Paramètres!$A$1:$I$89,3,0)*VLOOKUP('Données projet'!$B$9,Paramètres!$A$1:$I$89,5,0)</f>
        <v>336.04271999999997</v>
      </c>
      <c r="P105" s="14">
        <f t="shared" si="87"/>
        <v>78.681791069086316</v>
      </c>
      <c r="Q105" s="22">
        <f t="shared" si="107"/>
        <v>722.31185677865858</v>
      </c>
      <c r="R105" s="60">
        <f t="shared" si="55"/>
        <v>1000.2637928536415</v>
      </c>
      <c r="S105" s="60">
        <f ca="1">AVERAGE(OFFSET($R$3,0,0,'Données projet'!$E$9+1,1))-AVERAGE(OFFSET($H$3,0,0,'Données projet'!$E$9+1,1))</f>
        <v>570.08763950759544</v>
      </c>
      <c r="T105" s="60">
        <f t="shared" si="88"/>
        <v>297.32483725004136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-5.6843418860808015E-14</v>
      </c>
      <c r="AJ105" s="14">
        <f>AI105*VLOOKUP('Données projet'!$B$10,Paramètres!$A$1:$I$89,3,0)*VLOOKUP('Données projet'!$B$10,Paramètres!$A$1:$I$89,5,0)</f>
        <v>-4.5224624045658861E-14</v>
      </c>
      <c r="AK105" s="14" t="e">
        <f t="shared" si="89"/>
        <v>#NUM!</v>
      </c>
      <c r="AL105" s="22" t="e">
        <f t="shared" si="58"/>
        <v>#NUM!</v>
      </c>
      <c r="AM105" s="60" t="e">
        <f t="shared" si="59"/>
        <v>#NUM!</v>
      </c>
      <c r="AN105" s="60">
        <f ca="1">AVERAGE(OFFSET($AM$3,0,0,'Données projet'!$E$10+1,1))-AVERAGE(OFFSET($H$3,0,0,'Données projet'!$E$10+1,1))</f>
        <v>394.49874384716014</v>
      </c>
      <c r="AO105" s="60">
        <f t="shared" si="90"/>
        <v>423.72519584013378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3.3974358974359005</v>
      </c>
      <c r="BD105" s="13">
        <f>IF('Données projet'!$A$88&gt;35,BD104+BC105-BL104,IF(A105&lt;'Données projet'!$A$88,$BA$205^A105,IF(A105='Données projet'!$A$88,'Données projet'!$B$88,BD104+BC105-BL104)))</f>
        <v>265.12820512820514</v>
      </c>
      <c r="BE105" s="14">
        <f>BD105*VLOOKUP('Données projet'!$B$11,Paramètres!$A$1:$I$89,3,0)*VLOOKUP('Données projet'!$B$11,Paramètres!$A$1:$I$89,5,0)</f>
        <v>252.29600000000002</v>
      </c>
      <c r="BF105" s="14">
        <f t="shared" si="91"/>
        <v>61.077332796544965</v>
      </c>
      <c r="BG105" s="22">
        <f t="shared" si="61"/>
        <v>545.7918879539825</v>
      </c>
      <c r="BH105" s="60">
        <f t="shared" si="62"/>
        <v>823.74382402896549</v>
      </c>
      <c r="BI105" s="60">
        <f ca="1">AVERAGE(OFFSET($BH$3,0,0,'Données projet'!$E$11+1,1))-AVERAGE(OFFSET($H$3,0,0,'Données projet'!$E$11+1,1))</f>
        <v>441.15969139782891</v>
      </c>
      <c r="BJ105" s="60">
        <f t="shared" si="92"/>
        <v>315.06466790224783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1.1368683772161603E-13</v>
      </c>
      <c r="BZ105" s="14">
        <f>BY105*VLOOKUP('Données projet'!$B$12,Paramètres!$A$1:$I$89,3,0)*VLOOKUP('Données projet'!$B$12,Paramètres!$A$1:$I$89,5,0)</f>
        <v>8.8675733422860506E-14</v>
      </c>
      <c r="CA105" s="14">
        <f t="shared" si="93"/>
        <v>1.3509285393066301E-12</v>
      </c>
      <c r="CB105" s="22">
        <f t="shared" si="64"/>
        <v>2.5073107750038623E-12</v>
      </c>
      <c r="CC105" s="60">
        <f t="shared" si="65"/>
        <v>277.95193607498544</v>
      </c>
      <c r="CD105" s="60">
        <f ca="1">AVERAGE(OFFSET($CC$3,0,0,'Données projet'!$E$12+1,1))-AVERAGE(OFFSET($H$3,0,0,'Données projet'!$E$12+1,1))</f>
        <v>312.59632808777332</v>
      </c>
      <c r="CE105" s="60">
        <f t="shared" si="94"/>
        <v>302.59481222418219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5.2</v>
      </c>
      <c r="CT105" s="13">
        <f>IF('Données projet'!$A$140&gt;35,CT104+CS105-DB104,IF(A105&lt;'Données projet'!$A$140,$CQ$205^A105,IF(A105='Données projet'!$A$140,'Données projet'!$B$140,CT104+CS105-DB104)))</f>
        <v>371.4</v>
      </c>
      <c r="CU105" s="18">
        <f>CT105*VLOOKUP('Données projet'!$B$13,Paramètres!$A$1:$I$89,3,0)*VLOOKUP('Données projet'!$B$13,Paramètres!$A$1:$I$89,5,0)</f>
        <v>359.21807999999999</v>
      </c>
      <c r="CV105" s="14">
        <f t="shared" si="95"/>
        <v>83.457728297661106</v>
      </c>
      <c r="CW105" s="22">
        <f t="shared" si="67"/>
        <v>770.99369945175965</v>
      </c>
      <c r="CX105" s="60">
        <f t="shared" si="68"/>
        <v>1048.9456355267425</v>
      </c>
      <c r="CY105" s="60">
        <f ca="1">AVERAGE(OFFSET($CX$3,0,0,'Données projet'!$E$13+1,1))-AVERAGE(OFFSET($H$3,0,0,'Données projet'!$E$13+1,1))</f>
        <v>603.52431522262032</v>
      </c>
      <c r="CZ105" s="60">
        <f t="shared" si="96"/>
        <v>313.56299786481338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5.2</v>
      </c>
      <c r="DO105" s="13">
        <f>IF('Données projet'!$A$166&gt;35,DO104+DN105-DW104,IF(A105&lt;'Données projet'!$A$166,$DL$205^A105,IF(A105='Données projet'!$A$166,'Données projet'!$B$166,DO104+DN105-DW104)))</f>
        <v>371.4</v>
      </c>
      <c r="DP105" s="18">
        <f>DO105*VLOOKUP('Données projet'!$B$14,Paramètres!$A$1:$I$89,3,0)*VLOOKUP('Données projet'!$B$14,Paramètres!$A$1:$I$89,5,0)</f>
        <v>399.77495999999996</v>
      </c>
      <c r="DQ105" s="14">
        <f t="shared" si="97"/>
        <v>91.731040320653179</v>
      </c>
      <c r="DR105" s="22">
        <f t="shared" si="70"/>
        <v>856.03961722513759</v>
      </c>
      <c r="DS105" s="60">
        <f t="shared" si="71"/>
        <v>1133.9915533001206</v>
      </c>
      <c r="DT105" s="60">
        <f ca="1">AVERAGE(OFFSET($DS$3,0,0,'Données projet'!$E$14+1,1))-AVERAGE(OFFSET($H$3,0,0,'Données projet'!$E$14+1,1))</f>
        <v>661.93515988633499</v>
      </c>
      <c r="DU105" s="60">
        <f t="shared" si="98"/>
        <v>341.9250949809848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3.6538461538461489</v>
      </c>
      <c r="EJ105" s="13">
        <f>IF('Données projet'!$A$192&gt;35,EJ104+EI105-ER104,IF(A105&lt;'Données projet'!$A$192,$EG$205^A105,IF(A105='Données projet'!$A$192,'Données projet'!$B$192,EJ104+EI105-ER104)))</f>
        <v>337.43589743589757</v>
      </c>
      <c r="EK105" s="18">
        <f>EJ105*VLOOKUP('Données projet'!$B$15,Paramètres!$A$1:$I$89,3,0)*VLOOKUP('Données projet'!$B$15,Paramètres!$A$1:$I$89,5,0)</f>
        <v>226.35200000000009</v>
      </c>
      <c r="EL105" s="14">
        <f t="shared" si="99"/>
        <v>55.493166179246714</v>
      </c>
      <c r="EM105" s="22">
        <f t="shared" si="73"/>
        <v>490.88033109552151</v>
      </c>
      <c r="EN105" s="60">
        <f t="shared" si="74"/>
        <v>768.83226717050445</v>
      </c>
      <c r="EO105" s="60">
        <f ca="1">AVERAGE(OFFSET($EN$3,0,0,'Données projet'!$E$15+1,1))-AVERAGE(OFFSET($H$3,0,0,'Données projet'!$E$15+1,1))</f>
        <v>396.0878652679051</v>
      </c>
      <c r="EP105" s="60">
        <f t="shared" si="100"/>
        <v>327.26339199235406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-5.6843418860808015E-14</v>
      </c>
      <c r="FF105" s="18">
        <f>FE105*VLOOKUP('Données projet'!$B$16,Paramètres!$A$1:$I$89,3,0)*VLOOKUP('Données projet'!$B$16,Paramètres!$A$1:$I$89,5,0)</f>
        <v>-4.1677594708744434E-14</v>
      </c>
      <c r="FG105" s="14" t="e">
        <f t="shared" si="101"/>
        <v>#NUM!</v>
      </c>
      <c r="FH105" s="22" t="e">
        <f t="shared" si="76"/>
        <v>#NUM!</v>
      </c>
      <c r="FI105" s="60" t="e">
        <f t="shared" si="77"/>
        <v>#NUM!</v>
      </c>
      <c r="FJ105" s="60">
        <f ca="1">AVERAGE(OFFSET($FI$3,0,0,'Données projet'!$E$16+1,1))-AVERAGE(OFFSET($H$3,0,0,'Données projet'!$E$16+1,1))</f>
        <v>368.35775920359396</v>
      </c>
      <c r="FK105" s="60">
        <f t="shared" si="102"/>
        <v>395.5218438652638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8</v>
      </c>
      <c r="FZ105" s="13">
        <f>IF('Données projet'!$A$244&gt;35,FZ104+FY105-GH104,IF(A105&lt;'Données projet'!$A$244,$FW$205^A105,IF(A105='Données projet'!$A$244,'Données projet'!$B$244,FZ104+FY105-GH104)))</f>
        <v>488.99999999999977</v>
      </c>
      <c r="GA105" s="18">
        <f>FZ105*VLOOKUP('Données projet'!$B$17,Paramètres!$A$1:$I$89,3,0)*VLOOKUP('Données projet'!$B$17,Paramètres!$A$1:$I$89,5,0)</f>
        <v>419.56199999999984</v>
      </c>
      <c r="GB105" s="14">
        <f t="shared" si="103"/>
        <v>95.731472773408413</v>
      </c>
      <c r="GC105" s="22">
        <f t="shared" si="79"/>
        <v>897.46946508035262</v>
      </c>
      <c r="GD105" s="60">
        <f t="shared" si="80"/>
        <v>1175.4214011553356</v>
      </c>
      <c r="GE105" s="60">
        <f ca="1">AVERAGE(OFFSET($GD$3,0,0,'Données projet'!$E$17+1,1))-AVERAGE(OFFSET($H$3,0,0,'Données projet'!$E$17+1,1))</f>
        <v>701.44583662096022</v>
      </c>
      <c r="GF105" s="60">
        <f t="shared" si="104"/>
        <v>331.25104323342907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-1.1368683772161603E-13</v>
      </c>
      <c r="GV105" s="18">
        <f>GU105*VLOOKUP('Données projet'!$B$18,Paramètres!$A$1:$I$89,3,0)*VLOOKUP('Données projet'!$B$18,Paramètres!$A$1:$I$89,5,0)</f>
        <v>-9.2222762759774927E-14</v>
      </c>
      <c r="GW105" s="14" t="e">
        <f t="shared" si="105"/>
        <v>#NUM!</v>
      </c>
      <c r="GX105" s="22" t="e">
        <f t="shared" si="82"/>
        <v>#NUM!</v>
      </c>
      <c r="GY105" s="60" t="e">
        <f t="shared" si="83"/>
        <v>#NUM!</v>
      </c>
      <c r="GZ105" s="60">
        <f ca="1">AVERAGE(OFFSET($GY$3,0,0,'Données projet'!$E$18+1,1))-AVERAGE(OFFSET($H$3,0,0,'Données projet'!$E$18+1,1))</f>
        <v>272.69564942740931</v>
      </c>
      <c r="HA105" s="60">
        <f t="shared" si="106"/>
        <v>316.57989180609252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25">
      <c r="A106" s="11">
        <f t="shared" si="85"/>
        <v>103</v>
      </c>
      <c r="B106" s="75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8">
        <f t="shared" si="56"/>
        <v>183.33333333333334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5.2</v>
      </c>
      <c r="N106" s="14">
        <f>IF('Données projet'!$A$36&gt;35,N105+M106-V105,IF(A106&lt;'Données projet'!$A$36,$K$205^A106,IF(A106='Données projet'!$A$36,'Données projet'!$B$36,N105+M106-V105)))</f>
        <v>376.59999999999997</v>
      </c>
      <c r="O106" s="14">
        <f>N106*VLOOKUP('Données projet'!$B$9,Paramètres!$A$1:$I$89,3,0)*VLOOKUP('Données projet'!$B$9,Paramètres!$A$1:$I$89,5,0)</f>
        <v>340.74767999999995</v>
      </c>
      <c r="P106" s="14">
        <f t="shared" si="87"/>
        <v>79.654402089206556</v>
      </c>
      <c r="Q106" s="22">
        <f t="shared" si="107"/>
        <v>732.20029297203462</v>
      </c>
      <c r="R106" s="60">
        <f t="shared" si="55"/>
        <v>1010.4190619017972</v>
      </c>
      <c r="S106" s="60">
        <f ca="1">AVERAGE(OFFSET($R$3,0,0,'Données projet'!$E$9+1,1))-AVERAGE(OFFSET($H$3,0,0,'Données projet'!$E$9+1,1))</f>
        <v>570.08763950759544</v>
      </c>
      <c r="T106" s="60">
        <f t="shared" si="88"/>
        <v>297.32483725004136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-5.6843418860808015E-14</v>
      </c>
      <c r="AJ106" s="14">
        <f>AI106*VLOOKUP('Données projet'!$B$10,Paramètres!$A$1:$I$89,3,0)*VLOOKUP('Données projet'!$B$10,Paramètres!$A$1:$I$89,5,0)</f>
        <v>-4.5224624045658861E-14</v>
      </c>
      <c r="AK106" s="14" t="e">
        <f t="shared" si="89"/>
        <v>#NUM!</v>
      </c>
      <c r="AL106" s="22" t="e">
        <f t="shared" si="58"/>
        <v>#NUM!</v>
      </c>
      <c r="AM106" s="60" t="e">
        <f t="shared" si="59"/>
        <v>#NUM!</v>
      </c>
      <c r="AN106" s="60">
        <f ca="1">AVERAGE(OFFSET($AM$3,0,0,'Données projet'!$E$10+1,1))-AVERAGE(OFFSET($H$3,0,0,'Données projet'!$E$10+1,1))</f>
        <v>394.49874384716014</v>
      </c>
      <c r="AO106" s="60">
        <f t="shared" si="90"/>
        <v>423.72519584013378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3.3974358974359005</v>
      </c>
      <c r="BD106" s="13">
        <f>IF('Données projet'!$A$88&gt;35,BD105+BC106-BL105,IF(A106&lt;'Données projet'!$A$88,$BA$205^A106,IF(A106='Données projet'!$A$88,'Données projet'!$B$88,BD105+BC106-BL105)))</f>
        <v>268.52564102564105</v>
      </c>
      <c r="BE106" s="14">
        <f>BD106*VLOOKUP('Données projet'!$B$11,Paramètres!$A$1:$I$89,3,0)*VLOOKUP('Données projet'!$B$11,Paramètres!$A$1:$I$89,5,0)</f>
        <v>255.52900000000002</v>
      </c>
      <c r="BF106" s="14">
        <f t="shared" si="91"/>
        <v>61.768381459172247</v>
      </c>
      <c r="BG106" s="22">
        <f t="shared" si="61"/>
        <v>552.62627270805831</v>
      </c>
      <c r="BH106" s="60">
        <f t="shared" si="62"/>
        <v>830.84504163782094</v>
      </c>
      <c r="BI106" s="60">
        <f ca="1">AVERAGE(OFFSET($BH$3,0,0,'Données projet'!$E$11+1,1))-AVERAGE(OFFSET($H$3,0,0,'Données projet'!$E$11+1,1))</f>
        <v>441.15969139782891</v>
      </c>
      <c r="BJ106" s="60">
        <f t="shared" si="92"/>
        <v>315.06466790224783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1.1368683772161603E-13</v>
      </c>
      <c r="BZ106" s="14">
        <f>BY106*VLOOKUP('Données projet'!$B$12,Paramètres!$A$1:$I$89,3,0)*VLOOKUP('Données projet'!$B$12,Paramètres!$A$1:$I$89,5,0)</f>
        <v>8.8675733422860506E-14</v>
      </c>
      <c r="CA106" s="14">
        <f t="shared" si="93"/>
        <v>1.3509285393066301E-12</v>
      </c>
      <c r="CB106" s="22">
        <f t="shared" si="64"/>
        <v>2.5073107750038623E-12</v>
      </c>
      <c r="CC106" s="60">
        <f t="shared" si="65"/>
        <v>278.21876892976519</v>
      </c>
      <c r="CD106" s="60">
        <f ca="1">AVERAGE(OFFSET($CC$3,0,0,'Données projet'!$E$12+1,1))-AVERAGE(OFFSET($H$3,0,0,'Données projet'!$E$12+1,1))</f>
        <v>312.59632808777332</v>
      </c>
      <c r="CE106" s="60">
        <f t="shared" si="94"/>
        <v>302.59481222418219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5.2</v>
      </c>
      <c r="CT106" s="13">
        <f>IF('Données projet'!$A$140&gt;35,CT105+CS106-DB105,IF(A106&lt;'Données projet'!$A$140,$CQ$205^A106,IF(A106='Données projet'!$A$140,'Données projet'!$B$140,CT105+CS106-DB105)))</f>
        <v>376.59999999999997</v>
      </c>
      <c r="CU106" s="18">
        <f>CT106*VLOOKUP('Données projet'!$B$13,Paramètres!$A$1:$I$89,3,0)*VLOOKUP('Données projet'!$B$13,Paramètres!$A$1:$I$89,5,0)</f>
        <v>364.24752000000001</v>
      </c>
      <c r="CV106" s="14">
        <f t="shared" si="95"/>
        <v>84.489376219671925</v>
      </c>
      <c r="CW106" s="22">
        <f t="shared" si="67"/>
        <v>781.55009424926186</v>
      </c>
      <c r="CX106" s="60">
        <f t="shared" si="68"/>
        <v>1059.7688631790245</v>
      </c>
      <c r="CY106" s="60">
        <f ca="1">AVERAGE(OFFSET($CX$3,0,0,'Données projet'!$E$13+1,1))-AVERAGE(OFFSET($H$3,0,0,'Données projet'!$E$13+1,1))</f>
        <v>603.52431522262032</v>
      </c>
      <c r="CZ106" s="60">
        <f t="shared" si="96"/>
        <v>313.56299786481338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5.2</v>
      </c>
      <c r="DO106" s="13">
        <f>IF('Données projet'!$A$166&gt;35,DO105+DN106-DW105,IF(A106&lt;'Données projet'!$A$166,$DL$205^A106,IF(A106='Données projet'!$A$166,'Données projet'!$B$166,DO105+DN106-DW105)))</f>
        <v>376.59999999999997</v>
      </c>
      <c r="DP106" s="18">
        <f>DO106*VLOOKUP('Données projet'!$B$14,Paramètres!$A$1:$I$89,3,0)*VLOOKUP('Données projet'!$B$14,Paramètres!$A$1:$I$89,5,0)</f>
        <v>405.37223999999992</v>
      </c>
      <c r="DQ106" s="14">
        <f t="shared" si="97"/>
        <v>92.864957323440052</v>
      </c>
      <c r="DR106" s="22">
        <f t="shared" si="70"/>
        <v>867.76311867165805</v>
      </c>
      <c r="DS106" s="60">
        <f t="shared" si="71"/>
        <v>1145.9818876014208</v>
      </c>
      <c r="DT106" s="60">
        <f ca="1">AVERAGE(OFFSET($DS$3,0,0,'Données projet'!$E$14+1,1))-AVERAGE(OFFSET($H$3,0,0,'Données projet'!$E$14+1,1))</f>
        <v>661.93515988633499</v>
      </c>
      <c r="DU106" s="60">
        <f t="shared" si="98"/>
        <v>341.9250949809848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3.6538461538461489</v>
      </c>
      <c r="EJ106" s="13">
        <f>IF('Données projet'!$A$192&gt;35,EJ105+EI106-ER105,IF(A106&lt;'Données projet'!$A$192,$EG$205^A106,IF(A106='Données projet'!$A$192,'Données projet'!$B$192,EJ105+EI106-ER105)))</f>
        <v>341.0897435897437</v>
      </c>
      <c r="EK106" s="18">
        <f>EJ106*VLOOKUP('Données projet'!$B$15,Paramètres!$A$1:$I$89,3,0)*VLOOKUP('Données projet'!$B$15,Paramètres!$A$1:$I$89,5,0)</f>
        <v>228.80300000000008</v>
      </c>
      <c r="EL106" s="14">
        <f t="shared" si="99"/>
        <v>56.023783598437618</v>
      </c>
      <c r="EM106" s="22">
        <f t="shared" si="73"/>
        <v>496.07331476727899</v>
      </c>
      <c r="EN106" s="60">
        <f t="shared" si="74"/>
        <v>774.29208369704168</v>
      </c>
      <c r="EO106" s="60">
        <f ca="1">AVERAGE(OFFSET($EN$3,0,0,'Données projet'!$E$15+1,1))-AVERAGE(OFFSET($H$3,0,0,'Données projet'!$E$15+1,1))</f>
        <v>396.0878652679051</v>
      </c>
      <c r="EP106" s="60">
        <f t="shared" si="100"/>
        <v>327.26339199235406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-5.6843418860808015E-14</v>
      </c>
      <c r="FF106" s="18">
        <f>FE106*VLOOKUP('Données projet'!$B$16,Paramètres!$A$1:$I$89,3,0)*VLOOKUP('Données projet'!$B$16,Paramètres!$A$1:$I$89,5,0)</f>
        <v>-4.1677594708744434E-14</v>
      </c>
      <c r="FG106" s="14" t="e">
        <f t="shared" si="101"/>
        <v>#NUM!</v>
      </c>
      <c r="FH106" s="22" t="e">
        <f t="shared" si="76"/>
        <v>#NUM!</v>
      </c>
      <c r="FI106" s="60" t="e">
        <f t="shared" si="77"/>
        <v>#NUM!</v>
      </c>
      <c r="FJ106" s="60">
        <f ca="1">AVERAGE(OFFSET($FI$3,0,0,'Données projet'!$E$16+1,1))-AVERAGE(OFFSET($H$3,0,0,'Données projet'!$E$16+1,1))</f>
        <v>368.35775920359396</v>
      </c>
      <c r="FK106" s="60">
        <f t="shared" si="102"/>
        <v>395.5218438652638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8</v>
      </c>
      <c r="FZ106" s="13">
        <f>IF('Données projet'!$A$244&gt;35,FZ105+FY106-GH105,IF(A106&lt;'Données projet'!$A$244,$FW$205^A106,IF(A106='Données projet'!$A$244,'Données projet'!$B$244,FZ105+FY106-GH105)))</f>
        <v>496.99999999999977</v>
      </c>
      <c r="GA106" s="18">
        <f>FZ106*VLOOKUP('Données projet'!$B$17,Paramètres!$A$1:$I$89,3,0)*VLOOKUP('Données projet'!$B$17,Paramètres!$A$1:$I$89,5,0)</f>
        <v>426.42599999999987</v>
      </c>
      <c r="GB106" s="14">
        <f t="shared" si="103"/>
        <v>97.114021238574921</v>
      </c>
      <c r="GC106" s="22">
        <f t="shared" si="79"/>
        <v>911.83220365718444</v>
      </c>
      <c r="GD106" s="60">
        <f t="shared" si="80"/>
        <v>1190.0509725869472</v>
      </c>
      <c r="GE106" s="60">
        <f ca="1">AVERAGE(OFFSET($GD$3,0,0,'Données projet'!$E$17+1,1))-AVERAGE(OFFSET($H$3,0,0,'Données projet'!$E$17+1,1))</f>
        <v>701.44583662096022</v>
      </c>
      <c r="GF106" s="60">
        <f t="shared" si="104"/>
        <v>331.25104323342907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-1.1368683772161603E-13</v>
      </c>
      <c r="GV106" s="18">
        <f>GU106*VLOOKUP('Données projet'!$B$18,Paramètres!$A$1:$I$89,3,0)*VLOOKUP('Données projet'!$B$18,Paramètres!$A$1:$I$89,5,0)</f>
        <v>-9.2222762759774927E-14</v>
      </c>
      <c r="GW106" s="14" t="e">
        <f t="shared" si="105"/>
        <v>#NUM!</v>
      </c>
      <c r="GX106" s="22" t="e">
        <f t="shared" si="82"/>
        <v>#NUM!</v>
      </c>
      <c r="GY106" s="60" t="e">
        <f t="shared" si="83"/>
        <v>#NUM!</v>
      </c>
      <c r="GZ106" s="60">
        <f ca="1">AVERAGE(OFFSET($GY$3,0,0,'Données projet'!$E$18+1,1))-AVERAGE(OFFSET($H$3,0,0,'Données projet'!$E$18+1,1))</f>
        <v>272.69564942740931</v>
      </c>
      <c r="HA106" s="60">
        <f t="shared" si="106"/>
        <v>316.57989180609252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25">
      <c r="A107" s="11">
        <f t="shared" si="85"/>
        <v>104</v>
      </c>
      <c r="B107" s="75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8">
        <f t="shared" si="56"/>
        <v>183.33333333333334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5.2</v>
      </c>
      <c r="N107" s="14">
        <f>IF('Données projet'!$A$36&gt;35,N106+M107-V106,IF(A107&lt;'Données projet'!$A$36,$K$205^A107,IF(A107='Données projet'!$A$36,'Données projet'!$B$36,N106+M107-V106)))</f>
        <v>381.79999999999995</v>
      </c>
      <c r="O107" s="14">
        <f>N107*VLOOKUP('Données projet'!$B$9,Paramètres!$A$1:$I$89,3,0)*VLOOKUP('Données projet'!$B$9,Paramètres!$A$1:$I$89,5,0)</f>
        <v>345.45263999999997</v>
      </c>
      <c r="P107" s="14">
        <f t="shared" si="87"/>
        <v>80.625451110046569</v>
      </c>
      <c r="Q107" s="22">
        <f t="shared" si="107"/>
        <v>742.08600868333099</v>
      </c>
      <c r="R107" s="60">
        <f t="shared" si="55"/>
        <v>1020.566981514392</v>
      </c>
      <c r="S107" s="60">
        <f ca="1">AVERAGE(OFFSET($R$3,0,0,'Données projet'!$E$9+1,1))-AVERAGE(OFFSET($H$3,0,0,'Données projet'!$E$9+1,1))</f>
        <v>570.08763950759544</v>
      </c>
      <c r="T107" s="60">
        <f t="shared" si="88"/>
        <v>297.32483725004136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-5.6843418860808015E-14</v>
      </c>
      <c r="AJ107" s="14">
        <f>AI107*VLOOKUP('Données projet'!$B$10,Paramètres!$A$1:$I$89,3,0)*VLOOKUP('Données projet'!$B$10,Paramètres!$A$1:$I$89,5,0)</f>
        <v>-4.5224624045658861E-14</v>
      </c>
      <c r="AK107" s="14" t="e">
        <f t="shared" si="89"/>
        <v>#NUM!</v>
      </c>
      <c r="AL107" s="22" t="e">
        <f t="shared" si="58"/>
        <v>#NUM!</v>
      </c>
      <c r="AM107" s="60" t="e">
        <f t="shared" si="59"/>
        <v>#NUM!</v>
      </c>
      <c r="AN107" s="60">
        <f ca="1">AVERAGE(OFFSET($AM$3,0,0,'Données projet'!$E$10+1,1))-AVERAGE(OFFSET($H$3,0,0,'Données projet'!$E$10+1,1))</f>
        <v>394.49874384716014</v>
      </c>
      <c r="AO107" s="60">
        <f t="shared" si="90"/>
        <v>423.72519584013378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3.3974358974359005</v>
      </c>
      <c r="BD107" s="13">
        <f>IF('Données projet'!$A$88&gt;35,BD106+BC107-BL106,IF(A107&lt;'Données projet'!$A$88,$BA$205^A107,IF(A107='Données projet'!$A$88,'Données projet'!$B$88,BD106+BC107-BL106)))</f>
        <v>271.92307692307696</v>
      </c>
      <c r="BE107" s="14">
        <f>BD107*VLOOKUP('Données projet'!$B$11,Paramètres!$A$1:$I$89,3,0)*VLOOKUP('Données projet'!$B$11,Paramètres!$A$1:$I$89,5,0)</f>
        <v>258.76200000000006</v>
      </c>
      <c r="BF107" s="14">
        <f t="shared" si="91"/>
        <v>62.458413124928875</v>
      </c>
      <c r="BG107" s="22">
        <f t="shared" si="61"/>
        <v>559.4588861925846</v>
      </c>
      <c r="BH107" s="60">
        <f t="shared" si="62"/>
        <v>837.93985902364557</v>
      </c>
      <c r="BI107" s="60">
        <f ca="1">AVERAGE(OFFSET($BH$3,0,0,'Données projet'!$E$11+1,1))-AVERAGE(OFFSET($H$3,0,0,'Données projet'!$E$11+1,1))</f>
        <v>441.15969139782891</v>
      </c>
      <c r="BJ107" s="60">
        <f t="shared" si="92"/>
        <v>315.06466790224783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1.1368683772161603E-13</v>
      </c>
      <c r="BZ107" s="14">
        <f>BY107*VLOOKUP('Données projet'!$B$12,Paramètres!$A$1:$I$89,3,0)*VLOOKUP('Données projet'!$B$12,Paramètres!$A$1:$I$89,5,0)</f>
        <v>8.8675733422860506E-14</v>
      </c>
      <c r="CA107" s="14">
        <f t="shared" si="93"/>
        <v>1.3509285393066301E-12</v>
      </c>
      <c r="CB107" s="22">
        <f t="shared" si="64"/>
        <v>2.5073107750038623E-12</v>
      </c>
      <c r="CC107" s="60">
        <f t="shared" si="65"/>
        <v>278.48097283106341</v>
      </c>
      <c r="CD107" s="60">
        <f ca="1">AVERAGE(OFFSET($CC$3,0,0,'Données projet'!$E$12+1,1))-AVERAGE(OFFSET($H$3,0,0,'Données projet'!$E$12+1,1))</f>
        <v>312.59632808777332</v>
      </c>
      <c r="CE107" s="60">
        <f t="shared" si="94"/>
        <v>302.59481222418219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5.2</v>
      </c>
      <c r="CT107" s="13">
        <f>IF('Données projet'!$A$140&gt;35,CT106+CS107-DB106,IF(A107&lt;'Données projet'!$A$140,$CQ$205^A107,IF(A107='Données projet'!$A$140,'Données projet'!$B$140,CT106+CS107-DB106)))</f>
        <v>381.79999999999995</v>
      </c>
      <c r="CU107" s="18">
        <f>CT107*VLOOKUP('Données projet'!$B$13,Paramètres!$A$1:$I$89,3,0)*VLOOKUP('Données projet'!$B$13,Paramètres!$A$1:$I$89,5,0)</f>
        <v>369.27695999999997</v>
      </c>
      <c r="CV107" s="14">
        <f t="shared" si="95"/>
        <v>85.519367329988739</v>
      </c>
      <c r="CW107" s="22">
        <f t="shared" si="67"/>
        <v>792.10360343306365</v>
      </c>
      <c r="CX107" s="60">
        <f t="shared" si="68"/>
        <v>1070.5845762641245</v>
      </c>
      <c r="CY107" s="60">
        <f ca="1">AVERAGE(OFFSET($CX$3,0,0,'Données projet'!$E$13+1,1))-AVERAGE(OFFSET($H$3,0,0,'Données projet'!$E$13+1,1))</f>
        <v>603.52431522262032</v>
      </c>
      <c r="CZ107" s="60">
        <f t="shared" si="96"/>
        <v>313.56299786481338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5.2</v>
      </c>
      <c r="DO107" s="13">
        <f>IF('Données projet'!$A$166&gt;35,DO106+DN107-DW106,IF(A107&lt;'Données projet'!$A$166,$DL$205^A107,IF(A107='Données projet'!$A$166,'Données projet'!$B$166,DO106+DN107-DW106)))</f>
        <v>381.79999999999995</v>
      </c>
      <c r="DP107" s="18">
        <f>DO107*VLOOKUP('Données projet'!$B$14,Paramètres!$A$1:$I$89,3,0)*VLOOKUP('Données projet'!$B$14,Paramètres!$A$1:$I$89,5,0)</f>
        <v>410.96951999999993</v>
      </c>
      <c r="DQ107" s="14">
        <f t="shared" si="97"/>
        <v>93.997053271863422</v>
      </c>
      <c r="DR107" s="22">
        <f t="shared" si="70"/>
        <v>879.48344844849532</v>
      </c>
      <c r="DS107" s="60">
        <f t="shared" si="71"/>
        <v>1157.9644212795563</v>
      </c>
      <c r="DT107" s="60">
        <f ca="1">AVERAGE(OFFSET($DS$3,0,0,'Données projet'!$E$14+1,1))-AVERAGE(OFFSET($H$3,0,0,'Données projet'!$E$14+1,1))</f>
        <v>661.93515988633499</v>
      </c>
      <c r="DU107" s="60">
        <f t="shared" si="98"/>
        <v>341.9250949809848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3.6538461538461489</v>
      </c>
      <c r="EJ107" s="13">
        <f>IF('Données projet'!$A$192&gt;35,EJ106+EI107-ER106,IF(A107&lt;'Données projet'!$A$192,$EG$205^A107,IF(A107='Données projet'!$A$192,'Données projet'!$B$192,EJ106+EI107-ER106)))</f>
        <v>344.74358974358984</v>
      </c>
      <c r="EK107" s="18">
        <f>EJ107*VLOOKUP('Données projet'!$B$15,Paramètres!$A$1:$I$89,3,0)*VLOOKUP('Données projet'!$B$15,Paramètres!$A$1:$I$89,5,0)</f>
        <v>231.25400000000008</v>
      </c>
      <c r="EL107" s="14">
        <f t="shared" si="99"/>
        <v>56.553739785222149</v>
      </c>
      <c r="EM107" s="22">
        <f t="shared" si="73"/>
        <v>501.26514679259532</v>
      </c>
      <c r="EN107" s="60">
        <f t="shared" si="74"/>
        <v>779.74611962365623</v>
      </c>
      <c r="EO107" s="60">
        <f ca="1">AVERAGE(OFFSET($EN$3,0,0,'Données projet'!$E$15+1,1))-AVERAGE(OFFSET($H$3,0,0,'Données projet'!$E$15+1,1))</f>
        <v>396.0878652679051</v>
      </c>
      <c r="EP107" s="60">
        <f t="shared" si="100"/>
        <v>327.26339199235406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-5.6843418860808015E-14</v>
      </c>
      <c r="FF107" s="18">
        <f>FE107*VLOOKUP('Données projet'!$B$16,Paramètres!$A$1:$I$89,3,0)*VLOOKUP('Données projet'!$B$16,Paramètres!$A$1:$I$89,5,0)</f>
        <v>-4.1677594708744434E-14</v>
      </c>
      <c r="FG107" s="14" t="e">
        <f t="shared" si="101"/>
        <v>#NUM!</v>
      </c>
      <c r="FH107" s="22" t="e">
        <f t="shared" si="76"/>
        <v>#NUM!</v>
      </c>
      <c r="FI107" s="60" t="e">
        <f t="shared" si="77"/>
        <v>#NUM!</v>
      </c>
      <c r="FJ107" s="60">
        <f ca="1">AVERAGE(OFFSET($FI$3,0,0,'Données projet'!$E$16+1,1))-AVERAGE(OFFSET($H$3,0,0,'Données projet'!$E$16+1,1))</f>
        <v>368.35775920359396</v>
      </c>
      <c r="FK107" s="60">
        <f t="shared" si="102"/>
        <v>395.5218438652638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8</v>
      </c>
      <c r="FZ107" s="13">
        <f>IF('Données projet'!$A$244&gt;35,FZ106+FY107-GH106,IF(A107&lt;'Données projet'!$A$244,$FW$205^A107,IF(A107='Données projet'!$A$244,'Données projet'!$B$244,FZ106+FY107-GH106)))</f>
        <v>504.99999999999977</v>
      </c>
      <c r="GA107" s="18">
        <f>FZ107*VLOOKUP('Données projet'!$B$17,Paramètres!$A$1:$I$89,3,0)*VLOOKUP('Données projet'!$B$17,Paramètres!$A$1:$I$89,5,0)</f>
        <v>433.28999999999985</v>
      </c>
      <c r="GB107" s="14">
        <f t="shared" si="103"/>
        <v>98.493981610138761</v>
      </c>
      <c r="GC107" s="22">
        <f t="shared" si="79"/>
        <v>926.1904346376582</v>
      </c>
      <c r="GD107" s="60">
        <f t="shared" si="80"/>
        <v>1204.6714074687191</v>
      </c>
      <c r="GE107" s="60">
        <f ca="1">AVERAGE(OFFSET($GD$3,0,0,'Données projet'!$E$17+1,1))-AVERAGE(OFFSET($H$3,0,0,'Données projet'!$E$17+1,1))</f>
        <v>701.44583662096022</v>
      </c>
      <c r="GF107" s="60">
        <f t="shared" si="104"/>
        <v>331.25104323342907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-1.1368683772161603E-13</v>
      </c>
      <c r="GV107" s="18">
        <f>GU107*VLOOKUP('Données projet'!$B$18,Paramètres!$A$1:$I$89,3,0)*VLOOKUP('Données projet'!$B$18,Paramètres!$A$1:$I$89,5,0)</f>
        <v>-9.2222762759774927E-14</v>
      </c>
      <c r="GW107" s="14" t="e">
        <f t="shared" si="105"/>
        <v>#NUM!</v>
      </c>
      <c r="GX107" s="22" t="e">
        <f t="shared" si="82"/>
        <v>#NUM!</v>
      </c>
      <c r="GY107" s="60" t="e">
        <f t="shared" si="83"/>
        <v>#NUM!</v>
      </c>
      <c r="GZ107" s="60">
        <f ca="1">AVERAGE(OFFSET($GY$3,0,0,'Données projet'!$E$18+1,1))-AVERAGE(OFFSET($H$3,0,0,'Données projet'!$E$18+1,1))</f>
        <v>272.69564942740931</v>
      </c>
      <c r="HA107" s="60">
        <f t="shared" si="106"/>
        <v>316.57989180609252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25">
      <c r="A108" s="11">
        <f t="shared" si="85"/>
        <v>105</v>
      </c>
      <c r="B108" s="75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8">
        <f t="shared" si="56"/>
        <v>183.33333333333334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5.2</v>
      </c>
      <c r="N108" s="14">
        <f>IF('Données projet'!$A$36&gt;35,N107+M108-V107,IF(A108&lt;'Données projet'!$A$36,$K$205^A108,IF(A108='Données projet'!$A$36,'Données projet'!$B$36,N107+M108-V107)))</f>
        <v>386.99999999999994</v>
      </c>
      <c r="O108" s="14">
        <f>N108*VLOOKUP('Données projet'!$B$9,Paramètres!$A$1:$I$89,3,0)*VLOOKUP('Données projet'!$B$9,Paramètres!$A$1:$I$89,5,0)</f>
        <v>350.15759999999995</v>
      </c>
      <c r="P108" s="14">
        <f t="shared" si="87"/>
        <v>81.59496186451068</v>
      </c>
      <c r="Q108" s="22">
        <f t="shared" si="107"/>
        <v>751.96904524735601</v>
      </c>
      <c r="R108" s="60">
        <f t="shared" si="55"/>
        <v>1030.7076733282279</v>
      </c>
      <c r="S108" s="60">
        <f ca="1">AVERAGE(OFFSET($R$3,0,0,'Données projet'!$E$9+1,1))-AVERAGE(OFFSET($H$3,0,0,'Données projet'!$E$9+1,1))</f>
        <v>570.08763950759544</v>
      </c>
      <c r="T108" s="60">
        <f t="shared" si="88"/>
        <v>297.32483725004136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-5.6843418860808015E-14</v>
      </c>
      <c r="AJ108" s="14">
        <f>AI108*VLOOKUP('Données projet'!$B$10,Paramètres!$A$1:$I$89,3,0)*VLOOKUP('Données projet'!$B$10,Paramètres!$A$1:$I$89,5,0)</f>
        <v>-4.5224624045658861E-14</v>
      </c>
      <c r="AK108" s="14" t="e">
        <f t="shared" si="89"/>
        <v>#NUM!</v>
      </c>
      <c r="AL108" s="22" t="e">
        <f t="shared" si="58"/>
        <v>#NUM!</v>
      </c>
      <c r="AM108" s="60" t="e">
        <f t="shared" si="59"/>
        <v>#NUM!</v>
      </c>
      <c r="AN108" s="60">
        <f ca="1">AVERAGE(OFFSET($AM$3,0,0,'Données projet'!$E$10+1,1))-AVERAGE(OFFSET($H$3,0,0,'Données projet'!$E$10+1,1))</f>
        <v>394.49874384716014</v>
      </c>
      <c r="AO108" s="60">
        <f t="shared" si="90"/>
        <v>423.72519584013378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3.3974358974359005</v>
      </c>
      <c r="BD108" s="13">
        <f>IF('Données projet'!$A$88&gt;35,BD107+BC108-BL107,IF(A108&lt;'Données projet'!$A$88,$BA$205^A108,IF(A108='Données projet'!$A$88,'Données projet'!$B$88,BD107+BC108-BL107)))</f>
        <v>275.32051282051287</v>
      </c>
      <c r="BE108" s="14">
        <f>BD108*VLOOKUP('Données projet'!$B$11,Paramètres!$A$1:$I$89,3,0)*VLOOKUP('Données projet'!$B$11,Paramètres!$A$1:$I$89,5,0)</f>
        <v>261.99500000000006</v>
      </c>
      <c r="BF108" s="14">
        <f t="shared" si="91"/>
        <v>63.147441969746581</v>
      </c>
      <c r="BG108" s="22">
        <f t="shared" si="61"/>
        <v>566.28975309730868</v>
      </c>
      <c r="BH108" s="60">
        <f t="shared" si="62"/>
        <v>845.02838117818044</v>
      </c>
      <c r="BI108" s="60">
        <f ca="1">AVERAGE(OFFSET($BH$3,0,0,'Données projet'!$E$11+1,1))-AVERAGE(OFFSET($H$3,0,0,'Données projet'!$E$11+1,1))</f>
        <v>441.15969139782891</v>
      </c>
      <c r="BJ108" s="60">
        <f t="shared" si="92"/>
        <v>315.06466790224783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1.1368683772161603E-13</v>
      </c>
      <c r="BZ108" s="14">
        <f>BY108*VLOOKUP('Données projet'!$B$12,Paramètres!$A$1:$I$89,3,0)*VLOOKUP('Données projet'!$B$12,Paramètres!$A$1:$I$89,5,0)</f>
        <v>8.8675733422860506E-14</v>
      </c>
      <c r="CA108" s="14">
        <f t="shared" si="93"/>
        <v>1.3509285393066301E-12</v>
      </c>
      <c r="CB108" s="22">
        <f t="shared" si="64"/>
        <v>2.5073107750038623E-12</v>
      </c>
      <c r="CC108" s="60">
        <f t="shared" si="65"/>
        <v>278.73862808087426</v>
      </c>
      <c r="CD108" s="60">
        <f ca="1">AVERAGE(OFFSET($CC$3,0,0,'Données projet'!$E$12+1,1))-AVERAGE(OFFSET($H$3,0,0,'Données projet'!$E$12+1,1))</f>
        <v>312.59632808777332</v>
      </c>
      <c r="CE108" s="60">
        <f t="shared" si="94"/>
        <v>302.59481222418219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5.2</v>
      </c>
      <c r="CT108" s="13">
        <f>IF('Données projet'!$A$140&gt;35,CT107+CS108-DB107,IF(A108&lt;'Données projet'!$A$140,$CQ$205^A108,IF(A108='Données projet'!$A$140,'Données projet'!$B$140,CT107+CS108-DB107)))</f>
        <v>386.99999999999994</v>
      </c>
      <c r="CU108" s="18">
        <f>CT108*VLOOKUP('Données projet'!$B$13,Paramètres!$A$1:$I$89,3,0)*VLOOKUP('Données projet'!$B$13,Paramètres!$A$1:$I$89,5,0)</f>
        <v>374.30639999999994</v>
      </c>
      <c r="CV108" s="14">
        <f t="shared" si="95"/>
        <v>86.547726802089201</v>
      </c>
      <c r="CW108" s="22">
        <f t="shared" si="67"/>
        <v>802.65427084697183</v>
      </c>
      <c r="CX108" s="60">
        <f t="shared" si="68"/>
        <v>1081.3928989278436</v>
      </c>
      <c r="CY108" s="60">
        <f ca="1">AVERAGE(OFFSET($CX$3,0,0,'Données projet'!$E$13+1,1))-AVERAGE(OFFSET($H$3,0,0,'Données projet'!$E$13+1,1))</f>
        <v>603.52431522262032</v>
      </c>
      <c r="CZ108" s="60">
        <f t="shared" si="96"/>
        <v>313.56299786481338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5.2</v>
      </c>
      <c r="DO108" s="13">
        <f>IF('Données projet'!$A$166&gt;35,DO107+DN108-DW107,IF(A108&lt;'Données projet'!$A$166,$DL$205^A108,IF(A108='Données projet'!$A$166,'Données projet'!$B$166,DO107+DN108-DW107)))</f>
        <v>386.99999999999994</v>
      </c>
      <c r="DP108" s="18">
        <f>DO108*VLOOKUP('Données projet'!$B$14,Paramètres!$A$1:$I$89,3,0)*VLOOKUP('Données projet'!$B$14,Paramètres!$A$1:$I$89,5,0)</f>
        <v>416.56679999999989</v>
      </c>
      <c r="DQ108" s="14">
        <f t="shared" si="97"/>
        <v>95.127355834891816</v>
      </c>
      <c r="DR108" s="22">
        <f t="shared" si="70"/>
        <v>891.20065474576961</v>
      </c>
      <c r="DS108" s="60">
        <f t="shared" si="71"/>
        <v>1169.9392828266414</v>
      </c>
      <c r="DT108" s="60">
        <f ca="1">AVERAGE(OFFSET($DS$3,0,0,'Données projet'!$E$14+1,1))-AVERAGE(OFFSET($H$3,0,0,'Données projet'!$E$14+1,1))</f>
        <v>661.93515988633499</v>
      </c>
      <c r="DU108" s="60">
        <f t="shared" si="98"/>
        <v>341.9250949809848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3.6538461538461489</v>
      </c>
      <c r="EJ108" s="13">
        <f>IF('Données projet'!$A$192&gt;35,EJ107+EI108-ER107,IF(A108&lt;'Données projet'!$A$192,$EG$205^A108,IF(A108='Données projet'!$A$192,'Données projet'!$B$192,EJ107+EI108-ER107)))</f>
        <v>348.39743589743597</v>
      </c>
      <c r="EK108" s="18">
        <f>EJ108*VLOOKUP('Données projet'!$B$15,Paramètres!$A$1:$I$89,3,0)*VLOOKUP('Données projet'!$B$15,Paramètres!$A$1:$I$89,5,0)</f>
        <v>233.70500000000004</v>
      </c>
      <c r="EL108" s="14">
        <f t="shared" si="99"/>
        <v>57.0830425590554</v>
      </c>
      <c r="EM108" s="22">
        <f t="shared" si="73"/>
        <v>506.4558407903549</v>
      </c>
      <c r="EN108" s="60">
        <f t="shared" si="74"/>
        <v>785.19446887122672</v>
      </c>
      <c r="EO108" s="60">
        <f ca="1">AVERAGE(OFFSET($EN$3,0,0,'Données projet'!$E$15+1,1))-AVERAGE(OFFSET($H$3,0,0,'Données projet'!$E$15+1,1))</f>
        <v>396.0878652679051</v>
      </c>
      <c r="EP108" s="60">
        <f t="shared" si="100"/>
        <v>327.26339199235406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-5.6843418860808015E-14</v>
      </c>
      <c r="FF108" s="18">
        <f>FE108*VLOOKUP('Données projet'!$B$16,Paramètres!$A$1:$I$89,3,0)*VLOOKUP('Données projet'!$B$16,Paramètres!$A$1:$I$89,5,0)</f>
        <v>-4.1677594708744434E-14</v>
      </c>
      <c r="FG108" s="14" t="e">
        <f t="shared" si="101"/>
        <v>#NUM!</v>
      </c>
      <c r="FH108" s="22" t="e">
        <f t="shared" si="76"/>
        <v>#NUM!</v>
      </c>
      <c r="FI108" s="60" t="e">
        <f t="shared" si="77"/>
        <v>#NUM!</v>
      </c>
      <c r="FJ108" s="60">
        <f ca="1">AVERAGE(OFFSET($FI$3,0,0,'Données projet'!$E$16+1,1))-AVERAGE(OFFSET($H$3,0,0,'Données projet'!$E$16+1,1))</f>
        <v>368.35775920359396</v>
      </c>
      <c r="FK108" s="60">
        <f t="shared" si="102"/>
        <v>395.5218438652638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>
        <f>VLOOKUP(A108,'Données projet'!$A$243:$I$263,2,0)</f>
        <v>513</v>
      </c>
      <c r="FX108" s="13">
        <f>VLOOKUP(A108,'Données projet'!$A$243:$I$263,9,0)</f>
        <v>8</v>
      </c>
      <c r="FY108" s="13">
        <f t="array" ref="FY108">INDEX(FX:FX,MIN(IF(ISNUMBER(FX108:FX304),ROW(FX108:FX304),"")))</f>
        <v>8</v>
      </c>
      <c r="FZ108" s="13">
        <f>IF('Données projet'!$A$244&gt;35,FZ107+FY108-GH107,IF(A108&lt;'Données projet'!$A$244,$FW$205^A108,IF(A108='Données projet'!$A$244,'Données projet'!$B$244,FZ107+FY108-GH107)))</f>
        <v>512.99999999999977</v>
      </c>
      <c r="GA108" s="18">
        <f>FZ108*VLOOKUP('Données projet'!$B$17,Paramètres!$A$1:$I$89,3,0)*VLOOKUP('Données projet'!$B$17,Paramètres!$A$1:$I$89,5,0)</f>
        <v>440.15399999999988</v>
      </c>
      <c r="GB108" s="14">
        <f t="shared" si="103"/>
        <v>99.871399621623169</v>
      </c>
      <c r="GC108" s="22">
        <f t="shared" si="79"/>
        <v>940.54423767432684</v>
      </c>
      <c r="GD108" s="60">
        <f t="shared" si="80"/>
        <v>1219.2828657551986</v>
      </c>
      <c r="GE108" s="60">
        <f ca="1">AVERAGE(OFFSET($GD$3,0,0,'Données projet'!$E$17+1,1))-AVERAGE(OFFSET($H$3,0,0,'Données projet'!$E$17+1,1))</f>
        <v>701.44583662096022</v>
      </c>
      <c r="GF108" s="60">
        <f t="shared" si="104"/>
        <v>331.25104323342907</v>
      </c>
      <c r="GG108" s="16">
        <f>IF(ISNA(VLOOKUP(A108,'Données projet'!$A$243:$I$263,3,0)),0,VLOOKUP(A108,'Données projet'!$A$243:$I$263,3,0))</f>
        <v>9</v>
      </c>
      <c r="GH108" s="16">
        <f>IF(ISNA(VLOOKUP(A108,'Données projet'!$A$243:$I$263,4,0)),0,VLOOKUP(A108,'Données projet'!$A$243:$I$263,4,0))</f>
        <v>57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-1.1368683772161603E-13</v>
      </c>
      <c r="GV108" s="18">
        <f>GU108*VLOOKUP('Données projet'!$B$18,Paramètres!$A$1:$I$89,3,0)*VLOOKUP('Données projet'!$B$18,Paramètres!$A$1:$I$89,5,0)</f>
        <v>-9.2222762759774927E-14</v>
      </c>
      <c r="GW108" s="14" t="e">
        <f t="shared" si="105"/>
        <v>#NUM!</v>
      </c>
      <c r="GX108" s="22" t="e">
        <f t="shared" si="82"/>
        <v>#NUM!</v>
      </c>
      <c r="GY108" s="60" t="e">
        <f t="shared" si="83"/>
        <v>#NUM!</v>
      </c>
      <c r="GZ108" s="60">
        <f ca="1">AVERAGE(OFFSET($GY$3,0,0,'Données projet'!$E$18+1,1))-AVERAGE(OFFSET($H$3,0,0,'Données projet'!$E$18+1,1))</f>
        <v>272.69564942740931</v>
      </c>
      <c r="HA108" s="60">
        <f t="shared" si="106"/>
        <v>316.57989180609252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25">
      <c r="A109" s="11">
        <f t="shared" si="85"/>
        <v>106</v>
      </c>
      <c r="B109" s="75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8">
        <f t="shared" si="56"/>
        <v>183.33333333333334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5.2</v>
      </c>
      <c r="N109" s="14">
        <f>IF('Données projet'!$A$36&gt;35,N108+M109-V108,IF(A109&lt;'Données projet'!$A$36,$K$205^A109,IF(A109='Données projet'!$A$36,'Données projet'!$B$36,N108+M109-V108)))</f>
        <v>392.19999999999993</v>
      </c>
      <c r="O109" s="14">
        <f>N109*VLOOKUP('Données projet'!$B$9,Paramètres!$A$1:$I$89,3,0)*VLOOKUP('Données projet'!$B$9,Paramètres!$A$1:$I$89,5,0)</f>
        <v>354.86255999999992</v>
      </c>
      <c r="P109" s="14">
        <f t="shared" si="87"/>
        <v>82.56295741106787</v>
      </c>
      <c r="Q109" s="22">
        <f t="shared" si="107"/>
        <v>761.84944282427648</v>
      </c>
      <c r="R109" s="60">
        <f t="shared" si="55"/>
        <v>1040.8412564124055</v>
      </c>
      <c r="S109" s="60">
        <f ca="1">AVERAGE(OFFSET($R$3,0,0,'Données projet'!$E$9+1,1))-AVERAGE(OFFSET($H$3,0,0,'Données projet'!$E$9+1,1))</f>
        <v>570.08763950759544</v>
      </c>
      <c r="T109" s="60">
        <f t="shared" si="88"/>
        <v>297.32483725004136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-5.6843418860808015E-14</v>
      </c>
      <c r="AJ109" s="14">
        <f>AI109*VLOOKUP('Données projet'!$B$10,Paramètres!$A$1:$I$89,3,0)*VLOOKUP('Données projet'!$B$10,Paramètres!$A$1:$I$89,5,0)</f>
        <v>-4.5224624045658861E-14</v>
      </c>
      <c r="AK109" s="14" t="e">
        <f t="shared" si="89"/>
        <v>#NUM!</v>
      </c>
      <c r="AL109" s="22" t="e">
        <f t="shared" si="58"/>
        <v>#NUM!</v>
      </c>
      <c r="AM109" s="60" t="e">
        <f t="shared" si="59"/>
        <v>#NUM!</v>
      </c>
      <c r="AN109" s="60">
        <f ca="1">AVERAGE(OFFSET($AM$3,0,0,'Données projet'!$E$10+1,1))-AVERAGE(OFFSET($H$3,0,0,'Données projet'!$E$10+1,1))</f>
        <v>394.49874384716014</v>
      </c>
      <c r="AO109" s="60">
        <f t="shared" si="90"/>
        <v>423.72519584013378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3.3974358974359005</v>
      </c>
      <c r="BD109" s="13">
        <f>IF('Données projet'!$A$88&gt;35,BD108+BC109-BL108,IF(A109&lt;'Données projet'!$A$88,$BA$205^A109,IF(A109='Données projet'!$A$88,'Données projet'!$B$88,BD108+BC109-BL108)))</f>
        <v>278.71794871794879</v>
      </c>
      <c r="BE109" s="14">
        <f>BD109*VLOOKUP('Données projet'!$B$11,Paramètres!$A$1:$I$89,3,0)*VLOOKUP('Données projet'!$B$11,Paramètres!$A$1:$I$89,5,0)</f>
        <v>265.22800000000007</v>
      </c>
      <c r="BF109" s="14">
        <f t="shared" si="91"/>
        <v>63.835481799573074</v>
      </c>
      <c r="BG109" s="22">
        <f t="shared" si="61"/>
        <v>573.11889746758982</v>
      </c>
      <c r="BH109" s="60">
        <f t="shared" si="62"/>
        <v>852.11071105571887</v>
      </c>
      <c r="BI109" s="60">
        <f ca="1">AVERAGE(OFFSET($BH$3,0,0,'Données projet'!$E$11+1,1))-AVERAGE(OFFSET($H$3,0,0,'Données projet'!$E$11+1,1))</f>
        <v>441.15969139782891</v>
      </c>
      <c r="BJ109" s="60">
        <f t="shared" si="92"/>
        <v>315.06466790224783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1.1368683772161603E-13</v>
      </c>
      <c r="BZ109" s="14">
        <f>BY109*VLOOKUP('Données projet'!$B$12,Paramètres!$A$1:$I$89,3,0)*VLOOKUP('Données projet'!$B$12,Paramètres!$A$1:$I$89,5,0)</f>
        <v>8.8675733422860506E-14</v>
      </c>
      <c r="CA109" s="14">
        <f t="shared" si="93"/>
        <v>1.3509285393066301E-12</v>
      </c>
      <c r="CB109" s="22">
        <f t="shared" si="64"/>
        <v>2.5073107750038623E-12</v>
      </c>
      <c r="CC109" s="60">
        <f t="shared" si="65"/>
        <v>278.99181358813161</v>
      </c>
      <c r="CD109" s="60">
        <f ca="1">AVERAGE(OFFSET($CC$3,0,0,'Données projet'!$E$12+1,1))-AVERAGE(OFFSET($H$3,0,0,'Données projet'!$E$12+1,1))</f>
        <v>312.59632808777332</v>
      </c>
      <c r="CE109" s="60">
        <f t="shared" si="94"/>
        <v>302.59481222418219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5.2</v>
      </c>
      <c r="CT109" s="13">
        <f>IF('Données projet'!$A$140&gt;35,CT108+CS109-DB108,IF(A109&lt;'Données projet'!$A$140,$CQ$205^A109,IF(A109='Données projet'!$A$140,'Données projet'!$B$140,CT108+CS109-DB108)))</f>
        <v>392.19999999999993</v>
      </c>
      <c r="CU109" s="18">
        <f>CT109*VLOOKUP('Données projet'!$B$13,Paramètres!$A$1:$I$89,3,0)*VLOOKUP('Données projet'!$B$13,Paramètres!$A$1:$I$89,5,0)</f>
        <v>379.33583999999996</v>
      </c>
      <c r="CV109" s="14">
        <f t="shared" si="95"/>
        <v>87.574479094077503</v>
      </c>
      <c r="CW109" s="22">
        <f t="shared" si="67"/>
        <v>813.2021390888516</v>
      </c>
      <c r="CX109" s="60">
        <f t="shared" si="68"/>
        <v>1092.1939526769806</v>
      </c>
      <c r="CY109" s="60">
        <f ca="1">AVERAGE(OFFSET($CX$3,0,0,'Données projet'!$E$13+1,1))-AVERAGE(OFFSET($H$3,0,0,'Données projet'!$E$13+1,1))</f>
        <v>603.52431522262032</v>
      </c>
      <c r="CZ109" s="60">
        <f t="shared" si="96"/>
        <v>313.56299786481338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5.2</v>
      </c>
      <c r="DO109" s="13">
        <f>IF('Données projet'!$A$166&gt;35,DO108+DN109-DW108,IF(A109&lt;'Données projet'!$A$166,$DL$205^A109,IF(A109='Données projet'!$A$166,'Données projet'!$B$166,DO108+DN109-DW108)))</f>
        <v>392.19999999999993</v>
      </c>
      <c r="DP109" s="18">
        <f>DO109*VLOOKUP('Données projet'!$B$14,Paramètres!$A$1:$I$89,3,0)*VLOOKUP('Données projet'!$B$14,Paramètres!$A$1:$I$89,5,0)</f>
        <v>422.1640799999999</v>
      </c>
      <c r="DQ109" s="14">
        <f t="shared" si="97"/>
        <v>96.25589189520457</v>
      </c>
      <c r="DR109" s="22">
        <f t="shared" si="70"/>
        <v>902.91478438414788</v>
      </c>
      <c r="DS109" s="60">
        <f t="shared" si="71"/>
        <v>1181.906597972277</v>
      </c>
      <c r="DT109" s="60">
        <f ca="1">AVERAGE(OFFSET($DS$3,0,0,'Données projet'!$E$14+1,1))-AVERAGE(OFFSET($H$3,0,0,'Données projet'!$E$14+1,1))</f>
        <v>661.93515988633499</v>
      </c>
      <c r="DU109" s="60">
        <f t="shared" si="98"/>
        <v>341.9250949809848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3.6538461538461489</v>
      </c>
      <c r="EJ109" s="13">
        <f>IF('Données projet'!$A$192&gt;35,EJ108+EI109-ER108,IF(A109&lt;'Données projet'!$A$192,$EG$205^A109,IF(A109='Données projet'!$A$192,'Données projet'!$B$192,EJ108+EI109-ER108)))</f>
        <v>352.0512820512821</v>
      </c>
      <c r="EK109" s="18">
        <f>EJ109*VLOOKUP('Données projet'!$B$15,Paramètres!$A$1:$I$89,3,0)*VLOOKUP('Données projet'!$B$15,Paramètres!$A$1:$I$89,5,0)</f>
        <v>236.15600000000003</v>
      </c>
      <c r="EL109" s="14">
        <f t="shared" si="99"/>
        <v>57.611699565928937</v>
      </c>
      <c r="EM109" s="22">
        <f t="shared" si="73"/>
        <v>511.64541007732623</v>
      </c>
      <c r="EN109" s="60">
        <f t="shared" si="74"/>
        <v>790.63722366545539</v>
      </c>
      <c r="EO109" s="60">
        <f ca="1">AVERAGE(OFFSET($EN$3,0,0,'Données projet'!$E$15+1,1))-AVERAGE(OFFSET($H$3,0,0,'Données projet'!$E$15+1,1))</f>
        <v>396.0878652679051</v>
      </c>
      <c r="EP109" s="60">
        <f t="shared" si="100"/>
        <v>327.26339199235406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-5.6843418860808015E-14</v>
      </c>
      <c r="FF109" s="18">
        <f>FE109*VLOOKUP('Données projet'!$B$16,Paramètres!$A$1:$I$89,3,0)*VLOOKUP('Données projet'!$B$16,Paramètres!$A$1:$I$89,5,0)</f>
        <v>-4.1677594708744434E-14</v>
      </c>
      <c r="FG109" s="14" t="e">
        <f t="shared" si="101"/>
        <v>#NUM!</v>
      </c>
      <c r="FH109" s="22" t="e">
        <f t="shared" si="76"/>
        <v>#NUM!</v>
      </c>
      <c r="FI109" s="60" t="e">
        <f t="shared" si="77"/>
        <v>#NUM!</v>
      </c>
      <c r="FJ109" s="60">
        <f ca="1">AVERAGE(OFFSET($FI$3,0,0,'Données projet'!$E$16+1,1))-AVERAGE(OFFSET($H$3,0,0,'Données projet'!$E$16+1,1))</f>
        <v>368.35775920359396</v>
      </c>
      <c r="FK109" s="60">
        <f t="shared" si="102"/>
        <v>395.5218438652638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7.2</v>
      </c>
      <c r="FZ109" s="13">
        <f>IF('Données projet'!$A$244&gt;35,FZ108+FY109-GH108,IF(A109&lt;'Données projet'!$A$244,$FW$205^A109,IF(A109='Données projet'!$A$244,'Données projet'!$B$244,FZ108+FY109-GH108)))</f>
        <v>463.19999999999982</v>
      </c>
      <c r="GA109" s="18">
        <f>FZ109*VLOOKUP('Données projet'!$B$17,Paramètres!$A$1:$I$89,3,0)*VLOOKUP('Données projet'!$B$17,Paramètres!$A$1:$I$89,5,0)</f>
        <v>397.42559999999992</v>
      </c>
      <c r="GB109" s="14">
        <f t="shared" si="103"/>
        <v>91.254549161190837</v>
      </c>
      <c r="GC109" s="22">
        <f t="shared" si="79"/>
        <v>851.11792645574042</v>
      </c>
      <c r="GD109" s="60">
        <f t="shared" si="80"/>
        <v>1130.1097400438696</v>
      </c>
      <c r="GE109" s="60">
        <f ca="1">AVERAGE(OFFSET($GD$3,0,0,'Données projet'!$E$17+1,1))-AVERAGE(OFFSET($H$3,0,0,'Données projet'!$E$17+1,1))</f>
        <v>701.44583662096022</v>
      </c>
      <c r="GF109" s="60">
        <f t="shared" si="104"/>
        <v>331.25104323342907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-1.1368683772161603E-13</v>
      </c>
      <c r="GV109" s="18">
        <f>GU109*VLOOKUP('Données projet'!$B$18,Paramètres!$A$1:$I$89,3,0)*VLOOKUP('Données projet'!$B$18,Paramètres!$A$1:$I$89,5,0)</f>
        <v>-9.2222762759774927E-14</v>
      </c>
      <c r="GW109" s="14" t="e">
        <f t="shared" si="105"/>
        <v>#NUM!</v>
      </c>
      <c r="GX109" s="22" t="e">
        <f t="shared" si="82"/>
        <v>#NUM!</v>
      </c>
      <c r="GY109" s="60" t="e">
        <f t="shared" si="83"/>
        <v>#NUM!</v>
      </c>
      <c r="GZ109" s="60">
        <f ca="1">AVERAGE(OFFSET($GY$3,0,0,'Données projet'!$E$18+1,1))-AVERAGE(OFFSET($H$3,0,0,'Données projet'!$E$18+1,1))</f>
        <v>272.69564942740931</v>
      </c>
      <c r="HA109" s="60">
        <f t="shared" si="106"/>
        <v>316.57989180609252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25">
      <c r="A110" s="11">
        <f t="shared" si="85"/>
        <v>107</v>
      </c>
      <c r="B110" s="75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8">
        <f t="shared" si="56"/>
        <v>183.33333333333334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5.2</v>
      </c>
      <c r="N110" s="14">
        <f>IF('Données projet'!$A$36&gt;35,N109+M110-V109,IF(A110&lt;'Données projet'!$A$36,$K$205^A110,IF(A110='Données projet'!$A$36,'Données projet'!$B$36,N109+M110-V109)))</f>
        <v>397.39999999999992</v>
      </c>
      <c r="O110" s="14">
        <f>N110*VLOOKUP('Données projet'!$B$9,Paramètres!$A$1:$I$89,3,0)*VLOOKUP('Données projet'!$B$9,Paramètres!$A$1:$I$89,5,0)</f>
        <v>359.56751999999989</v>
      </c>
      <c r="P110" s="14">
        <f t="shared" si="87"/>
        <v>83.529460161600639</v>
      </c>
      <c r="Q110" s="22">
        <f t="shared" si="107"/>
        <v>771.72724044812094</v>
      </c>
      <c r="R110" s="60">
        <f t="shared" si="55"/>
        <v>1050.9678473409945</v>
      </c>
      <c r="S110" s="60">
        <f ca="1">AVERAGE(OFFSET($R$3,0,0,'Données projet'!$E$9+1,1))-AVERAGE(OFFSET($H$3,0,0,'Données projet'!$E$9+1,1))</f>
        <v>570.08763950759544</v>
      </c>
      <c r="T110" s="60">
        <f t="shared" si="88"/>
        <v>297.32483725004136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-5.6843418860808015E-14</v>
      </c>
      <c r="AJ110" s="14">
        <f>AI110*VLOOKUP('Données projet'!$B$10,Paramètres!$A$1:$I$89,3,0)*VLOOKUP('Données projet'!$B$10,Paramètres!$A$1:$I$89,5,0)</f>
        <v>-4.5224624045658861E-14</v>
      </c>
      <c r="AK110" s="14" t="e">
        <f t="shared" si="89"/>
        <v>#NUM!</v>
      </c>
      <c r="AL110" s="22" t="e">
        <f t="shared" si="58"/>
        <v>#NUM!</v>
      </c>
      <c r="AM110" s="60" t="e">
        <f t="shared" si="59"/>
        <v>#NUM!</v>
      </c>
      <c r="AN110" s="60">
        <f ca="1">AVERAGE(OFFSET($AM$3,0,0,'Données projet'!$E$10+1,1))-AVERAGE(OFFSET($H$3,0,0,'Données projet'!$E$10+1,1))</f>
        <v>394.49874384716014</v>
      </c>
      <c r="AO110" s="60">
        <f t="shared" si="90"/>
        <v>423.72519584013378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3.3974358974359005</v>
      </c>
      <c r="BD110" s="13">
        <f>IF('Données projet'!$A$88&gt;35,BD109+BC110-BL109,IF(A110&lt;'Données projet'!$A$88,$BA$205^A110,IF(A110='Données projet'!$A$88,'Données projet'!$B$88,BD109+BC110-BL109)))</f>
        <v>282.1153846153847</v>
      </c>
      <c r="BE110" s="14">
        <f>BD110*VLOOKUP('Données projet'!$B$11,Paramètres!$A$1:$I$89,3,0)*VLOOKUP('Données projet'!$B$11,Paramètres!$A$1:$I$89,5,0)</f>
        <v>268.46100000000007</v>
      </c>
      <c r="BF110" s="14">
        <f t="shared" si="91"/>
        <v>64.522546064418151</v>
      </c>
      <c r="BG110" s="22">
        <f t="shared" si="61"/>
        <v>579.94634272886162</v>
      </c>
      <c r="BH110" s="60">
        <f t="shared" si="62"/>
        <v>859.18694962173527</v>
      </c>
      <c r="BI110" s="60">
        <f ca="1">AVERAGE(OFFSET($BH$3,0,0,'Données projet'!$E$11+1,1))-AVERAGE(OFFSET($H$3,0,0,'Données projet'!$E$11+1,1))</f>
        <v>441.15969139782891</v>
      </c>
      <c r="BJ110" s="60">
        <f t="shared" si="92"/>
        <v>315.06466790224783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1.1368683772161603E-13</v>
      </c>
      <c r="BZ110" s="14">
        <f>BY110*VLOOKUP('Données projet'!$B$12,Paramètres!$A$1:$I$89,3,0)*VLOOKUP('Données projet'!$B$12,Paramètres!$A$1:$I$89,5,0)</f>
        <v>8.8675733422860506E-14</v>
      </c>
      <c r="CA110" s="14">
        <f t="shared" si="93"/>
        <v>1.3509285393066301E-12</v>
      </c>
      <c r="CB110" s="22">
        <f t="shared" si="64"/>
        <v>2.5073107750038623E-12</v>
      </c>
      <c r="CC110" s="60">
        <f t="shared" si="65"/>
        <v>279.24060689287614</v>
      </c>
      <c r="CD110" s="60">
        <f ca="1">AVERAGE(OFFSET($CC$3,0,0,'Données projet'!$E$12+1,1))-AVERAGE(OFFSET($H$3,0,0,'Données projet'!$E$12+1,1))</f>
        <v>312.59632808777332</v>
      </c>
      <c r="CE110" s="60">
        <f t="shared" si="94"/>
        <v>302.59481222418219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5.2</v>
      </c>
      <c r="CT110" s="13">
        <f>IF('Données projet'!$A$140&gt;35,CT109+CS110-DB109,IF(A110&lt;'Données projet'!$A$140,$CQ$205^A110,IF(A110='Données projet'!$A$140,'Données projet'!$B$140,CT109+CS110-DB109)))</f>
        <v>397.39999999999992</v>
      </c>
      <c r="CU110" s="18">
        <f>CT110*VLOOKUP('Données projet'!$B$13,Paramètres!$A$1:$I$89,3,0)*VLOOKUP('Données projet'!$B$13,Paramètres!$A$1:$I$89,5,0)</f>
        <v>384.36527999999993</v>
      </c>
      <c r="CV110" s="14">
        <f t="shared" si="95"/>
        <v>88.599647978223373</v>
      </c>
      <c r="CW110" s="22">
        <f t="shared" si="67"/>
        <v>823.74724956207217</v>
      </c>
      <c r="CX110" s="60">
        <f t="shared" si="68"/>
        <v>1102.9878564549458</v>
      </c>
      <c r="CY110" s="60">
        <f ca="1">AVERAGE(OFFSET($CX$3,0,0,'Données projet'!$E$13+1,1))-AVERAGE(OFFSET($H$3,0,0,'Données projet'!$E$13+1,1))</f>
        <v>603.52431522262032</v>
      </c>
      <c r="CZ110" s="60">
        <f t="shared" si="96"/>
        <v>313.56299786481338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5.2</v>
      </c>
      <c r="DO110" s="13">
        <f>IF('Données projet'!$A$166&gt;35,DO109+DN110-DW109,IF(A110&lt;'Données projet'!$A$166,$DL$205^A110,IF(A110='Données projet'!$A$166,'Données projet'!$B$166,DO109+DN110-DW109)))</f>
        <v>397.39999999999992</v>
      </c>
      <c r="DP110" s="18">
        <f>DO110*VLOOKUP('Données projet'!$B$14,Paramètres!$A$1:$I$89,3,0)*VLOOKUP('Données projet'!$B$14,Paramètres!$A$1:$I$89,5,0)</f>
        <v>427.76135999999985</v>
      </c>
      <c r="DQ110" s="14">
        <f t="shared" si="97"/>
        <v>97.382687581658757</v>
      </c>
      <c r="DR110" s="22">
        <f t="shared" si="70"/>
        <v>914.62588287138863</v>
      </c>
      <c r="DS110" s="60">
        <f t="shared" si="71"/>
        <v>1193.8664897642623</v>
      </c>
      <c r="DT110" s="60">
        <f ca="1">AVERAGE(OFFSET($DS$3,0,0,'Données projet'!$E$14+1,1))-AVERAGE(OFFSET($H$3,0,0,'Données projet'!$E$14+1,1))</f>
        <v>661.93515988633499</v>
      </c>
      <c r="DU110" s="60">
        <f t="shared" si="98"/>
        <v>341.9250949809848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3.6538461538461489</v>
      </c>
      <c r="EJ110" s="13">
        <f>IF('Données projet'!$A$192&gt;35,EJ109+EI110-ER109,IF(A110&lt;'Données projet'!$A$192,$EG$205^A110,IF(A110='Données projet'!$A$192,'Données projet'!$B$192,EJ109+EI110-ER109)))</f>
        <v>355.70512820512823</v>
      </c>
      <c r="EK110" s="18">
        <f>EJ110*VLOOKUP('Données projet'!$B$15,Paramètres!$A$1:$I$89,3,0)*VLOOKUP('Données projet'!$B$15,Paramètres!$A$1:$I$89,5,0)</f>
        <v>238.607</v>
      </c>
      <c r="EL110" s="14">
        <f t="shared" si="99"/>
        <v>58.139718283978347</v>
      </c>
      <c r="EM110" s="22">
        <f t="shared" si="73"/>
        <v>516.83386767792888</v>
      </c>
      <c r="EN110" s="60">
        <f t="shared" si="74"/>
        <v>796.07447457080252</v>
      </c>
      <c r="EO110" s="60">
        <f ca="1">AVERAGE(OFFSET($EN$3,0,0,'Données projet'!$E$15+1,1))-AVERAGE(OFFSET($H$3,0,0,'Données projet'!$E$15+1,1))</f>
        <v>396.0878652679051</v>
      </c>
      <c r="EP110" s="60">
        <f t="shared" si="100"/>
        <v>327.26339199235406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-5.6843418860808015E-14</v>
      </c>
      <c r="FF110" s="18">
        <f>FE110*VLOOKUP('Données projet'!$B$16,Paramètres!$A$1:$I$89,3,0)*VLOOKUP('Données projet'!$B$16,Paramètres!$A$1:$I$89,5,0)</f>
        <v>-4.1677594708744434E-14</v>
      </c>
      <c r="FG110" s="14" t="e">
        <f t="shared" si="101"/>
        <v>#NUM!</v>
      </c>
      <c r="FH110" s="22" t="e">
        <f t="shared" si="76"/>
        <v>#NUM!</v>
      </c>
      <c r="FI110" s="60" t="e">
        <f t="shared" si="77"/>
        <v>#NUM!</v>
      </c>
      <c r="FJ110" s="60">
        <f ca="1">AVERAGE(OFFSET($FI$3,0,0,'Données projet'!$E$16+1,1))-AVERAGE(OFFSET($H$3,0,0,'Données projet'!$E$16+1,1))</f>
        <v>368.35775920359396</v>
      </c>
      <c r="FK110" s="60">
        <f t="shared" si="102"/>
        <v>395.5218438652638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7.2</v>
      </c>
      <c r="FZ110" s="13">
        <f>IF('Données projet'!$A$244&gt;35,FZ109+FY110-GH109,IF(A110&lt;'Données projet'!$A$244,$FW$205^A110,IF(A110='Données projet'!$A$244,'Données projet'!$B$244,FZ109+FY110-GH109)))</f>
        <v>470.39999999999981</v>
      </c>
      <c r="GA110" s="18">
        <f>FZ110*VLOOKUP('Données projet'!$B$17,Paramètres!$A$1:$I$89,3,0)*VLOOKUP('Données projet'!$B$17,Paramètres!$A$1:$I$89,5,0)</f>
        <v>403.6031999999999</v>
      </c>
      <c r="GB110" s="14">
        <f t="shared" si="103"/>
        <v>92.506777029734693</v>
      </c>
      <c r="GC110" s="22">
        <f t="shared" si="79"/>
        <v>864.0582099934544</v>
      </c>
      <c r="GD110" s="60">
        <f t="shared" si="80"/>
        <v>1143.298816886328</v>
      </c>
      <c r="GE110" s="60">
        <f ca="1">AVERAGE(OFFSET($GD$3,0,0,'Données projet'!$E$17+1,1))-AVERAGE(OFFSET($H$3,0,0,'Données projet'!$E$17+1,1))</f>
        <v>701.44583662096022</v>
      </c>
      <c r="GF110" s="60">
        <f t="shared" si="104"/>
        <v>331.25104323342907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-1.1368683772161603E-13</v>
      </c>
      <c r="GV110" s="18">
        <f>GU110*VLOOKUP('Données projet'!$B$18,Paramètres!$A$1:$I$89,3,0)*VLOOKUP('Données projet'!$B$18,Paramètres!$A$1:$I$89,5,0)</f>
        <v>-9.2222762759774927E-14</v>
      </c>
      <c r="GW110" s="14" t="e">
        <f t="shared" si="105"/>
        <v>#NUM!</v>
      </c>
      <c r="GX110" s="22" t="e">
        <f t="shared" si="82"/>
        <v>#NUM!</v>
      </c>
      <c r="GY110" s="60" t="e">
        <f t="shared" si="83"/>
        <v>#NUM!</v>
      </c>
      <c r="GZ110" s="60">
        <f ca="1">AVERAGE(OFFSET($GY$3,0,0,'Données projet'!$E$18+1,1))-AVERAGE(OFFSET($H$3,0,0,'Données projet'!$E$18+1,1))</f>
        <v>272.69564942740931</v>
      </c>
      <c r="HA110" s="60">
        <f t="shared" si="106"/>
        <v>316.57989180609252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25">
      <c r="A111" s="11">
        <f t="shared" si="85"/>
        <v>108</v>
      </c>
      <c r="B111" s="75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8">
        <f t="shared" si="56"/>
        <v>183.33333333333334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5.2</v>
      </c>
      <c r="N111" s="14">
        <f>IF('Données projet'!$A$36&gt;35,N110+M111-V110,IF(A111&lt;'Données projet'!$A$36,$K$205^A111,IF(A111='Données projet'!$A$36,'Données projet'!$B$36,N110+M111-V110)))</f>
        <v>402.59999999999991</v>
      </c>
      <c r="O111" s="14">
        <f>N111*VLOOKUP('Données projet'!$B$9,Paramètres!$A$1:$I$89,3,0)*VLOOKUP('Données projet'!$B$9,Paramètres!$A$1:$I$89,5,0)</f>
        <v>364.27247999999992</v>
      </c>
      <c r="P111" s="14">
        <f t="shared" si="87"/>
        <v>84.494491907753741</v>
      </c>
      <c r="Q111" s="22">
        <f t="shared" si="107"/>
        <v>781.60247607267092</v>
      </c>
      <c r="R111" s="60">
        <f t="shared" si="55"/>
        <v>1061.0875602626702</v>
      </c>
      <c r="S111" s="60">
        <f ca="1">AVERAGE(OFFSET($R$3,0,0,'Données projet'!$E$9+1,1))-AVERAGE(OFFSET($H$3,0,0,'Données projet'!$E$9+1,1))</f>
        <v>570.08763950759544</v>
      </c>
      <c r="T111" s="60">
        <f t="shared" si="88"/>
        <v>297.32483725004136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-5.6843418860808015E-14</v>
      </c>
      <c r="AJ111" s="14">
        <f>AI111*VLOOKUP('Données projet'!$B$10,Paramètres!$A$1:$I$89,3,0)*VLOOKUP('Données projet'!$B$10,Paramètres!$A$1:$I$89,5,0)</f>
        <v>-4.5224624045658861E-14</v>
      </c>
      <c r="AK111" s="14" t="e">
        <f t="shared" si="89"/>
        <v>#NUM!</v>
      </c>
      <c r="AL111" s="22" t="e">
        <f t="shared" si="58"/>
        <v>#NUM!</v>
      </c>
      <c r="AM111" s="60" t="e">
        <f t="shared" si="59"/>
        <v>#NUM!</v>
      </c>
      <c r="AN111" s="60">
        <f ca="1">AVERAGE(OFFSET($AM$3,0,0,'Données projet'!$E$10+1,1))-AVERAGE(OFFSET($H$3,0,0,'Données projet'!$E$10+1,1))</f>
        <v>394.49874384716014</v>
      </c>
      <c r="AO111" s="60">
        <f t="shared" si="90"/>
        <v>423.72519584013378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3.3974358974359005</v>
      </c>
      <c r="BD111" s="13">
        <f>IF('Données projet'!$A$88&gt;35,BD110+BC111-BL110,IF(A111&lt;'Données projet'!$A$88,$BA$205^A111,IF(A111='Données projet'!$A$88,'Données projet'!$B$88,BD110+BC111-BL110)))</f>
        <v>285.51282051282061</v>
      </c>
      <c r="BE111" s="14">
        <f>BD111*VLOOKUP('Données projet'!$B$11,Paramètres!$A$1:$I$89,3,0)*VLOOKUP('Données projet'!$B$11,Paramètres!$A$1:$I$89,5,0)</f>
        <v>271.69400000000007</v>
      </c>
      <c r="BF111" s="14">
        <f t="shared" si="91"/>
        <v>65.208647871703889</v>
      </c>
      <c r="BG111" s="22">
        <f t="shared" si="61"/>
        <v>586.77211170988437</v>
      </c>
      <c r="BH111" s="60">
        <f t="shared" si="62"/>
        <v>866.25719589988375</v>
      </c>
      <c r="BI111" s="60">
        <f ca="1">AVERAGE(OFFSET($BH$3,0,0,'Données projet'!$E$11+1,1))-AVERAGE(OFFSET($H$3,0,0,'Données projet'!$E$11+1,1))</f>
        <v>441.15969139782891</v>
      </c>
      <c r="BJ111" s="60">
        <f t="shared" si="92"/>
        <v>315.06466790224783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1.1368683772161603E-13</v>
      </c>
      <c r="BZ111" s="14">
        <f>BY111*VLOOKUP('Données projet'!$B$12,Paramètres!$A$1:$I$89,3,0)*VLOOKUP('Données projet'!$B$12,Paramètres!$A$1:$I$89,5,0)</f>
        <v>8.8675733422860506E-14</v>
      </c>
      <c r="CA111" s="14">
        <f t="shared" si="93"/>
        <v>1.3509285393066301E-12</v>
      </c>
      <c r="CB111" s="22">
        <f t="shared" si="64"/>
        <v>2.5073107750038623E-12</v>
      </c>
      <c r="CC111" s="60">
        <f t="shared" si="65"/>
        <v>279.48508419000183</v>
      </c>
      <c r="CD111" s="60">
        <f ca="1">AVERAGE(OFFSET($CC$3,0,0,'Données projet'!$E$12+1,1))-AVERAGE(OFFSET($H$3,0,0,'Données projet'!$E$12+1,1))</f>
        <v>312.59632808777332</v>
      </c>
      <c r="CE111" s="60">
        <f t="shared" si="94"/>
        <v>302.59481222418219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5.2</v>
      </c>
      <c r="CT111" s="13">
        <f>IF('Données projet'!$A$140&gt;35,CT110+CS111-DB110,IF(A111&lt;'Données projet'!$A$140,$CQ$205^A111,IF(A111='Données projet'!$A$140,'Données projet'!$B$140,CT110+CS111-DB110)))</f>
        <v>402.59999999999991</v>
      </c>
      <c r="CU111" s="18">
        <f>CT111*VLOOKUP('Données projet'!$B$13,Paramètres!$A$1:$I$89,3,0)*VLOOKUP('Données projet'!$B$13,Paramètres!$A$1:$I$89,5,0)</f>
        <v>389.39471999999989</v>
      </c>
      <c r="CV111" s="14">
        <f t="shared" si="95"/>
        <v>89.623256568911799</v>
      </c>
      <c r="CW111" s="22">
        <f t="shared" si="67"/>
        <v>834.28964252418791</v>
      </c>
      <c r="CX111" s="60">
        <f t="shared" si="68"/>
        <v>1113.7747267141872</v>
      </c>
      <c r="CY111" s="60">
        <f ca="1">AVERAGE(OFFSET($CX$3,0,0,'Données projet'!$E$13+1,1))-AVERAGE(OFFSET($H$3,0,0,'Données projet'!$E$13+1,1))</f>
        <v>603.52431522262032</v>
      </c>
      <c r="CZ111" s="60">
        <f t="shared" si="96"/>
        <v>313.56299786481338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5.2</v>
      </c>
      <c r="DO111" s="13">
        <f>IF('Données projet'!$A$166&gt;35,DO110+DN111-DW110,IF(A111&lt;'Données projet'!$A$166,$DL$205^A111,IF(A111='Données projet'!$A$166,'Données projet'!$B$166,DO110+DN111-DW110)))</f>
        <v>402.59999999999991</v>
      </c>
      <c r="DP111" s="18">
        <f>DO111*VLOOKUP('Données projet'!$B$14,Paramètres!$A$1:$I$89,3,0)*VLOOKUP('Données projet'!$B$14,Paramètres!$A$1:$I$89,5,0)</f>
        <v>433.35863999999992</v>
      </c>
      <c r="DQ111" s="14">
        <f t="shared" si="97"/>
        <v>98.507768300008948</v>
      </c>
      <c r="DR111" s="22">
        <f t="shared" si="70"/>
        <v>926.33399445584871</v>
      </c>
      <c r="DS111" s="60">
        <f t="shared" si="71"/>
        <v>1205.8190786458481</v>
      </c>
      <c r="DT111" s="60">
        <f ca="1">AVERAGE(OFFSET($DS$3,0,0,'Données projet'!$E$14+1,1))-AVERAGE(OFFSET($H$3,0,0,'Données projet'!$E$14+1,1))</f>
        <v>661.93515988633499</v>
      </c>
      <c r="DU111" s="60">
        <f t="shared" si="98"/>
        <v>341.9250949809848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3.6538461538461489</v>
      </c>
      <c r="EJ111" s="13">
        <f>IF('Données projet'!$A$192&gt;35,EJ110+EI111-ER110,IF(A111&lt;'Données projet'!$A$192,$EG$205^A111,IF(A111='Données projet'!$A$192,'Données projet'!$B$192,EJ110+EI111-ER110)))</f>
        <v>359.35897435897436</v>
      </c>
      <c r="EK111" s="18">
        <f>EJ111*VLOOKUP('Données projet'!$B$15,Paramètres!$A$1:$I$89,3,0)*VLOOKUP('Données projet'!$B$15,Paramètres!$A$1:$I$89,5,0)</f>
        <v>241.05799999999999</v>
      </c>
      <c r="EL111" s="14">
        <f t="shared" si="99"/>
        <v>58.667106028853908</v>
      </c>
      <c r="EM111" s="22">
        <f t="shared" si="73"/>
        <v>522.02122633358715</v>
      </c>
      <c r="EN111" s="60">
        <f t="shared" si="74"/>
        <v>801.50631052358654</v>
      </c>
      <c r="EO111" s="60">
        <f ca="1">AVERAGE(OFFSET($EN$3,0,0,'Données projet'!$E$15+1,1))-AVERAGE(OFFSET($H$3,0,0,'Données projet'!$E$15+1,1))</f>
        <v>396.0878652679051</v>
      </c>
      <c r="EP111" s="60">
        <f t="shared" si="100"/>
        <v>327.26339199235406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-5.6843418860808015E-14</v>
      </c>
      <c r="FF111" s="18">
        <f>FE111*VLOOKUP('Données projet'!$B$16,Paramètres!$A$1:$I$89,3,0)*VLOOKUP('Données projet'!$B$16,Paramètres!$A$1:$I$89,5,0)</f>
        <v>-4.1677594708744434E-14</v>
      </c>
      <c r="FG111" s="14" t="e">
        <f t="shared" si="101"/>
        <v>#NUM!</v>
      </c>
      <c r="FH111" s="22" t="e">
        <f t="shared" si="76"/>
        <v>#NUM!</v>
      </c>
      <c r="FI111" s="60" t="e">
        <f t="shared" si="77"/>
        <v>#NUM!</v>
      </c>
      <c r="FJ111" s="60">
        <f ca="1">AVERAGE(OFFSET($FI$3,0,0,'Données projet'!$E$16+1,1))-AVERAGE(OFFSET($H$3,0,0,'Données projet'!$E$16+1,1))</f>
        <v>368.35775920359396</v>
      </c>
      <c r="FK111" s="60">
        <f t="shared" si="102"/>
        <v>395.5218438652638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7.2</v>
      </c>
      <c r="FZ111" s="13">
        <f>IF('Données projet'!$A$244&gt;35,FZ110+FY111-GH110,IF(A111&lt;'Données projet'!$A$244,$FW$205^A111,IF(A111='Données projet'!$A$244,'Données projet'!$B$244,FZ110+FY111-GH110)))</f>
        <v>477.5999999999998</v>
      </c>
      <c r="GA111" s="18">
        <f>FZ111*VLOOKUP('Données projet'!$B$17,Paramètres!$A$1:$I$89,3,0)*VLOOKUP('Données projet'!$B$17,Paramètres!$A$1:$I$89,5,0)</f>
        <v>409.78079999999983</v>
      </c>
      <c r="GB111" s="14">
        <f t="shared" si="103"/>
        <v>93.756775782431959</v>
      </c>
      <c r="GC111" s="22">
        <f t="shared" si="79"/>
        <v>876.99461115440192</v>
      </c>
      <c r="GD111" s="60">
        <f t="shared" si="80"/>
        <v>1156.4796953444013</v>
      </c>
      <c r="GE111" s="60">
        <f ca="1">AVERAGE(OFFSET($GD$3,0,0,'Données projet'!$E$17+1,1))-AVERAGE(OFFSET($H$3,0,0,'Données projet'!$E$17+1,1))</f>
        <v>701.44583662096022</v>
      </c>
      <c r="GF111" s="60">
        <f t="shared" si="104"/>
        <v>331.25104323342907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-1.1368683772161603E-13</v>
      </c>
      <c r="GV111" s="18">
        <f>GU111*VLOOKUP('Données projet'!$B$18,Paramètres!$A$1:$I$89,3,0)*VLOOKUP('Données projet'!$B$18,Paramètres!$A$1:$I$89,5,0)</f>
        <v>-9.2222762759774927E-14</v>
      </c>
      <c r="GW111" s="14" t="e">
        <f t="shared" si="105"/>
        <v>#NUM!</v>
      </c>
      <c r="GX111" s="22" t="e">
        <f t="shared" si="82"/>
        <v>#NUM!</v>
      </c>
      <c r="GY111" s="60" t="e">
        <f t="shared" si="83"/>
        <v>#NUM!</v>
      </c>
      <c r="GZ111" s="60">
        <f ca="1">AVERAGE(OFFSET($GY$3,0,0,'Données projet'!$E$18+1,1))-AVERAGE(OFFSET($H$3,0,0,'Données projet'!$E$18+1,1))</f>
        <v>272.69564942740931</v>
      </c>
      <c r="HA111" s="60">
        <f t="shared" si="106"/>
        <v>316.57989180609252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25">
      <c r="A112" s="11">
        <f t="shared" si="85"/>
        <v>109</v>
      </c>
      <c r="B112" s="75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8">
        <f t="shared" si="56"/>
        <v>183.33333333333334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5.2</v>
      </c>
      <c r="N112" s="14">
        <f>IF('Données projet'!$A$36&gt;35,N111+M112-V111,IF(A112&lt;'Données projet'!$A$36,$K$205^A112,IF(A112='Données projet'!$A$36,'Données projet'!$B$36,N111+M112-V111)))</f>
        <v>407.7999999999999</v>
      </c>
      <c r="O112" s="14">
        <f>N112*VLOOKUP('Données projet'!$B$9,Paramètres!$A$1:$I$89,3,0)*VLOOKUP('Données projet'!$B$9,Paramètres!$A$1:$I$89,5,0)</f>
        <v>368.97743999999989</v>
      </c>
      <c r="P112" s="14">
        <f t="shared" si="87"/>
        <v>85.458073845884769</v>
      </c>
      <c r="Q112" s="22">
        <f t="shared" si="107"/>
        <v>791.47518661491574</v>
      </c>
      <c r="R112" s="60">
        <f t="shared" si="55"/>
        <v>1071.2005069675051</v>
      </c>
      <c r="S112" s="60">
        <f ca="1">AVERAGE(OFFSET($R$3,0,0,'Données projet'!$E$9+1,1))-AVERAGE(OFFSET($H$3,0,0,'Données projet'!$E$9+1,1))</f>
        <v>570.08763950759544</v>
      </c>
      <c r="T112" s="60">
        <f t="shared" si="88"/>
        <v>297.32483725004136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-5.6843418860808015E-14</v>
      </c>
      <c r="AJ112" s="14">
        <f>AI112*VLOOKUP('Données projet'!$B$10,Paramètres!$A$1:$I$89,3,0)*VLOOKUP('Données projet'!$B$10,Paramètres!$A$1:$I$89,5,0)</f>
        <v>-4.5224624045658861E-14</v>
      </c>
      <c r="AK112" s="14" t="e">
        <f t="shared" si="89"/>
        <v>#NUM!</v>
      </c>
      <c r="AL112" s="22" t="e">
        <f t="shared" si="58"/>
        <v>#NUM!</v>
      </c>
      <c r="AM112" s="60" t="e">
        <f t="shared" si="59"/>
        <v>#NUM!</v>
      </c>
      <c r="AN112" s="60">
        <f ca="1">AVERAGE(OFFSET($AM$3,0,0,'Données projet'!$E$10+1,1))-AVERAGE(OFFSET($H$3,0,0,'Données projet'!$E$10+1,1))</f>
        <v>394.49874384716014</v>
      </c>
      <c r="AO112" s="60">
        <f t="shared" si="90"/>
        <v>423.72519584013378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3.3974358974359005</v>
      </c>
      <c r="BD112" s="13">
        <f>IF('Données projet'!$A$88&gt;35,BD111+BC112-BL111,IF(A112&lt;'Données projet'!$A$88,$BA$205^A112,IF(A112='Données projet'!$A$88,'Données projet'!$B$88,BD111+BC112-BL111)))</f>
        <v>288.91025641025652</v>
      </c>
      <c r="BE112" s="14">
        <f>BD112*VLOOKUP('Données projet'!$B$11,Paramètres!$A$1:$I$89,3,0)*VLOOKUP('Données projet'!$B$11,Paramètres!$A$1:$I$89,5,0)</f>
        <v>274.92700000000013</v>
      </c>
      <c r="BF112" s="14">
        <f t="shared" si="91"/>
        <v>65.893799998961399</v>
      </c>
      <c r="BG112" s="22">
        <f t="shared" si="61"/>
        <v>593.59622666485791</v>
      </c>
      <c r="BH112" s="60">
        <f t="shared" si="62"/>
        <v>873.32154701744719</v>
      </c>
      <c r="BI112" s="60">
        <f ca="1">AVERAGE(OFFSET($BH$3,0,0,'Données projet'!$E$11+1,1))-AVERAGE(OFFSET($H$3,0,0,'Données projet'!$E$11+1,1))</f>
        <v>441.15969139782891</v>
      </c>
      <c r="BJ112" s="60">
        <f t="shared" si="92"/>
        <v>315.06466790224783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1.1368683772161603E-13</v>
      </c>
      <c r="BZ112" s="14">
        <f>BY112*VLOOKUP('Données projet'!$B$12,Paramètres!$A$1:$I$89,3,0)*VLOOKUP('Données projet'!$B$12,Paramètres!$A$1:$I$89,5,0)</f>
        <v>8.8675733422860506E-14</v>
      </c>
      <c r="CA112" s="14">
        <f t="shared" si="93"/>
        <v>1.3509285393066301E-12</v>
      </c>
      <c r="CB112" s="22">
        <f t="shared" si="64"/>
        <v>2.5073107750038623E-12</v>
      </c>
      <c r="CC112" s="60">
        <f t="shared" si="65"/>
        <v>279.72532035259178</v>
      </c>
      <c r="CD112" s="60">
        <f ca="1">AVERAGE(OFFSET($CC$3,0,0,'Données projet'!$E$12+1,1))-AVERAGE(OFFSET($H$3,0,0,'Données projet'!$E$12+1,1))</f>
        <v>312.59632808777332</v>
      </c>
      <c r="CE112" s="60">
        <f t="shared" si="94"/>
        <v>302.59481222418219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5.2</v>
      </c>
      <c r="CT112" s="13">
        <f>IF('Données projet'!$A$140&gt;35,CT111+CS112-DB111,IF(A112&lt;'Données projet'!$A$140,$CQ$205^A112,IF(A112='Données projet'!$A$140,'Données projet'!$B$140,CT111+CS112-DB111)))</f>
        <v>407.7999999999999</v>
      </c>
      <c r="CU112" s="18">
        <f>CT112*VLOOKUP('Données projet'!$B$13,Paramètres!$A$1:$I$89,3,0)*VLOOKUP('Données projet'!$B$13,Paramètres!$A$1:$I$89,5,0)</f>
        <v>394.42415999999992</v>
      </c>
      <c r="CV112" s="14">
        <f t="shared" si="95"/>
        <v>90.645327349106196</v>
      </c>
      <c r="CW112" s="22">
        <f t="shared" si="67"/>
        <v>844.82935713302641</v>
      </c>
      <c r="CX112" s="60">
        <f t="shared" si="68"/>
        <v>1124.5546774856157</v>
      </c>
      <c r="CY112" s="60">
        <f ca="1">AVERAGE(OFFSET($CX$3,0,0,'Données projet'!$E$13+1,1))-AVERAGE(OFFSET($H$3,0,0,'Données projet'!$E$13+1,1))</f>
        <v>603.52431522262032</v>
      </c>
      <c r="CZ112" s="60">
        <f t="shared" si="96"/>
        <v>313.56299786481338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5.2</v>
      </c>
      <c r="DO112" s="13">
        <f>IF('Données projet'!$A$166&gt;35,DO111+DN112-DW111,IF(A112&lt;'Données projet'!$A$166,$DL$205^A112,IF(A112='Données projet'!$A$166,'Données projet'!$B$166,DO111+DN112-DW111)))</f>
        <v>407.7999999999999</v>
      </c>
      <c r="DP112" s="18">
        <f>DO112*VLOOKUP('Données projet'!$B$14,Paramètres!$A$1:$I$89,3,0)*VLOOKUP('Données projet'!$B$14,Paramètres!$A$1:$I$89,5,0)</f>
        <v>438.95591999999982</v>
      </c>
      <c r="DQ112" s="14">
        <f t="shared" si="97"/>
        <v>99.631158761994499</v>
      </c>
      <c r="DR112" s="22">
        <f t="shared" si="70"/>
        <v>938.03916217714016</v>
      </c>
      <c r="DS112" s="60">
        <f t="shared" si="71"/>
        <v>1217.7644825297293</v>
      </c>
      <c r="DT112" s="60">
        <f ca="1">AVERAGE(OFFSET($DS$3,0,0,'Données projet'!$E$14+1,1))-AVERAGE(OFFSET($H$3,0,0,'Données projet'!$E$14+1,1))</f>
        <v>661.93515988633499</v>
      </c>
      <c r="DU112" s="60">
        <f t="shared" si="98"/>
        <v>341.9250949809848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3.6538461538461489</v>
      </c>
      <c r="EJ112" s="13">
        <f>IF('Données projet'!$A$192&gt;35,EJ111+EI112-ER111,IF(A112&lt;'Données projet'!$A$192,$EG$205^A112,IF(A112='Données projet'!$A$192,'Données projet'!$B$192,EJ111+EI112-ER111)))</f>
        <v>363.0128205128205</v>
      </c>
      <c r="EK112" s="18">
        <f>EJ112*VLOOKUP('Données projet'!$B$15,Paramètres!$A$1:$I$89,3,0)*VLOOKUP('Données projet'!$B$15,Paramètres!$A$1:$I$89,5,0)</f>
        <v>243.50900000000001</v>
      </c>
      <c r="EL112" s="14">
        <f t="shared" si="99"/>
        <v>59.193869958866358</v>
      </c>
      <c r="EM112" s="22">
        <f t="shared" si="73"/>
        <v>527.20749851169228</v>
      </c>
      <c r="EN112" s="60">
        <f t="shared" si="74"/>
        <v>806.93281886428156</v>
      </c>
      <c r="EO112" s="60">
        <f ca="1">AVERAGE(OFFSET($EN$3,0,0,'Données projet'!$E$15+1,1))-AVERAGE(OFFSET($H$3,0,0,'Données projet'!$E$15+1,1))</f>
        <v>396.0878652679051</v>
      </c>
      <c r="EP112" s="60">
        <f t="shared" si="100"/>
        <v>327.26339199235406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-5.6843418860808015E-14</v>
      </c>
      <c r="FF112" s="18">
        <f>FE112*VLOOKUP('Données projet'!$B$16,Paramètres!$A$1:$I$89,3,0)*VLOOKUP('Données projet'!$B$16,Paramètres!$A$1:$I$89,5,0)</f>
        <v>-4.1677594708744434E-14</v>
      </c>
      <c r="FG112" s="14" t="e">
        <f t="shared" si="101"/>
        <v>#NUM!</v>
      </c>
      <c r="FH112" s="22" t="e">
        <f t="shared" si="76"/>
        <v>#NUM!</v>
      </c>
      <c r="FI112" s="60" t="e">
        <f t="shared" si="77"/>
        <v>#NUM!</v>
      </c>
      <c r="FJ112" s="60">
        <f ca="1">AVERAGE(OFFSET($FI$3,0,0,'Données projet'!$E$16+1,1))-AVERAGE(OFFSET($H$3,0,0,'Données projet'!$E$16+1,1))</f>
        <v>368.35775920359396</v>
      </c>
      <c r="FK112" s="60">
        <f t="shared" si="102"/>
        <v>395.5218438652638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7.2</v>
      </c>
      <c r="FZ112" s="13">
        <f>IF('Données projet'!$A$244&gt;35,FZ111+FY112-GH111,IF(A112&lt;'Données projet'!$A$244,$FW$205^A112,IF(A112='Données projet'!$A$244,'Données projet'!$B$244,FZ111+FY112-GH111)))</f>
        <v>484.79999999999978</v>
      </c>
      <c r="GA112" s="18">
        <f>FZ112*VLOOKUP('Données projet'!$B$17,Paramètres!$A$1:$I$89,3,0)*VLOOKUP('Données projet'!$B$17,Paramètres!$A$1:$I$89,5,0)</f>
        <v>415.95839999999993</v>
      </c>
      <c r="GB112" s="14">
        <f t="shared" si="103"/>
        <v>95.00458290560033</v>
      </c>
      <c r="GC112" s="22">
        <f t="shared" si="79"/>
        <v>889.92719522725372</v>
      </c>
      <c r="GD112" s="60">
        <f t="shared" si="80"/>
        <v>1169.6525155798431</v>
      </c>
      <c r="GE112" s="60">
        <f ca="1">AVERAGE(OFFSET($GD$3,0,0,'Données projet'!$E$17+1,1))-AVERAGE(OFFSET($H$3,0,0,'Données projet'!$E$17+1,1))</f>
        <v>701.44583662096022</v>
      </c>
      <c r="GF112" s="60">
        <f t="shared" si="104"/>
        <v>331.25104323342907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-1.1368683772161603E-13</v>
      </c>
      <c r="GV112" s="18">
        <f>GU112*VLOOKUP('Données projet'!$B$18,Paramètres!$A$1:$I$89,3,0)*VLOOKUP('Données projet'!$B$18,Paramètres!$A$1:$I$89,5,0)</f>
        <v>-9.2222762759774927E-14</v>
      </c>
      <c r="GW112" s="14" t="e">
        <f t="shared" si="105"/>
        <v>#NUM!</v>
      </c>
      <c r="GX112" s="22" t="e">
        <f t="shared" si="82"/>
        <v>#NUM!</v>
      </c>
      <c r="GY112" s="60" t="e">
        <f t="shared" si="83"/>
        <v>#NUM!</v>
      </c>
      <c r="GZ112" s="60">
        <f ca="1">AVERAGE(OFFSET($GY$3,0,0,'Données projet'!$E$18+1,1))-AVERAGE(OFFSET($H$3,0,0,'Données projet'!$E$18+1,1))</f>
        <v>272.69564942740931</v>
      </c>
      <c r="HA112" s="60">
        <f t="shared" si="106"/>
        <v>316.57989180609252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25">
      <c r="A113" s="11">
        <f t="shared" si="85"/>
        <v>110</v>
      </c>
      <c r="B113" s="75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8">
        <f t="shared" si="56"/>
        <v>183.33333333333334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413</v>
      </c>
      <c r="L113" s="13">
        <f>VLOOKUP(A113,'Données projet'!$A$35:$I$55,9,0)</f>
        <v>5.2</v>
      </c>
      <c r="M113" s="13">
        <f t="array" ref="M113">INDEX(L:L,MIN(IF(ISNUMBER(L113:L309),ROW(L113:L309),"")))</f>
        <v>5.2</v>
      </c>
      <c r="N113" s="14">
        <f>IF('Données projet'!$A$36&gt;35,N112+M113-V112,IF(A113&lt;'Données projet'!$A$36,$K$205^A113,IF(A113='Données projet'!$A$36,'Données projet'!$B$36,N112+M113-V112)))</f>
        <v>412.99999999999989</v>
      </c>
      <c r="O113" s="14">
        <f>N113*VLOOKUP('Données projet'!$B$9,Paramètres!$A$1:$I$89,3,0)*VLOOKUP('Données projet'!$B$9,Paramètres!$A$1:$I$89,5,0)</f>
        <v>373.68239999999986</v>
      </c>
      <c r="P113" s="14">
        <f t="shared" si="87"/>
        <v>86.420226600704183</v>
      </c>
      <c r="Q113" s="22">
        <f t="shared" si="107"/>
        <v>801.34540799622619</v>
      </c>
      <c r="R113" s="60">
        <f t="shared" si="55"/>
        <v>1081.3067969510721</v>
      </c>
      <c r="S113" s="60">
        <f ca="1">AVERAGE(OFFSET($R$3,0,0,'Données projet'!$E$9+1,1))-AVERAGE(OFFSET($H$3,0,0,'Données projet'!$E$9+1,1))</f>
        <v>570.08763950759544</v>
      </c>
      <c r="T113" s="60">
        <f t="shared" si="88"/>
        <v>297.32483725004136</v>
      </c>
      <c r="U113" s="16">
        <f>IF(ISNA(VLOOKUP(A113,'Données projet'!$A$35:$I$55,3,0)),0,VLOOKUP(A113,'Données projet'!$A$35:$I$55,3,0))</f>
        <v>8</v>
      </c>
      <c r="V113" s="16">
        <f>IF(ISNA(VLOOKUP(A113,'Données projet'!$A$35:$I$55,4,0)),0,VLOOKUP(A113,'Données projet'!$A$35:$I$55,4,0))</f>
        <v>106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-5.6843418860808015E-14</v>
      </c>
      <c r="AJ113" s="14">
        <f>AI113*VLOOKUP('Données projet'!$B$10,Paramètres!$A$1:$I$89,3,0)*VLOOKUP('Données projet'!$B$10,Paramètres!$A$1:$I$89,5,0)</f>
        <v>-4.5224624045658861E-14</v>
      </c>
      <c r="AK113" s="14" t="e">
        <f t="shared" si="89"/>
        <v>#NUM!</v>
      </c>
      <c r="AL113" s="22" t="e">
        <f t="shared" si="58"/>
        <v>#NUM!</v>
      </c>
      <c r="AM113" s="60" t="e">
        <f t="shared" si="59"/>
        <v>#NUM!</v>
      </c>
      <c r="AN113" s="60">
        <f ca="1">AVERAGE(OFFSET($AM$3,0,0,'Données projet'!$E$10+1,1))-AVERAGE(OFFSET($H$3,0,0,'Données projet'!$E$10+1,1))</f>
        <v>394.49874384716014</v>
      </c>
      <c r="AO113" s="60">
        <f t="shared" si="90"/>
        <v>423.72519584013378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292.30769230769232</v>
      </c>
      <c r="BB113" s="13">
        <f>VLOOKUP(A113,'Données projet'!$A$87:$I$107,9,0)</f>
        <v>3.3974358974359005</v>
      </c>
      <c r="BC113" s="13">
        <f t="array" ref="BC113">INDEX(BB:BB,MIN(IF(ISNUMBER(BB113:BB309),ROW(BB113:BB309),"")))</f>
        <v>3.3974358974359005</v>
      </c>
      <c r="BD113" s="13">
        <f>IF('Données projet'!$A$88&gt;35,BD112+BC113-BL112,IF(A113&lt;'Données projet'!$A$88,$BA$205^A113,IF(A113='Données projet'!$A$88,'Données projet'!$B$88,BD112+BC113-BL112)))</f>
        <v>292.30769230769243</v>
      </c>
      <c r="BE113" s="14">
        <f>BD113*VLOOKUP('Données projet'!$B$11,Paramètres!$A$1:$I$89,3,0)*VLOOKUP('Données projet'!$B$11,Paramètres!$A$1:$I$89,5,0)</f>
        <v>278.16000000000014</v>
      </c>
      <c r="BF113" s="14">
        <f t="shared" si="91"/>
        <v>66.578014905913179</v>
      </c>
      <c r="BG113" s="22">
        <f t="shared" si="61"/>
        <v>600.41870929446566</v>
      </c>
      <c r="BH113" s="60">
        <f t="shared" si="62"/>
        <v>880.38009824931146</v>
      </c>
      <c r="BI113" s="60">
        <f ca="1">AVERAGE(OFFSET($BH$3,0,0,'Données projet'!$E$11+1,1))-AVERAGE(OFFSET($H$3,0,0,'Données projet'!$E$11+1,1))</f>
        <v>441.15969139782891</v>
      </c>
      <c r="BJ113" s="60">
        <f t="shared" si="92"/>
        <v>315.06466790224783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37.820512820512818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1.1368683772161603E-13</v>
      </c>
      <c r="BZ113" s="14">
        <f>BY113*VLOOKUP('Données projet'!$B$12,Paramètres!$A$1:$I$89,3,0)*VLOOKUP('Données projet'!$B$12,Paramètres!$A$1:$I$89,5,0)</f>
        <v>8.8675733422860506E-14</v>
      </c>
      <c r="CA113" s="14">
        <f t="shared" si="93"/>
        <v>1.3509285393066301E-12</v>
      </c>
      <c r="CB113" s="22">
        <f t="shared" si="64"/>
        <v>2.5073107750038623E-12</v>
      </c>
      <c r="CC113" s="60">
        <f t="shared" si="65"/>
        <v>279.96138895484836</v>
      </c>
      <c r="CD113" s="60">
        <f ca="1">AVERAGE(OFFSET($CC$3,0,0,'Données projet'!$E$12+1,1))-AVERAGE(OFFSET($H$3,0,0,'Données projet'!$E$12+1,1))</f>
        <v>312.59632808777332</v>
      </c>
      <c r="CE113" s="60">
        <f t="shared" si="94"/>
        <v>302.59481222418219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413</v>
      </c>
      <c r="CR113" s="13">
        <f>VLOOKUP(A113,'Données projet'!$A$139:$I$159,9,0)</f>
        <v>5.2</v>
      </c>
      <c r="CS113" s="13">
        <f t="array" ref="CS113">INDEX(CR:CR,MIN(IF(ISNUMBER(CR113:CR309),ROW(CR113:CR309),"")))</f>
        <v>5.2</v>
      </c>
      <c r="CT113" s="13">
        <f>IF('Données projet'!$A$140&gt;35,CT112+CS113-DB112,IF(A113&lt;'Données projet'!$A$140,$CQ$205^A113,IF(A113='Données projet'!$A$140,'Données projet'!$B$140,CT112+CS113-DB112)))</f>
        <v>412.99999999999989</v>
      </c>
      <c r="CU113" s="18">
        <f>CT113*VLOOKUP('Données projet'!$B$13,Paramètres!$A$1:$I$89,3,0)*VLOOKUP('Données projet'!$B$13,Paramètres!$A$1:$I$89,5,0)</f>
        <v>399.45359999999994</v>
      </c>
      <c r="CV113" s="14">
        <f t="shared" si="95"/>
        <v>91.665882195424544</v>
      </c>
      <c r="CW113" s="22">
        <f t="shared" si="67"/>
        <v>855.36643149036433</v>
      </c>
      <c r="CX113" s="60">
        <f t="shared" si="68"/>
        <v>1135.3278204452101</v>
      </c>
      <c r="CY113" s="60">
        <f ca="1">AVERAGE(OFFSET($CX$3,0,0,'Données projet'!$E$13+1,1))-AVERAGE(OFFSET($H$3,0,0,'Données projet'!$E$13+1,1))</f>
        <v>603.52431522262032</v>
      </c>
      <c r="CZ113" s="60">
        <f t="shared" si="96"/>
        <v>313.56299786481338</v>
      </c>
      <c r="DA113" s="16">
        <f>IF(ISNA(VLOOKUP(A113,'Données projet'!$A$139:$I$159,3,0)),0,VLOOKUP(A113,'Données projet'!$A$139:$I$159,3,0))</f>
        <v>8</v>
      </c>
      <c r="DB113" s="16">
        <f>IF(ISNA(VLOOKUP(A113,'Données projet'!$A$139:$I$159,4,0)),0,VLOOKUP(A113,'Données projet'!$A$139:$I$159,4,0))</f>
        <v>106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413</v>
      </c>
      <c r="DM113" s="13">
        <f>VLOOKUP(A113,'Données projet'!$A$165:$I$185,9,0)</f>
        <v>5.2</v>
      </c>
      <c r="DN113" s="13">
        <f t="array" ref="DN113">INDEX(DM:DM,MIN(IF(ISNUMBER(DM113:DM309),ROW(DM113:DM309),"")))</f>
        <v>5.2</v>
      </c>
      <c r="DO113" s="13">
        <f>IF('Données projet'!$A$166&gt;35,DO112+DN113-DW112,IF(A113&lt;'Données projet'!$A$166,$DL$205^A113,IF(A113='Données projet'!$A$166,'Données projet'!$B$166,DO112+DN113-DW112)))</f>
        <v>412.99999999999989</v>
      </c>
      <c r="DP113" s="18">
        <f>DO113*VLOOKUP('Données projet'!$B$14,Paramètres!$A$1:$I$89,3,0)*VLOOKUP('Données projet'!$B$14,Paramètres!$A$1:$I$89,5,0)</f>
        <v>444.55319999999989</v>
      </c>
      <c r="DQ113" s="14">
        <f t="shared" si="97"/>
        <v>100.75288301290118</v>
      </c>
      <c r="DR113" s="22">
        <f t="shared" si="70"/>
        <v>949.74142791413612</v>
      </c>
      <c r="DS113" s="60">
        <f t="shared" si="71"/>
        <v>1229.7028168689819</v>
      </c>
      <c r="DT113" s="60">
        <f ca="1">AVERAGE(OFFSET($DS$3,0,0,'Données projet'!$E$14+1,1))-AVERAGE(OFFSET($H$3,0,0,'Données projet'!$E$14+1,1))</f>
        <v>661.93515988633499</v>
      </c>
      <c r="DU113" s="60">
        <f t="shared" si="98"/>
        <v>341.9250949809848</v>
      </c>
      <c r="DV113" s="16">
        <f>IF(ISNA(VLOOKUP(A113,'Données projet'!$A$165:$I$185,3,0)),0,VLOOKUP(A113,'Données projet'!$A$165:$I$185,3,0))</f>
        <v>8</v>
      </c>
      <c r="DW113" s="16">
        <f>IF(ISNA(VLOOKUP(A113,'Données projet'!$A$165:$I$185,4,0)),0,VLOOKUP(A113,'Données projet'!$A$165:$I$185,4,0))</f>
        <v>106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366.66666666666663</v>
      </c>
      <c r="EH113" s="13">
        <f>VLOOKUP(A113,'Données projet'!$A$191:$I$211,9,0)</f>
        <v>3.6538461538461489</v>
      </c>
      <c r="EI113" s="13">
        <f t="array" ref="EI113">INDEX(EH:EH,MIN(IF(ISNUMBER(EH113:EH309),ROW(EH113:EH309),"")))</f>
        <v>3.6538461538461489</v>
      </c>
      <c r="EJ113" s="13">
        <f>IF('Données projet'!$A$192&gt;35,EJ112+EI113-ER112,IF(A113&lt;'Données projet'!$A$192,$EG$205^A113,IF(A113='Données projet'!$A$192,'Données projet'!$B$192,EJ112+EI113-ER112)))</f>
        <v>366.66666666666663</v>
      </c>
      <c r="EK113" s="18">
        <f>EJ113*VLOOKUP('Données projet'!$B$15,Paramètres!$A$1:$I$89,3,0)*VLOOKUP('Données projet'!$B$15,Paramètres!$A$1:$I$89,5,0)</f>
        <v>245.95999999999998</v>
      </c>
      <c r="EL113" s="14">
        <f t="shared" si="99"/>
        <v>59.7200170799197</v>
      </c>
      <c r="EM113" s="22">
        <f t="shared" si="73"/>
        <v>532.39269641419344</v>
      </c>
      <c r="EN113" s="60">
        <f t="shared" si="74"/>
        <v>812.35408536903924</v>
      </c>
      <c r="EO113" s="60">
        <f ca="1">AVERAGE(OFFSET($EN$3,0,0,'Données projet'!$E$15+1,1))-AVERAGE(OFFSET($H$3,0,0,'Données projet'!$E$15+1,1))</f>
        <v>396.0878652679051</v>
      </c>
      <c r="EP113" s="60">
        <f t="shared" si="100"/>
        <v>327.26339199235406</v>
      </c>
      <c r="EQ113" s="16">
        <f>IF(ISNA(VLOOKUP(A113,'Données projet'!$A$191:$I$211,3,0)),0,VLOOKUP(A113,'Données projet'!$A$191:$I$211,3,0))</f>
        <v>10</v>
      </c>
      <c r="ER113" s="16">
        <f>IF(ISNA(VLOOKUP(A113,'Données projet'!$A$191:$I$211,4,0)),0,VLOOKUP(A113,'Données projet'!$A$191:$I$211,4,0))</f>
        <v>366.66666666666663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-5.6843418860808015E-14</v>
      </c>
      <c r="FF113" s="18">
        <f>FE113*VLOOKUP('Données projet'!$B$16,Paramètres!$A$1:$I$89,3,0)*VLOOKUP('Données projet'!$B$16,Paramètres!$A$1:$I$89,5,0)</f>
        <v>-4.1677594708744434E-14</v>
      </c>
      <c r="FG113" s="14" t="e">
        <f t="shared" si="101"/>
        <v>#NUM!</v>
      </c>
      <c r="FH113" s="22" t="e">
        <f t="shared" si="76"/>
        <v>#NUM!</v>
      </c>
      <c r="FI113" s="60" t="e">
        <f t="shared" si="77"/>
        <v>#NUM!</v>
      </c>
      <c r="FJ113" s="60">
        <f ca="1">AVERAGE(OFFSET($FI$3,0,0,'Données projet'!$E$16+1,1))-AVERAGE(OFFSET($H$3,0,0,'Données projet'!$E$16+1,1))</f>
        <v>368.35775920359396</v>
      </c>
      <c r="FK113" s="60">
        <f t="shared" si="102"/>
        <v>395.5218438652638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7.2</v>
      </c>
      <c r="FZ113" s="13">
        <f>IF('Données projet'!$A$244&gt;35,FZ112+FY113-GH112,IF(A113&lt;'Données projet'!$A$244,$FW$205^A113,IF(A113='Données projet'!$A$244,'Données projet'!$B$244,FZ112+FY113-GH112)))</f>
        <v>491.99999999999977</v>
      </c>
      <c r="GA113" s="18">
        <f>FZ113*VLOOKUP('Données projet'!$B$17,Paramètres!$A$1:$I$89,3,0)*VLOOKUP('Données projet'!$B$17,Paramètres!$A$1:$I$89,5,0)</f>
        <v>422.13599999999985</v>
      </c>
      <c r="GB113" s="14">
        <f t="shared" si="103"/>
        <v>96.25023470818816</v>
      </c>
      <c r="GC113" s="22">
        <f t="shared" si="79"/>
        <v>902.85602545009397</v>
      </c>
      <c r="GD113" s="60">
        <f t="shared" si="80"/>
        <v>1182.8174144049399</v>
      </c>
      <c r="GE113" s="60">
        <f ca="1">AVERAGE(OFFSET($GD$3,0,0,'Données projet'!$E$17+1,1))-AVERAGE(OFFSET($H$3,0,0,'Données projet'!$E$17+1,1))</f>
        <v>701.44583662096022</v>
      </c>
      <c r="GF113" s="60">
        <f t="shared" si="104"/>
        <v>331.25104323342907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-1.1368683772161603E-13</v>
      </c>
      <c r="GV113" s="18">
        <f>GU113*VLOOKUP('Données projet'!$B$18,Paramètres!$A$1:$I$89,3,0)*VLOOKUP('Données projet'!$B$18,Paramètres!$A$1:$I$89,5,0)</f>
        <v>-9.2222762759774927E-14</v>
      </c>
      <c r="GW113" s="14" t="e">
        <f t="shared" si="105"/>
        <v>#NUM!</v>
      </c>
      <c r="GX113" s="22" t="e">
        <f t="shared" si="82"/>
        <v>#NUM!</v>
      </c>
      <c r="GY113" s="60" t="e">
        <f t="shared" si="83"/>
        <v>#NUM!</v>
      </c>
      <c r="GZ113" s="60">
        <f ca="1">AVERAGE(OFFSET($GY$3,0,0,'Données projet'!$E$18+1,1))-AVERAGE(OFFSET($H$3,0,0,'Données projet'!$E$18+1,1))</f>
        <v>272.69564942740931</v>
      </c>
      <c r="HA113" s="60">
        <f t="shared" si="106"/>
        <v>316.57989180609252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25">
      <c r="A114" s="11">
        <f t="shared" si="85"/>
        <v>111</v>
      </c>
      <c r="B114" s="75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8">
        <f t="shared" si="56"/>
        <v>183.33333333333334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</v>
      </c>
      <c r="N114" s="14">
        <f>IF('Données projet'!$A$36&gt;35,N113+M114-V113,IF(A114&lt;'Données projet'!$A$36,$K$205^A114,IF(A114='Données projet'!$A$36,'Données projet'!$B$36,N113+M114-V113)))</f>
        <v>311.49999999999989</v>
      </c>
      <c r="O114" s="14">
        <f>N114*VLOOKUP('Données projet'!$B$9,Paramètres!$A$1:$I$89,3,0)*VLOOKUP('Données projet'!$B$9,Paramètres!$A$1:$I$89,5,0)</f>
        <v>281.84519999999992</v>
      </c>
      <c r="P114" s="14">
        <f t="shared" si="87"/>
        <v>67.356803491560484</v>
      </c>
      <c r="Q114" s="22">
        <f t="shared" si="107"/>
        <v>608.19348941446765</v>
      </c>
      <c r="R114" s="60">
        <f t="shared" si="55"/>
        <v>888.38685170909116</v>
      </c>
      <c r="S114" s="60">
        <f ca="1">AVERAGE(OFFSET($R$3,0,0,'Données projet'!$E$9+1,1))-AVERAGE(OFFSET($H$3,0,0,'Données projet'!$E$9+1,1))</f>
        <v>570.08763950759544</v>
      </c>
      <c r="T114" s="60">
        <f t="shared" si="88"/>
        <v>297.32483725004136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-5.6843418860808015E-14</v>
      </c>
      <c r="AJ114" s="14">
        <f>AI114*VLOOKUP('Données projet'!$B$10,Paramètres!$A$1:$I$89,3,0)*VLOOKUP('Données projet'!$B$10,Paramètres!$A$1:$I$89,5,0)</f>
        <v>-4.5224624045658861E-14</v>
      </c>
      <c r="AK114" s="14" t="e">
        <f t="shared" si="89"/>
        <v>#NUM!</v>
      </c>
      <c r="AL114" s="22" t="e">
        <f t="shared" si="58"/>
        <v>#NUM!</v>
      </c>
      <c r="AM114" s="60" t="e">
        <f t="shared" si="59"/>
        <v>#NUM!</v>
      </c>
      <c r="AN114" s="60">
        <f ca="1">AVERAGE(OFFSET($AM$3,0,0,'Données projet'!$E$10+1,1))-AVERAGE(OFFSET($H$3,0,0,'Données projet'!$E$10+1,1))</f>
        <v>394.49874384716014</v>
      </c>
      <c r="AO114" s="60">
        <f t="shared" si="90"/>
        <v>423.72519584013378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3.141025641025641</v>
      </c>
      <c r="BD114" s="13">
        <f>IF('Données projet'!$A$88&gt;35,BD113+BC114-BL113,IF(A114&lt;'Données projet'!$A$88,$BA$205^A114,IF(A114='Données projet'!$A$88,'Données projet'!$B$88,BD113+BC114-BL113)))</f>
        <v>257.62820512820525</v>
      </c>
      <c r="BE114" s="14">
        <f>BD114*VLOOKUP('Données projet'!$B$11,Paramètres!$A$1:$I$89,3,0)*VLOOKUP('Données projet'!$B$11,Paramètres!$A$1:$I$89,5,0)</f>
        <v>245.15900000000013</v>
      </c>
      <c r="BF114" s="14">
        <f t="shared" si="91"/>
        <v>59.548136793550292</v>
      </c>
      <c r="BG114" s="22">
        <f t="shared" si="61"/>
        <v>530.69826324876692</v>
      </c>
      <c r="BH114" s="60">
        <f t="shared" si="62"/>
        <v>810.89162554339055</v>
      </c>
      <c r="BI114" s="60">
        <f ca="1">AVERAGE(OFFSET($BH$3,0,0,'Données projet'!$E$11+1,1))-AVERAGE(OFFSET($H$3,0,0,'Données projet'!$E$11+1,1))</f>
        <v>441.15969139782891</v>
      </c>
      <c r="BJ114" s="60">
        <f t="shared" si="92"/>
        <v>315.06466790224783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1.1368683772161603E-13</v>
      </c>
      <c r="BZ114" s="14">
        <f>BY114*VLOOKUP('Données projet'!$B$12,Paramètres!$A$1:$I$89,3,0)*VLOOKUP('Données projet'!$B$12,Paramètres!$A$1:$I$89,5,0)</f>
        <v>8.8675733422860506E-14</v>
      </c>
      <c r="CA114" s="14">
        <f t="shared" si="93"/>
        <v>1.3509285393066301E-12</v>
      </c>
      <c r="CB114" s="22">
        <f t="shared" si="64"/>
        <v>2.5073107750038623E-12</v>
      </c>
      <c r="CC114" s="60">
        <f t="shared" si="65"/>
        <v>280.19336229462607</v>
      </c>
      <c r="CD114" s="60">
        <f ca="1">AVERAGE(OFFSET($CC$3,0,0,'Données projet'!$E$12+1,1))-AVERAGE(OFFSET($H$3,0,0,'Données projet'!$E$12+1,1))</f>
        <v>312.59632808777332</v>
      </c>
      <c r="CE114" s="60">
        <f t="shared" si="94"/>
        <v>302.59481222418219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4.5</v>
      </c>
      <c r="CT114" s="13">
        <f>IF('Données projet'!$A$140&gt;35,CT113+CS114-DB113,IF(A114&lt;'Données projet'!$A$140,$CQ$205^A114,IF(A114='Données projet'!$A$140,'Données projet'!$B$140,CT113+CS114-DB113)))</f>
        <v>311.49999999999989</v>
      </c>
      <c r="CU114" s="18">
        <f>CT114*VLOOKUP('Données projet'!$B$13,Paramètres!$A$1:$I$89,3,0)*VLOOKUP('Données projet'!$B$13,Paramètres!$A$1:$I$89,5,0)</f>
        <v>301.2827999999999</v>
      </c>
      <c r="CV114" s="14">
        <f t="shared" si="95"/>
        <v>71.445320809508729</v>
      </c>
      <c r="CW114" s="22">
        <f t="shared" si="67"/>
        <v>649.16814374322746</v>
      </c>
      <c r="CX114" s="60">
        <f t="shared" si="68"/>
        <v>929.36150603785109</v>
      </c>
      <c r="CY114" s="60">
        <f ca="1">AVERAGE(OFFSET($CX$3,0,0,'Données projet'!$E$13+1,1))-AVERAGE(OFFSET($H$3,0,0,'Données projet'!$E$13+1,1))</f>
        <v>603.52431522262032</v>
      </c>
      <c r="CZ114" s="60">
        <f t="shared" si="96"/>
        <v>313.56299786481338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4.5</v>
      </c>
      <c r="DO114" s="13">
        <f>IF('Données projet'!$A$166&gt;35,DO113+DN114-DW113,IF(A114&lt;'Données projet'!$A$166,$DL$205^A114,IF(A114='Données projet'!$A$166,'Données projet'!$B$166,DO113+DN114-DW113)))</f>
        <v>311.49999999999989</v>
      </c>
      <c r="DP114" s="18">
        <f>DO114*VLOOKUP('Données projet'!$B$14,Paramètres!$A$1:$I$89,3,0)*VLOOKUP('Données projet'!$B$14,Paramètres!$A$1:$I$89,5,0)</f>
        <v>335.29859999999991</v>
      </c>
      <c r="DQ114" s="14">
        <f t="shared" si="97"/>
        <v>78.527821659899047</v>
      </c>
      <c r="DR114" s="22">
        <f t="shared" si="70"/>
        <v>720.74768439099068</v>
      </c>
      <c r="DS114" s="60">
        <f t="shared" si="71"/>
        <v>1000.9410466856143</v>
      </c>
      <c r="DT114" s="60">
        <f ca="1">AVERAGE(OFFSET($DS$3,0,0,'Données projet'!$E$14+1,1))-AVERAGE(OFFSET($H$3,0,0,'Données projet'!$E$14+1,1))</f>
        <v>661.93515988633499</v>
      </c>
      <c r="DU114" s="60">
        <f t="shared" si="98"/>
        <v>341.9250949809848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>
        <f>EJ114*VLOOKUP('Données projet'!$B$15,Paramètres!$A$1:$I$89,3,0)*VLOOKUP('Données projet'!$B$15,Paramètres!$A$1:$I$89,5,0)</f>
        <v>0</v>
      </c>
      <c r="EL114" s="14" t="e">
        <f t="shared" si="99"/>
        <v>#NUM!</v>
      </c>
      <c r="EM114" s="22" t="e">
        <f t="shared" si="73"/>
        <v>#NUM!</v>
      </c>
      <c r="EN114" s="60" t="e">
        <f t="shared" si="74"/>
        <v>#NUM!</v>
      </c>
      <c r="EO114" s="60">
        <f ca="1">AVERAGE(OFFSET($EN$3,0,0,'Données projet'!$E$15+1,1))-AVERAGE(OFFSET($H$3,0,0,'Données projet'!$E$15+1,1))</f>
        <v>396.0878652679051</v>
      </c>
      <c r="EP114" s="60">
        <f t="shared" si="100"/>
        <v>327.26339199235406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-5.6843418860808015E-14</v>
      </c>
      <c r="FF114" s="18">
        <f>FE114*VLOOKUP('Données projet'!$B$16,Paramètres!$A$1:$I$89,3,0)*VLOOKUP('Données projet'!$B$16,Paramètres!$A$1:$I$89,5,0)</f>
        <v>-4.1677594708744434E-14</v>
      </c>
      <c r="FG114" s="14" t="e">
        <f t="shared" si="101"/>
        <v>#NUM!</v>
      </c>
      <c r="FH114" s="22" t="e">
        <f t="shared" si="76"/>
        <v>#NUM!</v>
      </c>
      <c r="FI114" s="60" t="e">
        <f t="shared" si="77"/>
        <v>#NUM!</v>
      </c>
      <c r="FJ114" s="60">
        <f ca="1">AVERAGE(OFFSET($FI$3,0,0,'Données projet'!$E$16+1,1))-AVERAGE(OFFSET($H$3,0,0,'Données projet'!$E$16+1,1))</f>
        <v>368.35775920359396</v>
      </c>
      <c r="FK114" s="60">
        <f t="shared" si="102"/>
        <v>395.5218438652638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7.2</v>
      </c>
      <c r="FZ114" s="13">
        <f>IF('Données projet'!$A$244&gt;35,FZ113+FY114-GH113,IF(A114&lt;'Données projet'!$A$244,$FW$205^A114,IF(A114='Données projet'!$A$244,'Données projet'!$B$244,FZ113+FY114-GH113)))</f>
        <v>499.19999999999976</v>
      </c>
      <c r="GA114" s="18">
        <f>FZ114*VLOOKUP('Données projet'!$B$17,Paramètres!$A$1:$I$89,3,0)*VLOOKUP('Données projet'!$B$17,Paramètres!$A$1:$I$89,5,0)</f>
        <v>428.31359999999984</v>
      </c>
      <c r="GB114" s="14">
        <f t="shared" si="103"/>
        <v>97.493766375431449</v>
      </c>
      <c r="GC114" s="22">
        <f t="shared" si="79"/>
        <v>915.78116310387611</v>
      </c>
      <c r="GD114" s="60">
        <f t="shared" si="80"/>
        <v>1195.9745253984997</v>
      </c>
      <c r="GE114" s="60">
        <f ca="1">AVERAGE(OFFSET($GD$3,0,0,'Données projet'!$E$17+1,1))-AVERAGE(OFFSET($H$3,0,0,'Données projet'!$E$17+1,1))</f>
        <v>701.44583662096022</v>
      </c>
      <c r="GF114" s="60">
        <f t="shared" si="104"/>
        <v>331.25104323342907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-1.1368683772161603E-13</v>
      </c>
      <c r="GV114" s="18">
        <f>GU114*VLOOKUP('Données projet'!$B$18,Paramètres!$A$1:$I$89,3,0)*VLOOKUP('Données projet'!$B$18,Paramètres!$A$1:$I$89,5,0)</f>
        <v>-9.2222762759774927E-14</v>
      </c>
      <c r="GW114" s="14" t="e">
        <f t="shared" si="105"/>
        <v>#NUM!</v>
      </c>
      <c r="GX114" s="22" t="e">
        <f t="shared" si="82"/>
        <v>#NUM!</v>
      </c>
      <c r="GY114" s="60" t="e">
        <f t="shared" si="83"/>
        <v>#NUM!</v>
      </c>
      <c r="GZ114" s="60">
        <f ca="1">AVERAGE(OFFSET($GY$3,0,0,'Données projet'!$E$18+1,1))-AVERAGE(OFFSET($H$3,0,0,'Données projet'!$E$18+1,1))</f>
        <v>272.69564942740931</v>
      </c>
      <c r="HA114" s="60">
        <f t="shared" si="106"/>
        <v>316.57989180609252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25">
      <c r="A115" s="11">
        <f t="shared" si="85"/>
        <v>112</v>
      </c>
      <c r="B115" s="75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8">
        <f t="shared" si="56"/>
        <v>183.33333333333334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</v>
      </c>
      <c r="N115" s="14">
        <f>IF('Données projet'!$A$36&gt;35,N114+M115-V114,IF(A115&lt;'Données projet'!$A$36,$K$205^A115,IF(A115='Données projet'!$A$36,'Données projet'!$B$36,N114+M115-V114)))</f>
        <v>315.99999999999989</v>
      </c>
      <c r="O115" s="14">
        <f>N115*VLOOKUP('Données projet'!$B$9,Paramètres!$A$1:$I$89,3,0)*VLOOKUP('Données projet'!$B$9,Paramètres!$A$1:$I$89,5,0)</f>
        <v>285.91679999999985</v>
      </c>
      <c r="P115" s="14">
        <f t="shared" si="87"/>
        <v>68.215872977287475</v>
      </c>
      <c r="Q115" s="22">
        <f t="shared" si="107"/>
        <v>616.78107210210862</v>
      </c>
      <c r="R115" s="60">
        <f t="shared" si="55"/>
        <v>897.20238351767944</v>
      </c>
      <c r="S115" s="60">
        <f ca="1">AVERAGE(OFFSET($R$3,0,0,'Données projet'!$E$9+1,1))-AVERAGE(OFFSET($H$3,0,0,'Données projet'!$E$9+1,1))</f>
        <v>570.08763950759544</v>
      </c>
      <c r="T115" s="60">
        <f t="shared" si="88"/>
        <v>297.32483725004136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-5.6843418860808015E-14</v>
      </c>
      <c r="AJ115" s="14">
        <f>AI115*VLOOKUP('Données projet'!$B$10,Paramètres!$A$1:$I$89,3,0)*VLOOKUP('Données projet'!$B$10,Paramètres!$A$1:$I$89,5,0)</f>
        <v>-4.5224624045658861E-14</v>
      </c>
      <c r="AK115" s="14" t="e">
        <f t="shared" si="89"/>
        <v>#NUM!</v>
      </c>
      <c r="AL115" s="22" t="e">
        <f t="shared" si="58"/>
        <v>#NUM!</v>
      </c>
      <c r="AM115" s="60" t="e">
        <f t="shared" si="59"/>
        <v>#NUM!</v>
      </c>
      <c r="AN115" s="60">
        <f ca="1">AVERAGE(OFFSET($AM$3,0,0,'Données projet'!$E$10+1,1))-AVERAGE(OFFSET($H$3,0,0,'Données projet'!$E$10+1,1))</f>
        <v>394.49874384716014</v>
      </c>
      <c r="AO115" s="60">
        <f t="shared" si="90"/>
        <v>423.72519584013378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3.141025641025641</v>
      </c>
      <c r="BD115" s="13">
        <f>IF('Données projet'!$A$88&gt;35,BD114+BC115-BL114,IF(A115&lt;'Données projet'!$A$88,$BA$205^A115,IF(A115='Données projet'!$A$88,'Données projet'!$B$88,BD114+BC115-BL114)))</f>
        <v>260.76923076923089</v>
      </c>
      <c r="BE115" s="14">
        <f>BD115*VLOOKUP('Données projet'!$B$11,Paramètres!$A$1:$I$89,3,0)*VLOOKUP('Données projet'!$B$11,Paramètres!$A$1:$I$89,5,0)</f>
        <v>248.14800000000011</v>
      </c>
      <c r="BF115" s="14">
        <f t="shared" si="91"/>
        <v>60.189191470108021</v>
      </c>
      <c r="BG115" s="22">
        <f t="shared" si="61"/>
        <v>537.02060847710493</v>
      </c>
      <c r="BH115" s="60">
        <f t="shared" si="62"/>
        <v>817.44191989267574</v>
      </c>
      <c r="BI115" s="60">
        <f ca="1">AVERAGE(OFFSET($BH$3,0,0,'Données projet'!$E$11+1,1))-AVERAGE(OFFSET($H$3,0,0,'Données projet'!$E$11+1,1))</f>
        <v>441.15969139782891</v>
      </c>
      <c r="BJ115" s="60">
        <f t="shared" si="92"/>
        <v>315.06466790224783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1.1368683772161603E-13</v>
      </c>
      <c r="BZ115" s="14">
        <f>BY115*VLOOKUP('Données projet'!$B$12,Paramètres!$A$1:$I$89,3,0)*VLOOKUP('Données projet'!$B$12,Paramètres!$A$1:$I$89,5,0)</f>
        <v>8.8675733422860506E-14</v>
      </c>
      <c r="CA115" s="14">
        <f t="shared" si="93"/>
        <v>1.3509285393066301E-12</v>
      </c>
      <c r="CB115" s="22">
        <f t="shared" si="64"/>
        <v>2.5073107750038623E-12</v>
      </c>
      <c r="CC115" s="60">
        <f t="shared" si="65"/>
        <v>280.42131141557337</v>
      </c>
      <c r="CD115" s="60">
        <f ca="1">AVERAGE(OFFSET($CC$3,0,0,'Données projet'!$E$12+1,1))-AVERAGE(OFFSET($H$3,0,0,'Données projet'!$E$12+1,1))</f>
        <v>312.59632808777332</v>
      </c>
      <c r="CE115" s="60">
        <f t="shared" si="94"/>
        <v>302.59481222418219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4.5</v>
      </c>
      <c r="CT115" s="13">
        <f>IF('Données projet'!$A$140&gt;35,CT114+CS115-DB114,IF(A115&lt;'Données projet'!$A$140,$CQ$205^A115,IF(A115='Données projet'!$A$140,'Données projet'!$B$140,CT114+CS115-DB114)))</f>
        <v>315.99999999999989</v>
      </c>
      <c r="CU115" s="18">
        <f>CT115*VLOOKUP('Données projet'!$B$13,Paramètres!$A$1:$I$89,3,0)*VLOOKUP('Données projet'!$B$13,Paramètres!$A$1:$I$89,5,0)</f>
        <v>305.63519999999988</v>
      </c>
      <c r="CV115" s="14">
        <f t="shared" si="95"/>
        <v>72.356535294517812</v>
      </c>
      <c r="CW115" s="22">
        <f t="shared" si="67"/>
        <v>658.33560563795163</v>
      </c>
      <c r="CX115" s="60">
        <f t="shared" si="68"/>
        <v>938.75691705352256</v>
      </c>
      <c r="CY115" s="60">
        <f ca="1">AVERAGE(OFFSET($CX$3,0,0,'Données projet'!$E$13+1,1))-AVERAGE(OFFSET($H$3,0,0,'Données projet'!$E$13+1,1))</f>
        <v>603.52431522262032</v>
      </c>
      <c r="CZ115" s="60">
        <f t="shared" si="96"/>
        <v>313.56299786481338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4.5</v>
      </c>
      <c r="DO115" s="13">
        <f>IF('Données projet'!$A$166&gt;35,DO114+DN115-DW114,IF(A115&lt;'Données projet'!$A$166,$DL$205^A115,IF(A115='Données projet'!$A$166,'Données projet'!$B$166,DO114+DN115-DW114)))</f>
        <v>315.99999999999989</v>
      </c>
      <c r="DP115" s="18">
        <f>DO115*VLOOKUP('Données projet'!$B$14,Paramètres!$A$1:$I$89,3,0)*VLOOKUP('Données projet'!$B$14,Paramètres!$A$1:$I$89,5,0)</f>
        <v>340.14239999999984</v>
      </c>
      <c r="DQ115" s="14">
        <f t="shared" si="97"/>
        <v>79.52936644634498</v>
      </c>
      <c r="DR115" s="22">
        <f t="shared" si="70"/>
        <v>730.92832656071721</v>
      </c>
      <c r="DS115" s="60">
        <f t="shared" si="71"/>
        <v>1011.349637976288</v>
      </c>
      <c r="DT115" s="60">
        <f ca="1">AVERAGE(OFFSET($DS$3,0,0,'Données projet'!$E$14+1,1))-AVERAGE(OFFSET($H$3,0,0,'Données projet'!$E$14+1,1))</f>
        <v>661.93515988633499</v>
      </c>
      <c r="DU115" s="60">
        <f t="shared" si="98"/>
        <v>341.9250949809848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>
        <f>EJ115*VLOOKUP('Données projet'!$B$15,Paramètres!$A$1:$I$89,3,0)*VLOOKUP('Données projet'!$B$15,Paramètres!$A$1:$I$89,5,0)</f>
        <v>0</v>
      </c>
      <c r="EL115" s="14" t="e">
        <f t="shared" si="99"/>
        <v>#NUM!</v>
      </c>
      <c r="EM115" s="22" t="e">
        <f t="shared" si="73"/>
        <v>#NUM!</v>
      </c>
      <c r="EN115" s="60" t="e">
        <f t="shared" si="74"/>
        <v>#NUM!</v>
      </c>
      <c r="EO115" s="60">
        <f ca="1">AVERAGE(OFFSET($EN$3,0,0,'Données projet'!$E$15+1,1))-AVERAGE(OFFSET($H$3,0,0,'Données projet'!$E$15+1,1))</f>
        <v>396.0878652679051</v>
      </c>
      <c r="EP115" s="60">
        <f t="shared" si="100"/>
        <v>327.26339199235406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-5.6843418860808015E-14</v>
      </c>
      <c r="FF115" s="18">
        <f>FE115*VLOOKUP('Données projet'!$B$16,Paramètres!$A$1:$I$89,3,0)*VLOOKUP('Données projet'!$B$16,Paramètres!$A$1:$I$89,5,0)</f>
        <v>-4.1677594708744434E-14</v>
      </c>
      <c r="FG115" s="14" t="e">
        <f t="shared" si="101"/>
        <v>#NUM!</v>
      </c>
      <c r="FH115" s="22" t="e">
        <f t="shared" si="76"/>
        <v>#NUM!</v>
      </c>
      <c r="FI115" s="60" t="e">
        <f t="shared" si="77"/>
        <v>#NUM!</v>
      </c>
      <c r="FJ115" s="60">
        <f ca="1">AVERAGE(OFFSET($FI$3,0,0,'Données projet'!$E$16+1,1))-AVERAGE(OFFSET($H$3,0,0,'Données projet'!$E$16+1,1))</f>
        <v>368.35775920359396</v>
      </c>
      <c r="FK115" s="60">
        <f t="shared" si="102"/>
        <v>395.5218438652638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7.2</v>
      </c>
      <c r="FZ115" s="13">
        <f>IF('Données projet'!$A$244&gt;35,FZ114+FY115-GH114,IF(A115&lt;'Données projet'!$A$244,$FW$205^A115,IF(A115='Données projet'!$A$244,'Données projet'!$B$244,FZ114+FY115-GH114)))</f>
        <v>506.39999999999975</v>
      </c>
      <c r="GA115" s="18">
        <f>FZ115*VLOOKUP('Données projet'!$B$17,Paramètres!$A$1:$I$89,3,0)*VLOOKUP('Données projet'!$B$17,Paramètres!$A$1:$I$89,5,0)</f>
        <v>434.49119999999982</v>
      </c>
      <c r="GB115" s="14">
        <f t="shared" si="103"/>
        <v>98.735212019326795</v>
      </c>
      <c r="GC115" s="22">
        <f t="shared" si="79"/>
        <v>928.70266760032712</v>
      </c>
      <c r="GD115" s="60">
        <f t="shared" si="80"/>
        <v>1209.1239790158979</v>
      </c>
      <c r="GE115" s="60">
        <f ca="1">AVERAGE(OFFSET($GD$3,0,0,'Données projet'!$E$17+1,1))-AVERAGE(OFFSET($H$3,0,0,'Données projet'!$E$17+1,1))</f>
        <v>701.44583662096022</v>
      </c>
      <c r="GF115" s="60">
        <f t="shared" si="104"/>
        <v>331.25104323342907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-1.1368683772161603E-13</v>
      </c>
      <c r="GV115" s="18">
        <f>GU115*VLOOKUP('Données projet'!$B$18,Paramètres!$A$1:$I$89,3,0)*VLOOKUP('Données projet'!$B$18,Paramètres!$A$1:$I$89,5,0)</f>
        <v>-9.2222762759774927E-14</v>
      </c>
      <c r="GW115" s="14" t="e">
        <f t="shared" si="105"/>
        <v>#NUM!</v>
      </c>
      <c r="GX115" s="22" t="e">
        <f t="shared" si="82"/>
        <v>#NUM!</v>
      </c>
      <c r="GY115" s="60" t="e">
        <f t="shared" si="83"/>
        <v>#NUM!</v>
      </c>
      <c r="GZ115" s="60">
        <f ca="1">AVERAGE(OFFSET($GY$3,0,0,'Données projet'!$E$18+1,1))-AVERAGE(OFFSET($H$3,0,0,'Données projet'!$E$18+1,1))</f>
        <v>272.69564942740931</v>
      </c>
      <c r="HA115" s="60">
        <f t="shared" si="106"/>
        <v>316.57989180609252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25">
      <c r="A116" s="11">
        <f t="shared" si="85"/>
        <v>113</v>
      </c>
      <c r="B116" s="75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8">
        <f t="shared" si="56"/>
        <v>183.33333333333334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</v>
      </c>
      <c r="N116" s="14">
        <f>IF('Données projet'!$A$36&gt;35,N115+M116-V115,IF(A116&lt;'Données projet'!$A$36,$K$205^A116,IF(A116='Données projet'!$A$36,'Données projet'!$B$36,N115+M116-V115)))</f>
        <v>320.49999999999989</v>
      </c>
      <c r="O116" s="14">
        <f>N116*VLOOKUP('Données projet'!$B$9,Paramètres!$A$1:$I$89,3,0)*VLOOKUP('Données projet'!$B$9,Paramètres!$A$1:$I$89,5,0)</f>
        <v>289.9883999999999</v>
      </c>
      <c r="P116" s="14">
        <f t="shared" si="87"/>
        <v>69.073519602481525</v>
      </c>
      <c r="Q116" s="22">
        <f t="shared" si="107"/>
        <v>625.36617664098856</v>
      </c>
      <c r="R116" s="60">
        <f t="shared" si="55"/>
        <v>906.01148276987624</v>
      </c>
      <c r="S116" s="60">
        <f ca="1">AVERAGE(OFFSET($R$3,0,0,'Données projet'!$E$9+1,1))-AVERAGE(OFFSET($H$3,0,0,'Données projet'!$E$9+1,1))</f>
        <v>570.08763950759544</v>
      </c>
      <c r="T116" s="60">
        <f t="shared" si="88"/>
        <v>297.32483725004136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-5.6843418860808015E-14</v>
      </c>
      <c r="AJ116" s="14">
        <f>AI116*VLOOKUP('Données projet'!$B$10,Paramètres!$A$1:$I$89,3,0)*VLOOKUP('Données projet'!$B$10,Paramètres!$A$1:$I$89,5,0)</f>
        <v>-4.5224624045658861E-14</v>
      </c>
      <c r="AK116" s="14" t="e">
        <f t="shared" si="89"/>
        <v>#NUM!</v>
      </c>
      <c r="AL116" s="22" t="e">
        <f t="shared" si="58"/>
        <v>#NUM!</v>
      </c>
      <c r="AM116" s="60" t="e">
        <f t="shared" si="59"/>
        <v>#NUM!</v>
      </c>
      <c r="AN116" s="60">
        <f ca="1">AVERAGE(OFFSET($AM$3,0,0,'Données projet'!$E$10+1,1))-AVERAGE(OFFSET($H$3,0,0,'Données projet'!$E$10+1,1))</f>
        <v>394.49874384716014</v>
      </c>
      <c r="AO116" s="60">
        <f t="shared" si="90"/>
        <v>423.72519584013378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3.141025641025641</v>
      </c>
      <c r="BD116" s="13">
        <f>IF('Données projet'!$A$88&gt;35,BD115+BC116-BL115,IF(A116&lt;'Données projet'!$A$88,$BA$205^A116,IF(A116='Données projet'!$A$88,'Données projet'!$B$88,BD115+BC116-BL115)))</f>
        <v>263.91025641025652</v>
      </c>
      <c r="BE116" s="14">
        <f>BD116*VLOOKUP('Données projet'!$B$11,Paramètres!$A$1:$I$89,3,0)*VLOOKUP('Données projet'!$B$11,Paramètres!$A$1:$I$89,5,0)</f>
        <v>251.13700000000011</v>
      </c>
      <c r="BF116" s="14">
        <f t="shared" si="91"/>
        <v>60.82934795323235</v>
      </c>
      <c r="BG116" s="22">
        <f t="shared" si="61"/>
        <v>543.34138935187991</v>
      </c>
      <c r="BH116" s="60">
        <f t="shared" si="62"/>
        <v>823.98669548076759</v>
      </c>
      <c r="BI116" s="60">
        <f ca="1">AVERAGE(OFFSET($BH$3,0,0,'Données projet'!$E$11+1,1))-AVERAGE(OFFSET($H$3,0,0,'Données projet'!$E$11+1,1))</f>
        <v>441.15969139782891</v>
      </c>
      <c r="BJ116" s="60">
        <f t="shared" si="92"/>
        <v>315.06466790224783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1.1368683772161603E-13</v>
      </c>
      <c r="BZ116" s="14">
        <f>BY116*VLOOKUP('Données projet'!$B$12,Paramètres!$A$1:$I$89,3,0)*VLOOKUP('Données projet'!$B$12,Paramètres!$A$1:$I$89,5,0)</f>
        <v>8.8675733422860506E-14</v>
      </c>
      <c r="CA116" s="14">
        <f t="shared" si="93"/>
        <v>1.3509285393066301E-12</v>
      </c>
      <c r="CB116" s="22">
        <f t="shared" si="64"/>
        <v>2.5073107750038623E-12</v>
      </c>
      <c r="CC116" s="60">
        <f t="shared" si="65"/>
        <v>280.64530612889013</v>
      </c>
      <c r="CD116" s="60">
        <f ca="1">AVERAGE(OFFSET($CC$3,0,0,'Données projet'!$E$12+1,1))-AVERAGE(OFFSET($H$3,0,0,'Données projet'!$E$12+1,1))</f>
        <v>312.59632808777332</v>
      </c>
      <c r="CE116" s="60">
        <f t="shared" si="94"/>
        <v>302.59481222418219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4.5</v>
      </c>
      <c r="CT116" s="13">
        <f>IF('Données projet'!$A$140&gt;35,CT115+CS116-DB115,IF(A116&lt;'Données projet'!$A$140,$CQ$205^A116,IF(A116='Données projet'!$A$140,'Données projet'!$B$140,CT115+CS116-DB115)))</f>
        <v>320.49999999999989</v>
      </c>
      <c r="CU116" s="18">
        <f>CT116*VLOOKUP('Données projet'!$B$13,Paramètres!$A$1:$I$89,3,0)*VLOOKUP('Données projet'!$B$13,Paramètres!$A$1:$I$89,5,0)</f>
        <v>309.98759999999987</v>
      </c>
      <c r="CV116" s="14">
        <f t="shared" si="95"/>
        <v>73.266240552218449</v>
      </c>
      <c r="CW116" s="22">
        <f t="shared" si="67"/>
        <v>667.50043896178022</v>
      </c>
      <c r="CX116" s="60">
        <f t="shared" si="68"/>
        <v>948.14574509066779</v>
      </c>
      <c r="CY116" s="60">
        <f ca="1">AVERAGE(OFFSET($CX$3,0,0,'Données projet'!$E$13+1,1))-AVERAGE(OFFSET($H$3,0,0,'Données projet'!$E$13+1,1))</f>
        <v>603.52431522262032</v>
      </c>
      <c r="CZ116" s="60">
        <f t="shared" si="96"/>
        <v>313.56299786481338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4.5</v>
      </c>
      <c r="DO116" s="13">
        <f>IF('Données projet'!$A$166&gt;35,DO115+DN116-DW115,IF(A116&lt;'Données projet'!$A$166,$DL$205^A116,IF(A116='Données projet'!$A$166,'Données projet'!$B$166,DO115+DN116-DW115)))</f>
        <v>320.49999999999989</v>
      </c>
      <c r="DP116" s="18">
        <f>DO116*VLOOKUP('Données projet'!$B$14,Paramètres!$A$1:$I$89,3,0)*VLOOKUP('Données projet'!$B$14,Paramètres!$A$1:$I$89,5,0)</f>
        <v>344.98619999999983</v>
      </c>
      <c r="DQ116" s="14">
        <f t="shared" si="97"/>
        <v>80.529252393113296</v>
      </c>
      <c r="DR116" s="22">
        <f t="shared" si="70"/>
        <v>741.10607958467199</v>
      </c>
      <c r="DS116" s="60">
        <f t="shared" si="71"/>
        <v>1021.7513857135596</v>
      </c>
      <c r="DT116" s="60">
        <f ca="1">AVERAGE(OFFSET($DS$3,0,0,'Données projet'!$E$14+1,1))-AVERAGE(OFFSET($H$3,0,0,'Données projet'!$E$14+1,1))</f>
        <v>661.93515988633499</v>
      </c>
      <c r="DU116" s="60">
        <f t="shared" si="98"/>
        <v>341.9250949809848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>
        <f>EJ116*VLOOKUP('Données projet'!$B$15,Paramètres!$A$1:$I$89,3,0)*VLOOKUP('Données projet'!$B$15,Paramètres!$A$1:$I$89,5,0)</f>
        <v>0</v>
      </c>
      <c r="EL116" s="14" t="e">
        <f t="shared" si="99"/>
        <v>#NUM!</v>
      </c>
      <c r="EM116" s="22" t="e">
        <f t="shared" si="73"/>
        <v>#NUM!</v>
      </c>
      <c r="EN116" s="60" t="e">
        <f t="shared" si="74"/>
        <v>#NUM!</v>
      </c>
      <c r="EO116" s="60">
        <f ca="1">AVERAGE(OFFSET($EN$3,0,0,'Données projet'!$E$15+1,1))-AVERAGE(OFFSET($H$3,0,0,'Données projet'!$E$15+1,1))</f>
        <v>396.0878652679051</v>
      </c>
      <c r="EP116" s="60">
        <f t="shared" si="100"/>
        <v>327.26339199235406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-5.6843418860808015E-14</v>
      </c>
      <c r="FF116" s="18">
        <f>FE116*VLOOKUP('Données projet'!$B$16,Paramètres!$A$1:$I$89,3,0)*VLOOKUP('Données projet'!$B$16,Paramètres!$A$1:$I$89,5,0)</f>
        <v>-4.1677594708744434E-14</v>
      </c>
      <c r="FG116" s="14" t="e">
        <f t="shared" si="101"/>
        <v>#NUM!</v>
      </c>
      <c r="FH116" s="22" t="e">
        <f t="shared" si="76"/>
        <v>#NUM!</v>
      </c>
      <c r="FI116" s="60" t="e">
        <f t="shared" si="77"/>
        <v>#NUM!</v>
      </c>
      <c r="FJ116" s="60">
        <f ca="1">AVERAGE(OFFSET($FI$3,0,0,'Données projet'!$E$16+1,1))-AVERAGE(OFFSET($H$3,0,0,'Données projet'!$E$16+1,1))</f>
        <v>368.35775920359396</v>
      </c>
      <c r="FK116" s="60">
        <f t="shared" si="102"/>
        <v>395.5218438652638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7.2</v>
      </c>
      <c r="FZ116" s="13">
        <f>IF('Données projet'!$A$244&gt;35,FZ115+FY116-GH115,IF(A116&lt;'Données projet'!$A$244,$FW$205^A116,IF(A116='Données projet'!$A$244,'Données projet'!$B$244,FZ115+FY116-GH115)))</f>
        <v>513.5999999999998</v>
      </c>
      <c r="GA116" s="18">
        <f>FZ116*VLOOKUP('Données projet'!$B$17,Paramètres!$A$1:$I$89,3,0)*VLOOKUP('Données projet'!$B$17,Paramètres!$A$1:$I$89,5,0)</f>
        <v>440.66879999999986</v>
      </c>
      <c r="GB116" s="14">
        <f t="shared" si="103"/>
        <v>99.97460472615262</v>
      </c>
      <c r="GC116" s="22">
        <f t="shared" si="79"/>
        <v>941.62059656471547</v>
      </c>
      <c r="GD116" s="60">
        <f t="shared" si="80"/>
        <v>1222.265902693603</v>
      </c>
      <c r="GE116" s="60">
        <f ca="1">AVERAGE(OFFSET($GD$3,0,0,'Données projet'!$E$17+1,1))-AVERAGE(OFFSET($H$3,0,0,'Données projet'!$E$17+1,1))</f>
        <v>701.44583662096022</v>
      </c>
      <c r="GF116" s="60">
        <f t="shared" si="104"/>
        <v>331.25104323342907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-1.1368683772161603E-13</v>
      </c>
      <c r="GV116" s="18">
        <f>GU116*VLOOKUP('Données projet'!$B$18,Paramètres!$A$1:$I$89,3,0)*VLOOKUP('Données projet'!$B$18,Paramètres!$A$1:$I$89,5,0)</f>
        <v>-9.2222762759774927E-14</v>
      </c>
      <c r="GW116" s="14" t="e">
        <f t="shared" si="105"/>
        <v>#NUM!</v>
      </c>
      <c r="GX116" s="22" t="e">
        <f t="shared" si="82"/>
        <v>#NUM!</v>
      </c>
      <c r="GY116" s="60" t="e">
        <f t="shared" si="83"/>
        <v>#NUM!</v>
      </c>
      <c r="GZ116" s="60">
        <f ca="1">AVERAGE(OFFSET($GY$3,0,0,'Données projet'!$E$18+1,1))-AVERAGE(OFFSET($H$3,0,0,'Données projet'!$E$18+1,1))</f>
        <v>272.69564942740931</v>
      </c>
      <c r="HA116" s="60">
        <f t="shared" si="106"/>
        <v>316.57989180609252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25">
      <c r="A117" s="11">
        <f t="shared" si="85"/>
        <v>114</v>
      </c>
      <c r="B117" s="75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8">
        <f t="shared" si="56"/>
        <v>183.33333333333334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</v>
      </c>
      <c r="N117" s="14">
        <f>IF('Données projet'!$A$36&gt;35,N116+M117-V116,IF(A117&lt;'Données projet'!$A$36,$K$205^A117,IF(A117='Données projet'!$A$36,'Données projet'!$B$36,N116+M117-V116)))</f>
        <v>324.99999999999989</v>
      </c>
      <c r="O117" s="14">
        <f>N117*VLOOKUP('Données projet'!$B$9,Paramètres!$A$1:$I$89,3,0)*VLOOKUP('Données projet'!$B$9,Paramètres!$A$1:$I$89,5,0)</f>
        <v>294.05999999999989</v>
      </c>
      <c r="P117" s="14">
        <f t="shared" si="87"/>
        <v>69.929765653573313</v>
      </c>
      <c r="Q117" s="22">
        <f t="shared" si="107"/>
        <v>633.94884184663999</v>
      </c>
      <c r="R117" s="60">
        <f t="shared" si="55"/>
        <v>914.8142568813455</v>
      </c>
      <c r="S117" s="60">
        <f ca="1">AVERAGE(OFFSET($R$3,0,0,'Données projet'!$E$9+1,1))-AVERAGE(OFFSET($H$3,0,0,'Données projet'!$E$9+1,1))</f>
        <v>570.08763950759544</v>
      </c>
      <c r="T117" s="60">
        <f t="shared" si="88"/>
        <v>297.32483725004136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-5.6843418860808015E-14</v>
      </c>
      <c r="AJ117" s="14">
        <f>AI117*VLOOKUP('Données projet'!$B$10,Paramètres!$A$1:$I$89,3,0)*VLOOKUP('Données projet'!$B$10,Paramètres!$A$1:$I$89,5,0)</f>
        <v>-4.5224624045658861E-14</v>
      </c>
      <c r="AK117" s="14" t="e">
        <f t="shared" si="89"/>
        <v>#NUM!</v>
      </c>
      <c r="AL117" s="22" t="e">
        <f t="shared" si="58"/>
        <v>#NUM!</v>
      </c>
      <c r="AM117" s="60" t="e">
        <f t="shared" si="59"/>
        <v>#NUM!</v>
      </c>
      <c r="AN117" s="60">
        <f ca="1">AVERAGE(OFFSET($AM$3,0,0,'Données projet'!$E$10+1,1))-AVERAGE(OFFSET($H$3,0,0,'Données projet'!$E$10+1,1))</f>
        <v>394.49874384716014</v>
      </c>
      <c r="AO117" s="60">
        <f t="shared" si="90"/>
        <v>423.72519584013378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3.141025641025641</v>
      </c>
      <c r="BD117" s="13">
        <f>IF('Données projet'!$A$88&gt;35,BD116+BC117-BL116,IF(A117&lt;'Données projet'!$A$88,$BA$205^A117,IF(A117='Données projet'!$A$88,'Données projet'!$B$88,BD116+BC117-BL116)))</f>
        <v>267.05128205128216</v>
      </c>
      <c r="BE117" s="14">
        <f>BD117*VLOOKUP('Données projet'!$B$11,Paramètres!$A$1:$I$89,3,0)*VLOOKUP('Données projet'!$B$11,Paramètres!$A$1:$I$89,5,0)</f>
        <v>254.12600000000012</v>
      </c>
      <c r="BF117" s="14">
        <f t="shared" si="91"/>
        <v>61.46861816974539</v>
      </c>
      <c r="BG117" s="22">
        <f t="shared" si="61"/>
        <v>549.66062664564004</v>
      </c>
      <c r="BH117" s="60">
        <f t="shared" si="62"/>
        <v>830.52604168034554</v>
      </c>
      <c r="BI117" s="60">
        <f ca="1">AVERAGE(OFFSET($BH$3,0,0,'Données projet'!$E$11+1,1))-AVERAGE(OFFSET($H$3,0,0,'Données projet'!$E$11+1,1))</f>
        <v>441.15969139782891</v>
      </c>
      <c r="BJ117" s="60">
        <f t="shared" si="92"/>
        <v>315.06466790224783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1.1368683772161603E-13</v>
      </c>
      <c r="BZ117" s="14">
        <f>BY117*VLOOKUP('Données projet'!$B$12,Paramètres!$A$1:$I$89,3,0)*VLOOKUP('Données projet'!$B$12,Paramètres!$A$1:$I$89,5,0)</f>
        <v>8.8675733422860506E-14</v>
      </c>
      <c r="CA117" s="14">
        <f t="shared" si="93"/>
        <v>1.3509285393066301E-12</v>
      </c>
      <c r="CB117" s="22">
        <f t="shared" si="64"/>
        <v>2.5073107750038623E-12</v>
      </c>
      <c r="CC117" s="60">
        <f t="shared" si="65"/>
        <v>280.86541503470795</v>
      </c>
      <c r="CD117" s="60">
        <f ca="1">AVERAGE(OFFSET($CC$3,0,0,'Données projet'!$E$12+1,1))-AVERAGE(OFFSET($H$3,0,0,'Données projet'!$E$12+1,1))</f>
        <v>312.59632808777332</v>
      </c>
      <c r="CE117" s="60">
        <f t="shared" si="94"/>
        <v>302.59481222418219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4.5</v>
      </c>
      <c r="CT117" s="13">
        <f>IF('Données projet'!$A$140&gt;35,CT116+CS117-DB116,IF(A117&lt;'Données projet'!$A$140,$CQ$205^A117,IF(A117='Données projet'!$A$140,'Données projet'!$B$140,CT116+CS117-DB116)))</f>
        <v>324.99999999999989</v>
      </c>
      <c r="CU117" s="18">
        <f>CT117*VLOOKUP('Données projet'!$B$13,Paramètres!$A$1:$I$89,3,0)*VLOOKUP('Données projet'!$B$13,Paramètres!$A$1:$I$89,5,0)</f>
        <v>314.33999999999986</v>
      </c>
      <c r="CV117" s="14">
        <f t="shared" si="95"/>
        <v>74.174460221814215</v>
      </c>
      <c r="CW117" s="22">
        <f t="shared" si="67"/>
        <v>676.66268488632613</v>
      </c>
      <c r="CX117" s="60">
        <f t="shared" si="68"/>
        <v>957.52809992103153</v>
      </c>
      <c r="CY117" s="60">
        <f ca="1">AVERAGE(OFFSET($CX$3,0,0,'Données projet'!$E$13+1,1))-AVERAGE(OFFSET($H$3,0,0,'Données projet'!$E$13+1,1))</f>
        <v>603.52431522262032</v>
      </c>
      <c r="CZ117" s="60">
        <f t="shared" si="96"/>
        <v>313.56299786481338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4.5</v>
      </c>
      <c r="DO117" s="13">
        <f>IF('Données projet'!$A$166&gt;35,DO116+DN117-DW116,IF(A117&lt;'Données projet'!$A$166,$DL$205^A117,IF(A117='Données projet'!$A$166,'Données projet'!$B$166,DO116+DN117-DW116)))</f>
        <v>324.99999999999989</v>
      </c>
      <c r="DP117" s="18">
        <f>DO117*VLOOKUP('Données projet'!$B$14,Paramètres!$A$1:$I$89,3,0)*VLOOKUP('Données projet'!$B$14,Paramètres!$A$1:$I$89,5,0)</f>
        <v>349.82999999999987</v>
      </c>
      <c r="DQ117" s="14">
        <f t="shared" si="97"/>
        <v>81.527505482803917</v>
      </c>
      <c r="DR117" s="22">
        <f t="shared" si="70"/>
        <v>751.28098871588327</v>
      </c>
      <c r="DS117" s="60">
        <f t="shared" si="71"/>
        <v>1032.1464037505887</v>
      </c>
      <c r="DT117" s="60">
        <f ca="1">AVERAGE(OFFSET($DS$3,0,0,'Données projet'!$E$14+1,1))-AVERAGE(OFFSET($H$3,0,0,'Données projet'!$E$14+1,1))</f>
        <v>661.93515988633499</v>
      </c>
      <c r="DU117" s="60">
        <f t="shared" si="98"/>
        <v>341.9250949809848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>
        <f>EJ117*VLOOKUP('Données projet'!$B$15,Paramètres!$A$1:$I$89,3,0)*VLOOKUP('Données projet'!$B$15,Paramètres!$A$1:$I$89,5,0)</f>
        <v>0</v>
      </c>
      <c r="EL117" s="14" t="e">
        <f t="shared" si="99"/>
        <v>#NUM!</v>
      </c>
      <c r="EM117" s="22" t="e">
        <f t="shared" si="73"/>
        <v>#NUM!</v>
      </c>
      <c r="EN117" s="60" t="e">
        <f t="shared" si="74"/>
        <v>#NUM!</v>
      </c>
      <c r="EO117" s="60">
        <f ca="1">AVERAGE(OFFSET($EN$3,0,0,'Données projet'!$E$15+1,1))-AVERAGE(OFFSET($H$3,0,0,'Données projet'!$E$15+1,1))</f>
        <v>396.0878652679051</v>
      </c>
      <c r="EP117" s="60">
        <f t="shared" si="100"/>
        <v>327.26339199235406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-5.6843418860808015E-14</v>
      </c>
      <c r="FF117" s="18">
        <f>FE117*VLOOKUP('Données projet'!$B$16,Paramètres!$A$1:$I$89,3,0)*VLOOKUP('Données projet'!$B$16,Paramètres!$A$1:$I$89,5,0)</f>
        <v>-4.1677594708744434E-14</v>
      </c>
      <c r="FG117" s="14" t="e">
        <f t="shared" si="101"/>
        <v>#NUM!</v>
      </c>
      <c r="FH117" s="22" t="e">
        <f t="shared" si="76"/>
        <v>#NUM!</v>
      </c>
      <c r="FI117" s="60" t="e">
        <f t="shared" si="77"/>
        <v>#NUM!</v>
      </c>
      <c r="FJ117" s="60">
        <f ca="1">AVERAGE(OFFSET($FI$3,0,0,'Données projet'!$E$16+1,1))-AVERAGE(OFFSET($H$3,0,0,'Données projet'!$E$16+1,1))</f>
        <v>368.35775920359396</v>
      </c>
      <c r="FK117" s="60">
        <f t="shared" si="102"/>
        <v>395.5218438652638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7.2</v>
      </c>
      <c r="FZ117" s="13">
        <f>IF('Données projet'!$A$244&gt;35,FZ116+FY117-GH116,IF(A117&lt;'Données projet'!$A$244,$FW$205^A117,IF(A117='Données projet'!$A$244,'Données projet'!$B$244,FZ116+FY117-GH116)))</f>
        <v>520.79999999999984</v>
      </c>
      <c r="GA117" s="18">
        <f>FZ117*VLOOKUP('Données projet'!$B$17,Paramètres!$A$1:$I$89,3,0)*VLOOKUP('Données projet'!$B$17,Paramètres!$A$1:$I$89,5,0)</f>
        <v>446.8463999999999</v>
      </c>
      <c r="GB117" s="14">
        <f t="shared" si="103"/>
        <v>101.21197660125036</v>
      </c>
      <c r="GC117" s="22">
        <f t="shared" si="79"/>
        <v>954.5350059138442</v>
      </c>
      <c r="GD117" s="60">
        <f t="shared" si="80"/>
        <v>1235.4004209485497</v>
      </c>
      <c r="GE117" s="60">
        <f ca="1">AVERAGE(OFFSET($GD$3,0,0,'Données projet'!$E$17+1,1))-AVERAGE(OFFSET($H$3,0,0,'Données projet'!$E$17+1,1))</f>
        <v>701.44583662096022</v>
      </c>
      <c r="GF117" s="60">
        <f t="shared" si="104"/>
        <v>331.25104323342907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-1.1368683772161603E-13</v>
      </c>
      <c r="GV117" s="18">
        <f>GU117*VLOOKUP('Données projet'!$B$18,Paramètres!$A$1:$I$89,3,0)*VLOOKUP('Données projet'!$B$18,Paramètres!$A$1:$I$89,5,0)</f>
        <v>-9.2222762759774927E-14</v>
      </c>
      <c r="GW117" s="14" t="e">
        <f t="shared" si="105"/>
        <v>#NUM!</v>
      </c>
      <c r="GX117" s="22" t="e">
        <f t="shared" si="82"/>
        <v>#NUM!</v>
      </c>
      <c r="GY117" s="60" t="e">
        <f t="shared" si="83"/>
        <v>#NUM!</v>
      </c>
      <c r="GZ117" s="60">
        <f ca="1">AVERAGE(OFFSET($GY$3,0,0,'Données projet'!$E$18+1,1))-AVERAGE(OFFSET($H$3,0,0,'Données projet'!$E$18+1,1))</f>
        <v>272.69564942740931</v>
      </c>
      <c r="HA117" s="60">
        <f t="shared" si="106"/>
        <v>316.57989180609252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25">
      <c r="A118" s="11">
        <f t="shared" si="85"/>
        <v>115</v>
      </c>
      <c r="B118" s="75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8">
        <f t="shared" si="56"/>
        <v>183.33333333333334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4.5</v>
      </c>
      <c r="N118" s="14">
        <f>IF('Données projet'!$A$36&gt;35,N117+M118-V117,IF(A118&lt;'Données projet'!$A$36,$K$205^A118,IF(A118='Données projet'!$A$36,'Données projet'!$B$36,N117+M118-V117)))</f>
        <v>329.49999999999989</v>
      </c>
      <c r="O118" s="14">
        <f>N118*VLOOKUP('Données projet'!$B$9,Paramètres!$A$1:$I$89,3,0)*VLOOKUP('Données projet'!$B$9,Paramètres!$A$1:$I$89,5,0)</f>
        <v>298.13159999999988</v>
      </c>
      <c r="P118" s="14">
        <f t="shared" si="87"/>
        <v>70.784632764376028</v>
      </c>
      <c r="Q118" s="22">
        <f t="shared" si="107"/>
        <v>642.52910539795459</v>
      </c>
      <c r="R118" s="60">
        <f t="shared" si="55"/>
        <v>923.6108109410518</v>
      </c>
      <c r="S118" s="60">
        <f ca="1">AVERAGE(OFFSET($R$3,0,0,'Données projet'!$E$9+1,1))-AVERAGE(OFFSET($H$3,0,0,'Données projet'!$E$9+1,1))</f>
        <v>570.08763950759544</v>
      </c>
      <c r="T118" s="60">
        <f t="shared" si="88"/>
        <v>297.32483725004136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-5.6843418860808015E-14</v>
      </c>
      <c r="AJ118" s="14">
        <f>AI118*VLOOKUP('Données projet'!$B$10,Paramètres!$A$1:$I$89,3,0)*VLOOKUP('Données projet'!$B$10,Paramètres!$A$1:$I$89,5,0)</f>
        <v>-4.5224624045658861E-14</v>
      </c>
      <c r="AK118" s="14" t="e">
        <f t="shared" si="89"/>
        <v>#NUM!</v>
      </c>
      <c r="AL118" s="22" t="e">
        <f t="shared" si="58"/>
        <v>#NUM!</v>
      </c>
      <c r="AM118" s="60" t="e">
        <f t="shared" si="59"/>
        <v>#NUM!</v>
      </c>
      <c r="AN118" s="60">
        <f ca="1">AVERAGE(OFFSET($AM$3,0,0,'Données projet'!$E$10+1,1))-AVERAGE(OFFSET($H$3,0,0,'Données projet'!$E$10+1,1))</f>
        <v>394.49874384716014</v>
      </c>
      <c r="AO118" s="60">
        <f t="shared" si="90"/>
        <v>423.72519584013378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3.141025641025641</v>
      </c>
      <c r="BD118" s="13">
        <f>IF('Données projet'!$A$88&gt;35,BD117+BC118-BL117,IF(A118&lt;'Données projet'!$A$88,$BA$205^A118,IF(A118='Données projet'!$A$88,'Données projet'!$B$88,BD117+BC118-BL117)))</f>
        <v>270.19230769230779</v>
      </c>
      <c r="BE118" s="14">
        <f>BD118*VLOOKUP('Données projet'!$B$11,Paramètres!$A$1:$I$89,3,0)*VLOOKUP('Données projet'!$B$11,Paramètres!$A$1:$I$89,5,0)</f>
        <v>257.11500000000007</v>
      </c>
      <c r="BF118" s="14">
        <f t="shared" si="91"/>
        <v>62.107013749759211</v>
      </c>
      <c r="BG118" s="22">
        <f t="shared" si="61"/>
        <v>555.97834061416404</v>
      </c>
      <c r="BH118" s="60">
        <f t="shared" si="62"/>
        <v>837.06004615726124</v>
      </c>
      <c r="BI118" s="60">
        <f ca="1">AVERAGE(OFFSET($BH$3,0,0,'Données projet'!$E$11+1,1))-AVERAGE(OFFSET($H$3,0,0,'Données projet'!$E$11+1,1))</f>
        <v>441.15969139782891</v>
      </c>
      <c r="BJ118" s="60">
        <f t="shared" si="92"/>
        <v>315.06466790224783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1.1368683772161603E-13</v>
      </c>
      <c r="BZ118" s="14">
        <f>BY118*VLOOKUP('Données projet'!$B$12,Paramètres!$A$1:$I$89,3,0)*VLOOKUP('Données projet'!$B$12,Paramètres!$A$1:$I$89,5,0)</f>
        <v>8.8675733422860506E-14</v>
      </c>
      <c r="CA118" s="14">
        <f t="shared" si="93"/>
        <v>1.3509285393066301E-12</v>
      </c>
      <c r="CB118" s="22">
        <f t="shared" si="64"/>
        <v>2.5073107750038623E-12</v>
      </c>
      <c r="CC118" s="60">
        <f t="shared" si="65"/>
        <v>281.08170554309976</v>
      </c>
      <c r="CD118" s="60">
        <f ca="1">AVERAGE(OFFSET($CC$3,0,0,'Données projet'!$E$12+1,1))-AVERAGE(OFFSET($H$3,0,0,'Données projet'!$E$12+1,1))</f>
        <v>312.59632808777332</v>
      </c>
      <c r="CE118" s="60">
        <f t="shared" si="94"/>
        <v>302.59481222418219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4.5</v>
      </c>
      <c r="CT118" s="13">
        <f>IF('Données projet'!$A$140&gt;35,CT117+CS118-DB117,IF(A118&lt;'Données projet'!$A$140,$CQ$205^A118,IF(A118='Données projet'!$A$140,'Données projet'!$B$140,CT117+CS118-DB117)))</f>
        <v>329.49999999999989</v>
      </c>
      <c r="CU118" s="18">
        <f>CT118*VLOOKUP('Données projet'!$B$13,Paramètres!$A$1:$I$89,3,0)*VLOOKUP('Données projet'!$B$13,Paramètres!$A$1:$I$89,5,0)</f>
        <v>318.69239999999991</v>
      </c>
      <c r="CV118" s="14">
        <f t="shared" si="95"/>
        <v>75.081217250277518</v>
      </c>
      <c r="CW118" s="22">
        <f t="shared" si="67"/>
        <v>685.82238337756644</v>
      </c>
      <c r="CX118" s="60">
        <f t="shared" si="68"/>
        <v>966.90408892066375</v>
      </c>
      <c r="CY118" s="60">
        <f ca="1">AVERAGE(OFFSET($CX$3,0,0,'Données projet'!$E$13+1,1))-AVERAGE(OFFSET($H$3,0,0,'Données projet'!$E$13+1,1))</f>
        <v>603.52431522262032</v>
      </c>
      <c r="CZ118" s="60">
        <f t="shared" si="96"/>
        <v>313.56299786481338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4.5</v>
      </c>
      <c r="DO118" s="13">
        <f>IF('Données projet'!$A$166&gt;35,DO117+DN118-DW117,IF(A118&lt;'Données projet'!$A$166,$DL$205^A118,IF(A118='Données projet'!$A$166,'Données projet'!$B$166,DO117+DN118-DW117)))</f>
        <v>329.49999999999989</v>
      </c>
      <c r="DP118" s="18">
        <f>DO118*VLOOKUP('Données projet'!$B$14,Paramètres!$A$1:$I$89,3,0)*VLOOKUP('Données projet'!$B$14,Paramètres!$A$1:$I$89,5,0)</f>
        <v>354.67379999999986</v>
      </c>
      <c r="DQ118" s="14">
        <f t="shared" si="97"/>
        <v>82.524150937163029</v>
      </c>
      <c r="DR118" s="22">
        <f t="shared" si="70"/>
        <v>761.45309788222528</v>
      </c>
      <c r="DS118" s="60">
        <f t="shared" si="71"/>
        <v>1042.5348034253225</v>
      </c>
      <c r="DT118" s="60">
        <f ca="1">AVERAGE(OFFSET($DS$3,0,0,'Données projet'!$E$14+1,1))-AVERAGE(OFFSET($H$3,0,0,'Données projet'!$E$14+1,1))</f>
        <v>661.93515988633499</v>
      </c>
      <c r="DU118" s="60">
        <f t="shared" si="98"/>
        <v>341.9250949809848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>
        <f>EJ118*VLOOKUP('Données projet'!$B$15,Paramètres!$A$1:$I$89,3,0)*VLOOKUP('Données projet'!$B$15,Paramètres!$A$1:$I$89,5,0)</f>
        <v>0</v>
      </c>
      <c r="EL118" s="14" t="e">
        <f t="shared" si="99"/>
        <v>#NUM!</v>
      </c>
      <c r="EM118" s="22" t="e">
        <f t="shared" si="73"/>
        <v>#NUM!</v>
      </c>
      <c r="EN118" s="60" t="e">
        <f t="shared" si="74"/>
        <v>#NUM!</v>
      </c>
      <c r="EO118" s="60">
        <f ca="1">AVERAGE(OFFSET($EN$3,0,0,'Données projet'!$E$15+1,1))-AVERAGE(OFFSET($H$3,0,0,'Données projet'!$E$15+1,1))</f>
        <v>396.0878652679051</v>
      </c>
      <c r="EP118" s="60">
        <f t="shared" si="100"/>
        <v>327.26339199235406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-5.6843418860808015E-14</v>
      </c>
      <c r="FF118" s="18">
        <f>FE118*VLOOKUP('Données projet'!$B$16,Paramètres!$A$1:$I$89,3,0)*VLOOKUP('Données projet'!$B$16,Paramètres!$A$1:$I$89,5,0)</f>
        <v>-4.1677594708744434E-14</v>
      </c>
      <c r="FG118" s="14" t="e">
        <f t="shared" si="101"/>
        <v>#NUM!</v>
      </c>
      <c r="FH118" s="22" t="e">
        <f t="shared" si="76"/>
        <v>#NUM!</v>
      </c>
      <c r="FI118" s="60" t="e">
        <f t="shared" si="77"/>
        <v>#NUM!</v>
      </c>
      <c r="FJ118" s="60">
        <f ca="1">AVERAGE(OFFSET($FI$3,0,0,'Données projet'!$E$16+1,1))-AVERAGE(OFFSET($H$3,0,0,'Données projet'!$E$16+1,1))</f>
        <v>368.35775920359396</v>
      </c>
      <c r="FK118" s="60">
        <f t="shared" si="102"/>
        <v>395.5218438652638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>
        <f>VLOOKUP(A118,'Données projet'!$A$243:$I$263,2,0)</f>
        <v>528</v>
      </c>
      <c r="FX118" s="13">
        <f>VLOOKUP(A118,'Données projet'!$A$243:$I$263,9,0)</f>
        <v>7.2</v>
      </c>
      <c r="FY118" s="13">
        <f t="array" ref="FY118">INDEX(FX:FX,MIN(IF(ISNUMBER(FX118:FX314),ROW(FX118:FX314),"")))</f>
        <v>7.2</v>
      </c>
      <c r="FZ118" s="13">
        <f>IF('Données projet'!$A$244&gt;35,FZ117+FY118-GH117,IF(A118&lt;'Données projet'!$A$244,$FW$205^A118,IF(A118='Données projet'!$A$244,'Données projet'!$B$244,FZ117+FY118-GH117)))</f>
        <v>527.99999999999989</v>
      </c>
      <c r="GA118" s="18">
        <f>FZ118*VLOOKUP('Données projet'!$B$17,Paramètres!$A$1:$I$89,3,0)*VLOOKUP('Données projet'!$B$17,Paramètres!$A$1:$I$89,5,0)</f>
        <v>453.024</v>
      </c>
      <c r="GB118" s="14">
        <f t="shared" si="103"/>
        <v>102.44735881125743</v>
      </c>
      <c r="GC118" s="22">
        <f t="shared" si="79"/>
        <v>967.44594992960674</v>
      </c>
      <c r="GD118" s="60">
        <f t="shared" si="80"/>
        <v>1248.5276554727041</v>
      </c>
      <c r="GE118" s="60">
        <f ca="1">AVERAGE(OFFSET($GD$3,0,0,'Données projet'!$E$17+1,1))-AVERAGE(OFFSET($H$3,0,0,'Données projet'!$E$17+1,1))</f>
        <v>701.44583662096022</v>
      </c>
      <c r="GF118" s="60">
        <f t="shared" si="104"/>
        <v>331.25104323342907</v>
      </c>
      <c r="GG118" s="16">
        <f>IF(ISNA(VLOOKUP(A118,'Données projet'!$A$243:$I$263,3,0)),0,VLOOKUP(A118,'Données projet'!$A$243:$I$263,3,0))</f>
        <v>10</v>
      </c>
      <c r="GH118" s="16">
        <f>IF(ISNA(VLOOKUP(A118,'Données projet'!$A$243:$I$263,4,0)),0,VLOOKUP(A118,'Données projet'!$A$243:$I$263,4,0))</f>
        <v>53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-1.1368683772161603E-13</v>
      </c>
      <c r="GV118" s="18">
        <f>GU118*VLOOKUP('Données projet'!$B$18,Paramètres!$A$1:$I$89,3,0)*VLOOKUP('Données projet'!$B$18,Paramètres!$A$1:$I$89,5,0)</f>
        <v>-9.2222762759774927E-14</v>
      </c>
      <c r="GW118" s="14" t="e">
        <f t="shared" si="105"/>
        <v>#NUM!</v>
      </c>
      <c r="GX118" s="22" t="e">
        <f t="shared" si="82"/>
        <v>#NUM!</v>
      </c>
      <c r="GY118" s="60" t="e">
        <f t="shared" si="83"/>
        <v>#NUM!</v>
      </c>
      <c r="GZ118" s="60">
        <f ca="1">AVERAGE(OFFSET($GY$3,0,0,'Données projet'!$E$18+1,1))-AVERAGE(OFFSET($H$3,0,0,'Données projet'!$E$18+1,1))</f>
        <v>272.69564942740931</v>
      </c>
      <c r="HA118" s="60">
        <f t="shared" si="106"/>
        <v>316.57989180609252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25">
      <c r="A119" s="11">
        <f t="shared" si="85"/>
        <v>116</v>
      </c>
      <c r="B119" s="75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8">
        <f t="shared" si="56"/>
        <v>183.33333333333334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4.5</v>
      </c>
      <c r="N119" s="14">
        <f>IF('Données projet'!$A$36&gt;35,N118+M119-V118,IF(A119&lt;'Données projet'!$A$36,$K$205^A119,IF(A119='Données projet'!$A$36,'Données projet'!$B$36,N118+M119-V118)))</f>
        <v>333.99999999999989</v>
      </c>
      <c r="O119" s="14">
        <f>N119*VLOOKUP('Données projet'!$B$9,Paramètres!$A$1:$I$89,3,0)*VLOOKUP('Données projet'!$B$9,Paramètres!$A$1:$I$89,5,0)</f>
        <v>302.20319999999987</v>
      </c>
      <c r="P119" s="14">
        <f t="shared" si="87"/>
        <v>71.638141943842228</v>
      </c>
      <c r="Q119" s="22">
        <f t="shared" si="107"/>
        <v>651.10700388552493</v>
      </c>
      <c r="R119" s="60">
        <f t="shared" si="55"/>
        <v>932.40124778024642</v>
      </c>
      <c r="S119" s="60">
        <f ca="1">AVERAGE(OFFSET($R$3,0,0,'Données projet'!$E$9+1,1))-AVERAGE(OFFSET($H$3,0,0,'Données projet'!$E$9+1,1))</f>
        <v>570.08763950759544</v>
      </c>
      <c r="T119" s="60">
        <f t="shared" si="88"/>
        <v>297.32483725004136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-4.5224624045658861E-14</v>
      </c>
      <c r="AK119" s="14" t="e">
        <f t="shared" si="89"/>
        <v>#NUM!</v>
      </c>
      <c r="AL119" s="22" t="e">
        <f t="shared" si="58"/>
        <v>#NUM!</v>
      </c>
      <c r="AM119" s="60" t="e">
        <f t="shared" si="59"/>
        <v>#NUM!</v>
      </c>
      <c r="AN119" s="60">
        <f ca="1">AVERAGE(OFFSET($AM$3,0,0,'Données projet'!$E$10+1,1))-AVERAGE(OFFSET($H$3,0,0,'Données projet'!$E$10+1,1))</f>
        <v>394.49874384716014</v>
      </c>
      <c r="AO119" s="60">
        <f t="shared" si="90"/>
        <v>423.72519584013378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3.141025641025641</v>
      </c>
      <c r="BD119" s="13">
        <f>IF('Données projet'!$A$88&gt;35,BD118+BC119-BL118,IF(A119&lt;'Données projet'!$A$88,$BA$205^A119,IF(A119='Données projet'!$A$88,'Données projet'!$B$88,BD118+BC119-BL118)))</f>
        <v>273.33333333333343</v>
      </c>
      <c r="BE119" s="14">
        <f>BD119*VLOOKUP('Données projet'!$B$11,Paramètres!$A$1:$I$89,3,0)*VLOOKUP('Données projet'!$B$11,Paramètres!$A$1:$I$89,5,0)</f>
        <v>260.1040000000001</v>
      </c>
      <c r="BF119" s="14">
        <f t="shared" si="91"/>
        <v>62.744546037419411</v>
      </c>
      <c r="BG119" s="22">
        <f t="shared" si="61"/>
        <v>562.29455101517226</v>
      </c>
      <c r="BH119" s="60">
        <f t="shared" si="62"/>
        <v>843.58879490989375</v>
      </c>
      <c r="BI119" s="60">
        <f ca="1">AVERAGE(OFFSET($BH$3,0,0,'Données projet'!$E$11+1,1))-AVERAGE(OFFSET($H$3,0,0,'Données projet'!$E$11+1,1))</f>
        <v>441.15969139782891</v>
      </c>
      <c r="BJ119" s="60">
        <f t="shared" si="92"/>
        <v>315.06466790224783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1.1368683772161603E-13</v>
      </c>
      <c r="BZ119" s="14">
        <f>BY119*VLOOKUP('Données projet'!$B$12,Paramètres!$A$1:$I$89,3,0)*VLOOKUP('Données projet'!$B$12,Paramètres!$A$1:$I$89,5,0)</f>
        <v>8.8675733422860506E-14</v>
      </c>
      <c r="CA119" s="14">
        <f t="shared" si="93"/>
        <v>1.3509285393066301E-12</v>
      </c>
      <c r="CB119" s="22">
        <f t="shared" si="64"/>
        <v>2.5073107750038623E-12</v>
      </c>
      <c r="CC119" s="60">
        <f t="shared" si="65"/>
        <v>281.29424389472399</v>
      </c>
      <c r="CD119" s="60">
        <f ca="1">AVERAGE(OFFSET($CC$3,0,0,'Données projet'!$E$12+1,1))-AVERAGE(OFFSET($H$3,0,0,'Données projet'!$E$12+1,1))</f>
        <v>312.59632808777332</v>
      </c>
      <c r="CE119" s="60">
        <f t="shared" si="94"/>
        <v>302.59481222418219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4.5</v>
      </c>
      <c r="CT119" s="13">
        <f>IF('Données projet'!$A$140&gt;35,CT118+CS119-DB118,IF(A119&lt;'Données projet'!$A$140,$CQ$205^A119,IF(A119='Données projet'!$A$140,'Données projet'!$B$140,CT118+CS119-DB118)))</f>
        <v>333.99999999999989</v>
      </c>
      <c r="CU119" s="18">
        <f>CT119*VLOOKUP('Données projet'!$B$13,Paramètres!$A$1:$I$89,3,0)*VLOOKUP('Données projet'!$B$13,Paramètres!$A$1:$I$89,5,0)</f>
        <v>323.0447999999999</v>
      </c>
      <c r="CV119" s="14">
        <f t="shared" si="95"/>
        <v>75.986533921791832</v>
      </c>
      <c r="CW119" s="22">
        <f t="shared" si="67"/>
        <v>694.97957324712058</v>
      </c>
      <c r="CX119" s="60">
        <f t="shared" si="68"/>
        <v>976.27381714184207</v>
      </c>
      <c r="CY119" s="60">
        <f ca="1">AVERAGE(OFFSET($CX$3,0,0,'Données projet'!$E$13+1,1))-AVERAGE(OFFSET($H$3,0,0,'Données projet'!$E$13+1,1))</f>
        <v>603.52431522262032</v>
      </c>
      <c r="CZ119" s="60">
        <f t="shared" si="96"/>
        <v>313.56299786481338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4.5</v>
      </c>
      <c r="DO119" s="13">
        <f>IF('Données projet'!$A$166&gt;35,DO118+DN119-DW118,IF(A119&lt;'Données projet'!$A$166,$DL$205^A119,IF(A119='Données projet'!$A$166,'Données projet'!$B$166,DO118+DN119-DW118)))</f>
        <v>333.99999999999989</v>
      </c>
      <c r="DP119" s="18">
        <f>DO119*VLOOKUP('Données projet'!$B$14,Paramètres!$A$1:$I$89,3,0)*VLOOKUP('Données projet'!$B$14,Paramètres!$A$1:$I$89,5,0)</f>
        <v>359.51759999999985</v>
      </c>
      <c r="DQ119" s="14">
        <f t="shared" si="97"/>
        <v>83.519213249444704</v>
      </c>
      <c r="DR119" s="22">
        <f t="shared" si="70"/>
        <v>771.62244974278258</v>
      </c>
      <c r="DS119" s="60">
        <f t="shared" si="71"/>
        <v>1052.9166936375041</v>
      </c>
      <c r="DT119" s="60">
        <f ca="1">AVERAGE(OFFSET($DS$3,0,0,'Données projet'!$E$14+1,1))-AVERAGE(OFFSET($H$3,0,0,'Données projet'!$E$14+1,1))</f>
        <v>661.93515988633499</v>
      </c>
      <c r="DU119" s="60">
        <f t="shared" si="98"/>
        <v>341.9250949809848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>
        <f>EJ119*VLOOKUP('Données projet'!$B$15,Paramètres!$A$1:$I$89,3,0)*VLOOKUP('Données projet'!$B$15,Paramètres!$A$1:$I$89,5,0)</f>
        <v>0</v>
      </c>
      <c r="EL119" s="14" t="e">
        <f t="shared" si="99"/>
        <v>#NUM!</v>
      </c>
      <c r="EM119" s="22" t="e">
        <f t="shared" si="73"/>
        <v>#NUM!</v>
      </c>
      <c r="EN119" s="60" t="e">
        <f t="shared" si="74"/>
        <v>#NUM!</v>
      </c>
      <c r="EO119" s="60">
        <f ca="1">AVERAGE(OFFSET($EN$3,0,0,'Données projet'!$E$15+1,1))-AVERAGE(OFFSET($H$3,0,0,'Données projet'!$E$15+1,1))</f>
        <v>396.0878652679051</v>
      </c>
      <c r="EP119" s="60">
        <f t="shared" si="100"/>
        <v>327.26339199235406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-5.6843418860808015E-14</v>
      </c>
      <c r="FF119" s="18">
        <f>FE119*VLOOKUP('Données projet'!$B$16,Paramètres!$A$1:$I$89,3,0)*VLOOKUP('Données projet'!$B$16,Paramètres!$A$1:$I$89,5,0)</f>
        <v>-4.1677594708744434E-14</v>
      </c>
      <c r="FG119" s="14" t="e">
        <f t="shared" si="101"/>
        <v>#NUM!</v>
      </c>
      <c r="FH119" s="22" t="e">
        <f t="shared" si="76"/>
        <v>#NUM!</v>
      </c>
      <c r="FI119" s="60" t="e">
        <f t="shared" si="77"/>
        <v>#NUM!</v>
      </c>
      <c r="FJ119" s="60">
        <f ca="1">AVERAGE(OFFSET($FI$3,0,0,'Données projet'!$E$16+1,1))-AVERAGE(OFFSET($H$3,0,0,'Données projet'!$E$16+1,1))</f>
        <v>368.35775920359396</v>
      </c>
      <c r="FK119" s="60">
        <f t="shared" si="102"/>
        <v>395.5218438652638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6.4</v>
      </c>
      <c r="FZ119" s="13">
        <f>IF('Données projet'!$A$244&gt;35,FZ118+FY119-GH118,IF(A119&lt;'Données projet'!$A$244,$FW$205^A119,IF(A119='Données projet'!$A$244,'Données projet'!$B$244,FZ118+FY119-GH118)))</f>
        <v>481.39999999999986</v>
      </c>
      <c r="GA119" s="18">
        <f>FZ119*VLOOKUP('Données projet'!$B$17,Paramètres!$A$1:$I$89,3,0)*VLOOKUP('Données projet'!$B$17,Paramètres!$A$1:$I$89,5,0)</f>
        <v>413.04119999999989</v>
      </c>
      <c r="GB119" s="14">
        <f t="shared" si="103"/>
        <v>94.415611430097925</v>
      </c>
      <c r="GC119" s="22">
        <f t="shared" si="79"/>
        <v>883.82061324075357</v>
      </c>
      <c r="GD119" s="60">
        <f t="shared" si="80"/>
        <v>1165.1148571354752</v>
      </c>
      <c r="GE119" s="60">
        <f ca="1">AVERAGE(OFFSET($GD$3,0,0,'Données projet'!$E$17+1,1))-AVERAGE(OFFSET($H$3,0,0,'Données projet'!$E$17+1,1))</f>
        <v>701.44583662096022</v>
      </c>
      <c r="GF119" s="60">
        <f t="shared" si="104"/>
        <v>331.25104323342907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-1.1368683772161603E-13</v>
      </c>
      <c r="GV119" s="18">
        <f>GU119*VLOOKUP('Données projet'!$B$18,Paramètres!$A$1:$I$89,3,0)*VLOOKUP('Données projet'!$B$18,Paramètres!$A$1:$I$89,5,0)</f>
        <v>-9.2222762759774927E-14</v>
      </c>
      <c r="GW119" s="14" t="e">
        <f t="shared" si="105"/>
        <v>#NUM!</v>
      </c>
      <c r="GX119" s="22" t="e">
        <f t="shared" si="82"/>
        <v>#NUM!</v>
      </c>
      <c r="GY119" s="60" t="e">
        <f t="shared" si="83"/>
        <v>#NUM!</v>
      </c>
      <c r="GZ119" s="60">
        <f ca="1">AVERAGE(OFFSET($GY$3,0,0,'Données projet'!$E$18+1,1))-AVERAGE(OFFSET($H$3,0,0,'Données projet'!$E$18+1,1))</f>
        <v>272.69564942740931</v>
      </c>
      <c r="HA119" s="60">
        <f t="shared" si="106"/>
        <v>316.57989180609252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25">
      <c r="A120" s="11">
        <f t="shared" si="85"/>
        <v>117</v>
      </c>
      <c r="B120" s="75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8">
        <f t="shared" si="56"/>
        <v>183.33333333333334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4.5</v>
      </c>
      <c r="N120" s="14">
        <f>IF('Données projet'!$A$36&gt;35,N119+M120-V119,IF(A120&lt;'Données projet'!$A$36,$K$205^A120,IF(A120='Données projet'!$A$36,'Données projet'!$B$36,N119+M120-V119)))</f>
        <v>338.49999999999989</v>
      </c>
      <c r="O120" s="14">
        <f>N120*VLOOKUP('Données projet'!$B$9,Paramètres!$A$1:$I$89,3,0)*VLOOKUP('Données projet'!$B$9,Paramètres!$A$1:$I$89,5,0)</f>
        <v>306.27479999999991</v>
      </c>
      <c r="P120" s="14">
        <f t="shared" si="87"/>
        <v>72.490313602283052</v>
      </c>
      <c r="Q120" s="22">
        <f t="shared" si="107"/>
        <v>659.68257285730954</v>
      </c>
      <c r="R120" s="60">
        <f t="shared" si="55"/>
        <v>941.18566803841918</v>
      </c>
      <c r="S120" s="60">
        <f ca="1">AVERAGE(OFFSET($R$3,0,0,'Données projet'!$E$9+1,1))-AVERAGE(OFFSET($H$3,0,0,'Données projet'!$E$9+1,1))</f>
        <v>570.08763950759544</v>
      </c>
      <c r="T120" s="60">
        <f t="shared" si="88"/>
        <v>297.32483725004136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-4.5224624045658861E-14</v>
      </c>
      <c r="AK120" s="14" t="e">
        <f t="shared" si="89"/>
        <v>#NUM!</v>
      </c>
      <c r="AL120" s="22" t="e">
        <f t="shared" si="58"/>
        <v>#NUM!</v>
      </c>
      <c r="AM120" s="60" t="e">
        <f t="shared" si="59"/>
        <v>#NUM!</v>
      </c>
      <c r="AN120" s="60">
        <f ca="1">AVERAGE(OFFSET($AM$3,0,0,'Données projet'!$E$10+1,1))-AVERAGE(OFFSET($H$3,0,0,'Données projet'!$E$10+1,1))</f>
        <v>394.49874384716014</v>
      </c>
      <c r="AO120" s="60">
        <f t="shared" si="90"/>
        <v>423.72519584013378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3.141025641025641</v>
      </c>
      <c r="BD120" s="13">
        <f>IF('Données projet'!$A$88&gt;35,BD119+BC120-BL119,IF(A120&lt;'Données projet'!$A$88,$BA$205^A120,IF(A120='Données projet'!$A$88,'Données projet'!$B$88,BD119+BC120-BL119)))</f>
        <v>276.47435897435906</v>
      </c>
      <c r="BE120" s="14">
        <f>BD120*VLOOKUP('Données projet'!$B$11,Paramètres!$A$1:$I$89,3,0)*VLOOKUP('Données projet'!$B$11,Paramètres!$A$1:$I$89,5,0)</f>
        <v>263.09300000000007</v>
      </c>
      <c r="BF120" s="14">
        <f t="shared" si="91"/>
        <v>63.381226101139966</v>
      </c>
      <c r="BG120" s="22">
        <f t="shared" si="61"/>
        <v>568.60927712615228</v>
      </c>
      <c r="BH120" s="60">
        <f t="shared" si="62"/>
        <v>850.11237230726192</v>
      </c>
      <c r="BI120" s="60">
        <f ca="1">AVERAGE(OFFSET($BH$3,0,0,'Données projet'!$E$11+1,1))-AVERAGE(OFFSET($H$3,0,0,'Données projet'!$E$11+1,1))</f>
        <v>441.15969139782891</v>
      </c>
      <c r="BJ120" s="60">
        <f t="shared" si="92"/>
        <v>315.06466790224783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1.1368683772161603E-13</v>
      </c>
      <c r="BZ120" s="14">
        <f>BY120*VLOOKUP('Données projet'!$B$12,Paramètres!$A$1:$I$89,3,0)*VLOOKUP('Données projet'!$B$12,Paramètres!$A$1:$I$89,5,0)</f>
        <v>8.8675733422860506E-14</v>
      </c>
      <c r="CA120" s="14">
        <f t="shared" si="93"/>
        <v>1.3509285393066301E-12</v>
      </c>
      <c r="CB120" s="22">
        <f t="shared" si="64"/>
        <v>2.5073107750038623E-12</v>
      </c>
      <c r="CC120" s="60">
        <f t="shared" si="65"/>
        <v>281.50309518111214</v>
      </c>
      <c r="CD120" s="60">
        <f ca="1">AVERAGE(OFFSET($CC$3,0,0,'Données projet'!$E$12+1,1))-AVERAGE(OFFSET($H$3,0,0,'Données projet'!$E$12+1,1))</f>
        <v>312.59632808777332</v>
      </c>
      <c r="CE120" s="60">
        <f t="shared" si="94"/>
        <v>302.59481222418219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4.5</v>
      </c>
      <c r="CT120" s="13">
        <f>IF('Données projet'!$A$140&gt;35,CT119+CS120-DB119,IF(A120&lt;'Données projet'!$A$140,$CQ$205^A120,IF(A120='Données projet'!$A$140,'Données projet'!$B$140,CT119+CS120-DB119)))</f>
        <v>338.49999999999989</v>
      </c>
      <c r="CU120" s="18">
        <f>CT120*VLOOKUP('Données projet'!$B$13,Paramètres!$A$1:$I$89,3,0)*VLOOKUP('Données projet'!$B$13,Paramètres!$A$1:$I$89,5,0)</f>
        <v>327.39719999999988</v>
      </c>
      <c r="CV120" s="14">
        <f t="shared" si="95"/>
        <v>76.890431885561796</v>
      </c>
      <c r="CW120" s="22">
        <f t="shared" si="67"/>
        <v>704.13429220068656</v>
      </c>
      <c r="CX120" s="60">
        <f t="shared" si="68"/>
        <v>985.6373873817962</v>
      </c>
      <c r="CY120" s="60">
        <f ca="1">AVERAGE(OFFSET($CX$3,0,0,'Données projet'!$E$13+1,1))-AVERAGE(OFFSET($H$3,0,0,'Données projet'!$E$13+1,1))</f>
        <v>603.52431522262032</v>
      </c>
      <c r="CZ120" s="60">
        <f t="shared" si="96"/>
        <v>313.56299786481338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4.5</v>
      </c>
      <c r="DO120" s="13">
        <f>IF('Données projet'!$A$166&gt;35,DO119+DN120-DW119,IF(A120&lt;'Données projet'!$A$166,$DL$205^A120,IF(A120='Données projet'!$A$166,'Données projet'!$B$166,DO119+DN120-DW119)))</f>
        <v>338.49999999999989</v>
      </c>
      <c r="DP120" s="18">
        <f>DO120*VLOOKUP('Données projet'!$B$14,Paramètres!$A$1:$I$89,3,0)*VLOOKUP('Données projet'!$B$14,Paramètres!$A$1:$I$89,5,0)</f>
        <v>364.36139999999989</v>
      </c>
      <c r="DQ120" s="14">
        <f t="shared" si="97"/>
        <v>84.512716214977203</v>
      </c>
      <c r="DR120" s="22">
        <f t="shared" si="70"/>
        <v>781.78908574108516</v>
      </c>
      <c r="DS120" s="60">
        <f t="shared" si="71"/>
        <v>1063.2921809221948</v>
      </c>
      <c r="DT120" s="60">
        <f ca="1">AVERAGE(OFFSET($DS$3,0,0,'Données projet'!$E$14+1,1))-AVERAGE(OFFSET($H$3,0,0,'Données projet'!$E$14+1,1))</f>
        <v>661.93515988633499</v>
      </c>
      <c r="DU120" s="60">
        <f t="shared" si="98"/>
        <v>341.9250949809848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>
        <f>EJ120*VLOOKUP('Données projet'!$B$15,Paramètres!$A$1:$I$89,3,0)*VLOOKUP('Données projet'!$B$15,Paramètres!$A$1:$I$89,5,0)</f>
        <v>0</v>
      </c>
      <c r="EL120" s="14" t="e">
        <f t="shared" si="99"/>
        <v>#NUM!</v>
      </c>
      <c r="EM120" s="22" t="e">
        <f t="shared" si="73"/>
        <v>#NUM!</v>
      </c>
      <c r="EN120" s="60" t="e">
        <f t="shared" si="74"/>
        <v>#NUM!</v>
      </c>
      <c r="EO120" s="60">
        <f ca="1">AVERAGE(OFFSET($EN$3,0,0,'Données projet'!$E$15+1,1))-AVERAGE(OFFSET($H$3,0,0,'Données projet'!$E$15+1,1))</f>
        <v>396.0878652679051</v>
      </c>
      <c r="EP120" s="60">
        <f t="shared" si="100"/>
        <v>327.26339199235406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-5.6843418860808015E-14</v>
      </c>
      <c r="FF120" s="18">
        <f>FE120*VLOOKUP('Données projet'!$B$16,Paramètres!$A$1:$I$89,3,0)*VLOOKUP('Données projet'!$B$16,Paramètres!$A$1:$I$89,5,0)</f>
        <v>-4.1677594708744434E-14</v>
      </c>
      <c r="FG120" s="14" t="e">
        <f t="shared" si="101"/>
        <v>#NUM!</v>
      </c>
      <c r="FH120" s="22" t="e">
        <f t="shared" si="76"/>
        <v>#NUM!</v>
      </c>
      <c r="FI120" s="60" t="e">
        <f t="shared" si="77"/>
        <v>#NUM!</v>
      </c>
      <c r="FJ120" s="60">
        <f ca="1">AVERAGE(OFFSET($FI$3,0,0,'Données projet'!$E$16+1,1))-AVERAGE(OFFSET($H$3,0,0,'Données projet'!$E$16+1,1))</f>
        <v>368.35775920359396</v>
      </c>
      <c r="FK120" s="60">
        <f t="shared" si="102"/>
        <v>395.5218438652638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6.4</v>
      </c>
      <c r="FZ120" s="13">
        <f>IF('Données projet'!$A$244&gt;35,FZ119+FY120-GH119,IF(A120&lt;'Données projet'!$A$244,$FW$205^A120,IF(A120='Données projet'!$A$244,'Données projet'!$B$244,FZ119+FY120-GH119)))</f>
        <v>487.79999999999984</v>
      </c>
      <c r="GA120" s="18">
        <f>FZ120*VLOOKUP('Données projet'!$B$17,Paramètres!$A$1:$I$89,3,0)*VLOOKUP('Données projet'!$B$17,Paramètres!$A$1:$I$89,5,0)</f>
        <v>418.53239999999988</v>
      </c>
      <c r="GB120" s="14">
        <f t="shared" si="103"/>
        <v>95.52386437716028</v>
      </c>
      <c r="GC120" s="22">
        <f t="shared" si="79"/>
        <v>895.31466045688728</v>
      </c>
      <c r="GD120" s="60">
        <f t="shared" si="80"/>
        <v>1176.8177556379969</v>
      </c>
      <c r="GE120" s="60">
        <f ca="1">AVERAGE(OFFSET($GD$3,0,0,'Données projet'!$E$17+1,1))-AVERAGE(OFFSET($H$3,0,0,'Données projet'!$E$17+1,1))</f>
        <v>701.44583662096022</v>
      </c>
      <c r="GF120" s="60">
        <f t="shared" si="104"/>
        <v>331.25104323342907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-1.1368683772161603E-13</v>
      </c>
      <c r="GV120" s="18">
        <f>GU120*VLOOKUP('Données projet'!$B$18,Paramètres!$A$1:$I$89,3,0)*VLOOKUP('Données projet'!$B$18,Paramètres!$A$1:$I$89,5,0)</f>
        <v>-9.2222762759774927E-14</v>
      </c>
      <c r="GW120" s="14" t="e">
        <f t="shared" si="105"/>
        <v>#NUM!</v>
      </c>
      <c r="GX120" s="22" t="e">
        <f t="shared" si="82"/>
        <v>#NUM!</v>
      </c>
      <c r="GY120" s="60" t="e">
        <f t="shared" si="83"/>
        <v>#NUM!</v>
      </c>
      <c r="GZ120" s="60">
        <f ca="1">AVERAGE(OFFSET($GY$3,0,0,'Données projet'!$E$18+1,1))-AVERAGE(OFFSET($H$3,0,0,'Données projet'!$E$18+1,1))</f>
        <v>272.69564942740931</v>
      </c>
      <c r="HA120" s="60">
        <f t="shared" si="106"/>
        <v>316.57989180609252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25">
      <c r="A121" s="11">
        <f t="shared" si="85"/>
        <v>118</v>
      </c>
      <c r="B121" s="75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8">
        <f t="shared" si="56"/>
        <v>183.33333333333334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4.5</v>
      </c>
      <c r="N121" s="14">
        <f>IF('Données projet'!$A$36&gt;35,N120+M121-V120,IF(A121&lt;'Données projet'!$A$36,$K$205^A121,IF(A121='Données projet'!$A$36,'Données projet'!$B$36,N120+M121-V120)))</f>
        <v>342.99999999999989</v>
      </c>
      <c r="O121" s="14">
        <f>N121*VLOOKUP('Données projet'!$B$9,Paramètres!$A$1:$I$89,3,0)*VLOOKUP('Données projet'!$B$9,Paramètres!$A$1:$I$89,5,0)</f>
        <v>310.34639999999985</v>
      </c>
      <c r="P121" s="14">
        <f t="shared" si="87"/>
        <v>73.341167576152998</v>
      </c>
      <c r="Q121" s="22">
        <f t="shared" si="107"/>
        <v>668.25584686179957</v>
      </c>
      <c r="R121" s="60">
        <f t="shared" si="55"/>
        <v>949.96417022640003</v>
      </c>
      <c r="S121" s="60">
        <f ca="1">AVERAGE(OFFSET($R$3,0,0,'Données projet'!$E$9+1,1))-AVERAGE(OFFSET($H$3,0,0,'Données projet'!$E$9+1,1))</f>
        <v>570.08763950759544</v>
      </c>
      <c r="T121" s="60">
        <f t="shared" si="88"/>
        <v>297.32483725004136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-4.5224624045658861E-14</v>
      </c>
      <c r="AK121" s="14" t="e">
        <f t="shared" si="89"/>
        <v>#NUM!</v>
      </c>
      <c r="AL121" s="22" t="e">
        <f t="shared" si="58"/>
        <v>#NUM!</v>
      </c>
      <c r="AM121" s="60" t="e">
        <f t="shared" si="59"/>
        <v>#NUM!</v>
      </c>
      <c r="AN121" s="60">
        <f ca="1">AVERAGE(OFFSET($AM$3,0,0,'Données projet'!$E$10+1,1))-AVERAGE(OFFSET($H$3,0,0,'Données projet'!$E$10+1,1))</f>
        <v>394.49874384716014</v>
      </c>
      <c r="AO121" s="60">
        <f t="shared" si="90"/>
        <v>423.72519584013378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3.141025641025641</v>
      </c>
      <c r="BD121" s="13">
        <f>IF('Données projet'!$A$88&gt;35,BD120+BC121-BL120,IF(A121&lt;'Données projet'!$A$88,$BA$205^A121,IF(A121='Données projet'!$A$88,'Données projet'!$B$88,BD120+BC121-BL120)))</f>
        <v>279.6153846153847</v>
      </c>
      <c r="BE121" s="14">
        <f>BD121*VLOOKUP('Données projet'!$B$11,Paramètres!$A$1:$I$89,3,0)*VLOOKUP('Données projet'!$B$11,Paramètres!$A$1:$I$89,5,0)</f>
        <v>266.08200000000005</v>
      </c>
      <c r="BF121" s="14">
        <f t="shared" si="91"/>
        <v>64.017064743360152</v>
      </c>
      <c r="BG121" s="22">
        <f t="shared" si="61"/>
        <v>574.92253776135237</v>
      </c>
      <c r="BH121" s="60">
        <f t="shared" si="62"/>
        <v>856.63086112595283</v>
      </c>
      <c r="BI121" s="60">
        <f ca="1">AVERAGE(OFFSET($BH$3,0,0,'Données projet'!$E$11+1,1))-AVERAGE(OFFSET($H$3,0,0,'Données projet'!$E$11+1,1))</f>
        <v>441.15969139782891</v>
      </c>
      <c r="BJ121" s="60">
        <f t="shared" si="92"/>
        <v>315.06466790224783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1.1368683772161603E-13</v>
      </c>
      <c r="BZ121" s="14">
        <f>BY121*VLOOKUP('Données projet'!$B$12,Paramètres!$A$1:$I$89,3,0)*VLOOKUP('Données projet'!$B$12,Paramètres!$A$1:$I$89,5,0)</f>
        <v>8.8675733422860506E-14</v>
      </c>
      <c r="CA121" s="14">
        <f t="shared" si="93"/>
        <v>1.3509285393066301E-12</v>
      </c>
      <c r="CB121" s="22">
        <f t="shared" si="64"/>
        <v>2.5073107750038623E-12</v>
      </c>
      <c r="CC121" s="60">
        <f t="shared" si="65"/>
        <v>281.7083233646029</v>
      </c>
      <c r="CD121" s="60">
        <f ca="1">AVERAGE(OFFSET($CC$3,0,0,'Données projet'!$E$12+1,1))-AVERAGE(OFFSET($H$3,0,0,'Données projet'!$E$12+1,1))</f>
        <v>312.59632808777332</v>
      </c>
      <c r="CE121" s="60">
        <f t="shared" si="94"/>
        <v>302.59481222418219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4.5</v>
      </c>
      <c r="CT121" s="13">
        <f>IF('Données projet'!$A$140&gt;35,CT120+CS121-DB120,IF(A121&lt;'Données projet'!$A$140,$CQ$205^A121,IF(A121='Données projet'!$A$140,'Données projet'!$B$140,CT120+CS121-DB120)))</f>
        <v>342.99999999999989</v>
      </c>
      <c r="CU121" s="18">
        <f>CT121*VLOOKUP('Données projet'!$B$13,Paramètres!$A$1:$I$89,3,0)*VLOOKUP('Données projet'!$B$13,Paramètres!$A$1:$I$89,5,0)</f>
        <v>331.74959999999993</v>
      </c>
      <c r="CV121" s="14">
        <f t="shared" si="95"/>
        <v>77.792932182102803</v>
      </c>
      <c r="CW121" s="22">
        <f t="shared" si="67"/>
        <v>713.28657688382884</v>
      </c>
      <c r="CX121" s="60">
        <f t="shared" si="68"/>
        <v>994.9949002484293</v>
      </c>
      <c r="CY121" s="60">
        <f ca="1">AVERAGE(OFFSET($CX$3,0,0,'Données projet'!$E$13+1,1))-AVERAGE(OFFSET($H$3,0,0,'Données projet'!$E$13+1,1))</f>
        <v>603.52431522262032</v>
      </c>
      <c r="CZ121" s="60">
        <f t="shared" si="96"/>
        <v>313.56299786481338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4.5</v>
      </c>
      <c r="DO121" s="13">
        <f>IF('Données projet'!$A$166&gt;35,DO120+DN121-DW120,IF(A121&lt;'Données projet'!$A$166,$DL$205^A121,IF(A121='Données projet'!$A$166,'Données projet'!$B$166,DO120+DN121-DW120)))</f>
        <v>342.99999999999989</v>
      </c>
      <c r="DP121" s="18">
        <f>DO121*VLOOKUP('Données projet'!$B$14,Paramètres!$A$1:$I$89,3,0)*VLOOKUP('Données projet'!$B$14,Paramètres!$A$1:$I$89,5,0)</f>
        <v>369.20519999999988</v>
      </c>
      <c r="DQ121" s="14">
        <f t="shared" si="97"/>
        <v>85.50468296005964</v>
      </c>
      <c r="DR121" s="22">
        <f t="shared" si="70"/>
        <v>791.95304615543694</v>
      </c>
      <c r="DS121" s="60">
        <f t="shared" si="71"/>
        <v>1073.6613695200374</v>
      </c>
      <c r="DT121" s="60">
        <f ca="1">AVERAGE(OFFSET($DS$3,0,0,'Données projet'!$E$14+1,1))-AVERAGE(OFFSET($H$3,0,0,'Données projet'!$E$14+1,1))</f>
        <v>661.93515988633499</v>
      </c>
      <c r="DU121" s="60">
        <f t="shared" si="98"/>
        <v>341.9250949809848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>
        <f>EJ121*VLOOKUP('Données projet'!$B$15,Paramètres!$A$1:$I$89,3,0)*VLOOKUP('Données projet'!$B$15,Paramètres!$A$1:$I$89,5,0)</f>
        <v>0</v>
      </c>
      <c r="EL121" s="14" t="e">
        <f t="shared" si="99"/>
        <v>#NUM!</v>
      </c>
      <c r="EM121" s="22" t="e">
        <f t="shared" si="73"/>
        <v>#NUM!</v>
      </c>
      <c r="EN121" s="60" t="e">
        <f t="shared" si="74"/>
        <v>#NUM!</v>
      </c>
      <c r="EO121" s="60">
        <f ca="1">AVERAGE(OFFSET($EN$3,0,0,'Données projet'!$E$15+1,1))-AVERAGE(OFFSET($H$3,0,0,'Données projet'!$E$15+1,1))</f>
        <v>396.0878652679051</v>
      </c>
      <c r="EP121" s="60">
        <f t="shared" si="100"/>
        <v>327.26339199235406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-5.6843418860808015E-14</v>
      </c>
      <c r="FF121" s="18">
        <f>FE121*VLOOKUP('Données projet'!$B$16,Paramètres!$A$1:$I$89,3,0)*VLOOKUP('Données projet'!$B$16,Paramètres!$A$1:$I$89,5,0)</f>
        <v>-4.1677594708744434E-14</v>
      </c>
      <c r="FG121" s="14" t="e">
        <f t="shared" si="101"/>
        <v>#NUM!</v>
      </c>
      <c r="FH121" s="22" t="e">
        <f t="shared" si="76"/>
        <v>#NUM!</v>
      </c>
      <c r="FI121" s="60" t="e">
        <f t="shared" si="77"/>
        <v>#NUM!</v>
      </c>
      <c r="FJ121" s="60">
        <f ca="1">AVERAGE(OFFSET($FI$3,0,0,'Données projet'!$E$16+1,1))-AVERAGE(OFFSET($H$3,0,0,'Données projet'!$E$16+1,1))</f>
        <v>368.35775920359396</v>
      </c>
      <c r="FK121" s="60">
        <f t="shared" si="102"/>
        <v>395.5218438652638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6.4</v>
      </c>
      <c r="FZ121" s="13">
        <f>IF('Données projet'!$A$244&gt;35,FZ120+FY121-GH120,IF(A121&lt;'Données projet'!$A$244,$FW$205^A121,IF(A121='Données projet'!$A$244,'Données projet'!$B$244,FZ120+FY121-GH120)))</f>
        <v>494.19999999999982</v>
      </c>
      <c r="GA121" s="18">
        <f>FZ121*VLOOKUP('Données projet'!$B$17,Paramètres!$A$1:$I$89,3,0)*VLOOKUP('Données projet'!$B$17,Paramètres!$A$1:$I$89,5,0)</f>
        <v>424.02359999999993</v>
      </c>
      <c r="GB121" s="14">
        <f t="shared" si="103"/>
        <v>96.630426059277468</v>
      </c>
      <c r="GC121" s="22">
        <f t="shared" si="79"/>
        <v>906.80576205324132</v>
      </c>
      <c r="GD121" s="60">
        <f t="shared" si="80"/>
        <v>1188.5140854178417</v>
      </c>
      <c r="GE121" s="60">
        <f ca="1">AVERAGE(OFFSET($GD$3,0,0,'Données projet'!$E$17+1,1))-AVERAGE(OFFSET($H$3,0,0,'Données projet'!$E$17+1,1))</f>
        <v>701.44583662096022</v>
      </c>
      <c r="GF121" s="60">
        <f t="shared" si="104"/>
        <v>331.25104323342907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-1.1368683772161603E-13</v>
      </c>
      <c r="GV121" s="18">
        <f>GU121*VLOOKUP('Données projet'!$B$18,Paramètres!$A$1:$I$89,3,0)*VLOOKUP('Données projet'!$B$18,Paramètres!$A$1:$I$89,5,0)</f>
        <v>-9.2222762759774927E-14</v>
      </c>
      <c r="GW121" s="14" t="e">
        <f t="shared" si="105"/>
        <v>#NUM!</v>
      </c>
      <c r="GX121" s="22" t="e">
        <f t="shared" si="82"/>
        <v>#NUM!</v>
      </c>
      <c r="GY121" s="60" t="e">
        <f t="shared" si="83"/>
        <v>#NUM!</v>
      </c>
      <c r="GZ121" s="60">
        <f ca="1">AVERAGE(OFFSET($GY$3,0,0,'Données projet'!$E$18+1,1))-AVERAGE(OFFSET($H$3,0,0,'Données projet'!$E$18+1,1))</f>
        <v>272.69564942740931</v>
      </c>
      <c r="HA121" s="60">
        <f t="shared" si="106"/>
        <v>316.57989180609252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25">
      <c r="A122" s="11">
        <f t="shared" si="85"/>
        <v>119</v>
      </c>
      <c r="B122" s="75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8">
        <f t="shared" si="56"/>
        <v>183.33333333333334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4.5</v>
      </c>
      <c r="N122" s="14">
        <f>IF('Données projet'!$A$36&gt;35,N121+M122-V121,IF(A122&lt;'Données projet'!$A$36,$K$205^A122,IF(A122='Données projet'!$A$36,'Données projet'!$B$36,N121+M122-V121)))</f>
        <v>347.49999999999989</v>
      </c>
      <c r="O122" s="14">
        <f>N122*VLOOKUP('Données projet'!$B$9,Paramètres!$A$1:$I$89,3,0)*VLOOKUP('Données projet'!$B$9,Paramètres!$A$1:$I$89,5,0)</f>
        <v>314.41799999999989</v>
      </c>
      <c r="P122" s="14">
        <f t="shared" si="87"/>
        <v>74.190723151497338</v>
      </c>
      <c r="Q122" s="22">
        <f t="shared" si="107"/>
        <v>676.82685948885762</v>
      </c>
      <c r="R122" s="60">
        <f t="shared" si="55"/>
        <v>958.73685078678682</v>
      </c>
      <c r="S122" s="60">
        <f ca="1">AVERAGE(OFFSET($R$3,0,0,'Données projet'!$E$9+1,1))-AVERAGE(OFFSET($H$3,0,0,'Données projet'!$E$9+1,1))</f>
        <v>570.08763950759544</v>
      </c>
      <c r="T122" s="60">
        <f t="shared" si="88"/>
        <v>297.32483725004136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-4.5224624045658861E-14</v>
      </c>
      <c r="AK122" s="14" t="e">
        <f t="shared" si="89"/>
        <v>#NUM!</v>
      </c>
      <c r="AL122" s="22" t="e">
        <f t="shared" si="58"/>
        <v>#NUM!</v>
      </c>
      <c r="AM122" s="60" t="e">
        <f t="shared" si="59"/>
        <v>#NUM!</v>
      </c>
      <c r="AN122" s="60">
        <f ca="1">AVERAGE(OFFSET($AM$3,0,0,'Données projet'!$E$10+1,1))-AVERAGE(OFFSET($H$3,0,0,'Données projet'!$E$10+1,1))</f>
        <v>394.49874384716014</v>
      </c>
      <c r="AO122" s="60">
        <f t="shared" si="90"/>
        <v>423.72519584013378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3.141025641025641</v>
      </c>
      <c r="BD122" s="13">
        <f>IF('Données projet'!$A$88&gt;35,BD121+BC122-BL121,IF(A122&lt;'Données projet'!$A$88,$BA$205^A122,IF(A122='Données projet'!$A$88,'Données projet'!$B$88,BD121+BC122-BL121)))</f>
        <v>282.75641025641033</v>
      </c>
      <c r="BE122" s="14">
        <f>BD122*VLOOKUP('Données projet'!$B$11,Paramètres!$A$1:$I$89,3,0)*VLOOKUP('Données projet'!$B$11,Paramètres!$A$1:$I$89,5,0)</f>
        <v>269.07100000000008</v>
      </c>
      <c r="BF122" s="14">
        <f t="shared" si="91"/>
        <v>64.652072509850228</v>
      </c>
      <c r="BG122" s="22">
        <f t="shared" si="61"/>
        <v>581.2343512879894</v>
      </c>
      <c r="BH122" s="60">
        <f t="shared" si="62"/>
        <v>863.14434258591859</v>
      </c>
      <c r="BI122" s="60">
        <f ca="1">AVERAGE(OFFSET($BH$3,0,0,'Données projet'!$E$11+1,1))-AVERAGE(OFFSET($H$3,0,0,'Données projet'!$E$11+1,1))</f>
        <v>441.15969139782891</v>
      </c>
      <c r="BJ122" s="60">
        <f t="shared" si="92"/>
        <v>315.06466790224783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1.1368683772161603E-13</v>
      </c>
      <c r="BZ122" s="14">
        <f>BY122*VLOOKUP('Données projet'!$B$12,Paramètres!$A$1:$I$89,3,0)*VLOOKUP('Données projet'!$B$12,Paramètres!$A$1:$I$89,5,0)</f>
        <v>8.8675733422860506E-14</v>
      </c>
      <c r="CA122" s="14">
        <f t="shared" si="93"/>
        <v>1.3509285393066301E-12</v>
      </c>
      <c r="CB122" s="22">
        <f t="shared" si="64"/>
        <v>2.5073107750038623E-12</v>
      </c>
      <c r="CC122" s="60">
        <f t="shared" si="65"/>
        <v>281.90999129793164</v>
      </c>
      <c r="CD122" s="60">
        <f ca="1">AVERAGE(OFFSET($CC$3,0,0,'Données projet'!$E$12+1,1))-AVERAGE(OFFSET($H$3,0,0,'Données projet'!$E$12+1,1))</f>
        <v>312.59632808777332</v>
      </c>
      <c r="CE122" s="60">
        <f t="shared" si="94"/>
        <v>302.59481222418219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4.5</v>
      </c>
      <c r="CT122" s="13">
        <f>IF('Données projet'!$A$140&gt;35,CT121+CS122-DB121,IF(A122&lt;'Données projet'!$A$140,$CQ$205^A122,IF(A122='Données projet'!$A$140,'Données projet'!$B$140,CT121+CS122-DB121)))</f>
        <v>347.49999999999989</v>
      </c>
      <c r="CU122" s="18">
        <f>CT122*VLOOKUP('Données projet'!$B$13,Paramètres!$A$1:$I$89,3,0)*VLOOKUP('Données projet'!$B$13,Paramètres!$A$1:$I$89,5,0)</f>
        <v>336.10199999999992</v>
      </c>
      <c r="CV122" s="14">
        <f t="shared" si="95"/>
        <v>78.694055268111313</v>
      </c>
      <c r="CW122" s="22">
        <f t="shared" si="67"/>
        <v>722.43646292529365</v>
      </c>
      <c r="CX122" s="60">
        <f t="shared" si="68"/>
        <v>1004.3464542232227</v>
      </c>
      <c r="CY122" s="60">
        <f ca="1">AVERAGE(OFFSET($CX$3,0,0,'Données projet'!$E$13+1,1))-AVERAGE(OFFSET($H$3,0,0,'Données projet'!$E$13+1,1))</f>
        <v>603.52431522262032</v>
      </c>
      <c r="CZ122" s="60">
        <f t="shared" si="96"/>
        <v>313.56299786481338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4.5</v>
      </c>
      <c r="DO122" s="13">
        <f>IF('Données projet'!$A$166&gt;35,DO121+DN122-DW121,IF(A122&lt;'Données projet'!$A$166,$DL$205^A122,IF(A122='Données projet'!$A$166,'Données projet'!$B$166,DO121+DN122-DW121)))</f>
        <v>347.49999999999989</v>
      </c>
      <c r="DP122" s="18">
        <f>DO122*VLOOKUP('Données projet'!$B$14,Paramètres!$A$1:$I$89,3,0)*VLOOKUP('Données projet'!$B$14,Paramètres!$A$1:$I$89,5,0)</f>
        <v>374.04899999999986</v>
      </c>
      <c r="DQ122" s="14">
        <f t="shared" si="97"/>
        <v>86.495135969296754</v>
      </c>
      <c r="DR122" s="22">
        <f t="shared" si="70"/>
        <v>802.11437014652483</v>
      </c>
      <c r="DS122" s="60">
        <f t="shared" si="71"/>
        <v>1084.0243614444539</v>
      </c>
      <c r="DT122" s="60">
        <f ca="1">AVERAGE(OFFSET($DS$3,0,0,'Données projet'!$E$14+1,1))-AVERAGE(OFFSET($H$3,0,0,'Données projet'!$E$14+1,1))</f>
        <v>661.93515988633499</v>
      </c>
      <c r="DU122" s="60">
        <f t="shared" si="98"/>
        <v>341.9250949809848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>
        <f>EJ122*VLOOKUP('Données projet'!$B$15,Paramètres!$A$1:$I$89,3,0)*VLOOKUP('Données projet'!$B$15,Paramètres!$A$1:$I$89,5,0)</f>
        <v>0</v>
      </c>
      <c r="EL122" s="14" t="e">
        <f t="shared" si="99"/>
        <v>#NUM!</v>
      </c>
      <c r="EM122" s="22" t="e">
        <f t="shared" si="73"/>
        <v>#NUM!</v>
      </c>
      <c r="EN122" s="60" t="e">
        <f t="shared" si="74"/>
        <v>#NUM!</v>
      </c>
      <c r="EO122" s="60">
        <f ca="1">AVERAGE(OFFSET($EN$3,0,0,'Données projet'!$E$15+1,1))-AVERAGE(OFFSET($H$3,0,0,'Données projet'!$E$15+1,1))</f>
        <v>396.0878652679051</v>
      </c>
      <c r="EP122" s="60">
        <f t="shared" si="100"/>
        <v>327.26339199235406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-5.6843418860808015E-14</v>
      </c>
      <c r="FF122" s="18">
        <f>FE122*VLOOKUP('Données projet'!$B$16,Paramètres!$A$1:$I$89,3,0)*VLOOKUP('Données projet'!$B$16,Paramètres!$A$1:$I$89,5,0)</f>
        <v>-4.1677594708744434E-14</v>
      </c>
      <c r="FG122" s="14" t="e">
        <f t="shared" si="101"/>
        <v>#NUM!</v>
      </c>
      <c r="FH122" s="22" t="e">
        <f t="shared" si="76"/>
        <v>#NUM!</v>
      </c>
      <c r="FI122" s="60" t="e">
        <f t="shared" si="77"/>
        <v>#NUM!</v>
      </c>
      <c r="FJ122" s="60">
        <f ca="1">AVERAGE(OFFSET($FI$3,0,0,'Données projet'!$E$16+1,1))-AVERAGE(OFFSET($H$3,0,0,'Données projet'!$E$16+1,1))</f>
        <v>368.35775920359396</v>
      </c>
      <c r="FK122" s="60">
        <f t="shared" si="102"/>
        <v>395.5218438652638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6.4</v>
      </c>
      <c r="FZ122" s="13">
        <f>IF('Données projet'!$A$244&gt;35,FZ121+FY122-GH121,IF(A122&lt;'Données projet'!$A$244,$FW$205^A122,IF(A122='Données projet'!$A$244,'Données projet'!$B$244,FZ121+FY122-GH121)))</f>
        <v>500.5999999999998</v>
      </c>
      <c r="GA122" s="18">
        <f>FZ122*VLOOKUP('Données projet'!$B$17,Paramètres!$A$1:$I$89,3,0)*VLOOKUP('Données projet'!$B$17,Paramètres!$A$1:$I$89,5,0)</f>
        <v>429.51479999999992</v>
      </c>
      <c r="GB122" s="14">
        <f t="shared" si="103"/>
        <v>97.735320911083633</v>
      </c>
      <c r="GC122" s="22">
        <f t="shared" si="79"/>
        <v>918.29396058680368</v>
      </c>
      <c r="GD122" s="60">
        <f t="shared" si="80"/>
        <v>1200.2039518847328</v>
      </c>
      <c r="GE122" s="60">
        <f ca="1">AVERAGE(OFFSET($GD$3,0,0,'Données projet'!$E$17+1,1))-AVERAGE(OFFSET($H$3,0,0,'Données projet'!$E$17+1,1))</f>
        <v>701.44583662096022</v>
      </c>
      <c r="GF122" s="60">
        <f t="shared" si="104"/>
        <v>331.25104323342907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-1.1368683772161603E-13</v>
      </c>
      <c r="GV122" s="18">
        <f>GU122*VLOOKUP('Données projet'!$B$18,Paramètres!$A$1:$I$89,3,0)*VLOOKUP('Données projet'!$B$18,Paramètres!$A$1:$I$89,5,0)</f>
        <v>-9.2222762759774927E-14</v>
      </c>
      <c r="GW122" s="14" t="e">
        <f t="shared" si="105"/>
        <v>#NUM!</v>
      </c>
      <c r="GX122" s="22" t="e">
        <f t="shared" si="82"/>
        <v>#NUM!</v>
      </c>
      <c r="GY122" s="60" t="e">
        <f t="shared" si="83"/>
        <v>#NUM!</v>
      </c>
      <c r="GZ122" s="60">
        <f ca="1">AVERAGE(OFFSET($GY$3,0,0,'Données projet'!$E$18+1,1))-AVERAGE(OFFSET($H$3,0,0,'Données projet'!$E$18+1,1))</f>
        <v>272.69564942740931</v>
      </c>
      <c r="HA122" s="60">
        <f t="shared" si="106"/>
        <v>316.57989180609252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25">
      <c r="A123" s="11">
        <f t="shared" si="85"/>
        <v>120</v>
      </c>
      <c r="B123" s="75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8">
        <f t="shared" si="56"/>
        <v>183.33333333333334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352</v>
      </c>
      <c r="L123" s="13">
        <f>VLOOKUP(A123,'Données projet'!$A$35:$I$55,9,0)</f>
        <v>4.5</v>
      </c>
      <c r="M123" s="13">
        <f t="array" ref="M123">INDEX(L:L,MIN(IF(ISNUMBER(L123:L319),ROW(L123:L319),"")))</f>
        <v>4.5</v>
      </c>
      <c r="N123" s="14">
        <f>IF('Données projet'!$A$36&gt;35,N122+M123-V122,IF(A123&lt;'Données projet'!$A$36,$K$205^A123,IF(A123='Données projet'!$A$36,'Données projet'!$B$36,N122+M123-V122)))</f>
        <v>351.99999999999989</v>
      </c>
      <c r="O123" s="14">
        <f>N123*VLOOKUP('Données projet'!$B$9,Paramètres!$A$1:$I$89,3,0)*VLOOKUP('Données projet'!$B$9,Paramètres!$A$1:$I$89,5,0)</f>
        <v>318.48959999999988</v>
      </c>
      <c r="P123" s="14">
        <f t="shared" si="87"/>
        <v>75.038999086150227</v>
      </c>
      <c r="Q123" s="22">
        <f t="shared" si="107"/>
        <v>685.39564340837808</v>
      </c>
      <c r="R123" s="60">
        <f t="shared" si="55"/>
        <v>967.50380415185464</v>
      </c>
      <c r="S123" s="60">
        <f ca="1">AVERAGE(OFFSET($R$3,0,0,'Données projet'!$E$9+1,1))-AVERAGE(OFFSET($H$3,0,0,'Données projet'!$E$9+1,1))</f>
        <v>570.08763950759544</v>
      </c>
      <c r="T123" s="60">
        <f t="shared" si="88"/>
        <v>297.32483725004136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-4.5224624045658861E-14</v>
      </c>
      <c r="AK123" s="14" t="e">
        <f t="shared" si="89"/>
        <v>#NUM!</v>
      </c>
      <c r="AL123" s="22" t="e">
        <f t="shared" si="58"/>
        <v>#NUM!</v>
      </c>
      <c r="AM123" s="60" t="e">
        <f t="shared" si="59"/>
        <v>#NUM!</v>
      </c>
      <c r="AN123" s="60">
        <f ca="1">AVERAGE(OFFSET($AM$3,0,0,'Données projet'!$E$10+1,1))-AVERAGE(OFFSET($H$3,0,0,'Données projet'!$E$10+1,1))</f>
        <v>394.49874384716014</v>
      </c>
      <c r="AO123" s="60">
        <f t="shared" si="90"/>
        <v>423.72519584013378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285.89743589743591</v>
      </c>
      <c r="BB123" s="13">
        <f>VLOOKUP(A123,'Données projet'!$A$87:$I$107,9,0)</f>
        <v>3.141025641025641</v>
      </c>
      <c r="BC123" s="13">
        <f t="array" ref="BC123">INDEX(BB:BB,MIN(IF(ISNUMBER(BB123:BB319),ROW(BB123:BB319),"")))</f>
        <v>3.141025641025641</v>
      </c>
      <c r="BD123" s="13">
        <f>IF('Données projet'!$A$88&gt;35,BD122+BC123-BL122,IF(A123&lt;'Données projet'!$A$88,$BA$205^A123,IF(A123='Données projet'!$A$88,'Données projet'!$B$88,BD122+BC123-BL122)))</f>
        <v>285.89743589743597</v>
      </c>
      <c r="BE123" s="14">
        <f>BD123*VLOOKUP('Données projet'!$B$11,Paramètres!$A$1:$I$89,3,0)*VLOOKUP('Données projet'!$B$11,Paramètres!$A$1:$I$89,5,0)</f>
        <v>272.06000000000006</v>
      </c>
      <c r="BF123" s="14">
        <f t="shared" si="91"/>
        <v>65.286259698592175</v>
      </c>
      <c r="BG123" s="22">
        <f t="shared" si="61"/>
        <v>587.54473564171474</v>
      </c>
      <c r="BH123" s="60">
        <f t="shared" si="62"/>
        <v>869.6528963851913</v>
      </c>
      <c r="BI123" s="60">
        <f ca="1">AVERAGE(OFFSET($BH$3,0,0,'Données projet'!$E$11+1,1))-AVERAGE(OFFSET($H$3,0,0,'Données projet'!$E$11+1,1))</f>
        <v>441.15969139782891</v>
      </c>
      <c r="BJ123" s="60">
        <f t="shared" si="92"/>
        <v>315.06466790224783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285.89743589743591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1.1368683772161603E-13</v>
      </c>
      <c r="BZ123" s="14">
        <f>BY123*VLOOKUP('Données projet'!$B$12,Paramètres!$A$1:$I$89,3,0)*VLOOKUP('Données projet'!$B$12,Paramètres!$A$1:$I$89,5,0)</f>
        <v>8.8675733422860506E-14</v>
      </c>
      <c r="CA123" s="14">
        <f t="shared" si="93"/>
        <v>1.3509285393066301E-12</v>
      </c>
      <c r="CB123" s="22">
        <f t="shared" si="64"/>
        <v>2.5073107750038623E-12</v>
      </c>
      <c r="CC123" s="60">
        <f t="shared" si="65"/>
        <v>282.10816074347912</v>
      </c>
      <c r="CD123" s="60">
        <f ca="1">AVERAGE(OFFSET($CC$3,0,0,'Données projet'!$E$12+1,1))-AVERAGE(OFFSET($H$3,0,0,'Données projet'!$E$12+1,1))</f>
        <v>312.59632808777332</v>
      </c>
      <c r="CE123" s="60">
        <f t="shared" si="94"/>
        <v>302.59481222418219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352</v>
      </c>
      <c r="CR123" s="13">
        <f>VLOOKUP(A123,'Données projet'!$A$139:$I$159,9,0)</f>
        <v>4.5</v>
      </c>
      <c r="CS123" s="13">
        <f t="array" ref="CS123">INDEX(CR:CR,MIN(IF(ISNUMBER(CR123:CR319),ROW(CR123:CR319),"")))</f>
        <v>4.5</v>
      </c>
      <c r="CT123" s="13">
        <f>IF('Données projet'!$A$140&gt;35,CT122+CS123-DB122,IF(A123&lt;'Données projet'!$A$140,$CQ$205^A123,IF(A123='Données projet'!$A$140,'Données projet'!$B$140,CT122+CS123-DB122)))</f>
        <v>351.99999999999989</v>
      </c>
      <c r="CU123" s="18">
        <f>CT123*VLOOKUP('Données projet'!$B$13,Paramètres!$A$1:$I$89,3,0)*VLOOKUP('Données projet'!$B$13,Paramètres!$A$1:$I$89,5,0)</f>
        <v>340.45439999999991</v>
      </c>
      <c r="CV123" s="14">
        <f t="shared" si="95"/>
        <v>79.593821040010667</v>
      </c>
      <c r="CW123" s="22">
        <f t="shared" si="67"/>
        <v>731.58398497801829</v>
      </c>
      <c r="CX123" s="60">
        <f t="shared" si="68"/>
        <v>1013.6921457214949</v>
      </c>
      <c r="CY123" s="60">
        <f ca="1">AVERAGE(OFFSET($CX$3,0,0,'Données projet'!$E$13+1,1))-AVERAGE(OFFSET($H$3,0,0,'Données projet'!$E$13+1,1))</f>
        <v>603.52431522262032</v>
      </c>
      <c r="CZ123" s="60">
        <f t="shared" si="96"/>
        <v>313.56299786481338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352</v>
      </c>
      <c r="DM123" s="13">
        <f>VLOOKUP(A123,'Données projet'!$A$165:$I$185,9,0)</f>
        <v>4.5</v>
      </c>
      <c r="DN123" s="13">
        <f t="array" ref="DN123">INDEX(DM:DM,MIN(IF(ISNUMBER(DM123:DM319),ROW(DM123:DM319),"")))</f>
        <v>4.5</v>
      </c>
      <c r="DO123" s="13">
        <f>IF('Données projet'!$A$166&gt;35,DO122+DN123-DW122,IF(A123&lt;'Données projet'!$A$166,$DL$205^A123,IF(A123='Données projet'!$A$166,'Données projet'!$B$166,DO122+DN123-DW122)))</f>
        <v>351.99999999999989</v>
      </c>
      <c r="DP123" s="18">
        <f>DO123*VLOOKUP('Données projet'!$B$14,Paramètres!$A$1:$I$89,3,0)*VLOOKUP('Données projet'!$B$14,Paramètres!$A$1:$I$89,5,0)</f>
        <v>378.89279999999985</v>
      </c>
      <c r="DQ123" s="14">
        <f t="shared" si="97"/>
        <v>87.48409711147977</v>
      </c>
      <c r="DR123" s="22">
        <f t="shared" si="70"/>
        <v>812.27309580249357</v>
      </c>
      <c r="DS123" s="60">
        <f t="shared" si="71"/>
        <v>1094.3812565459702</v>
      </c>
      <c r="DT123" s="60">
        <f ca="1">AVERAGE(OFFSET($DS$3,0,0,'Données projet'!$E$14+1,1))-AVERAGE(OFFSET($H$3,0,0,'Données projet'!$E$14+1,1))</f>
        <v>661.93515988633499</v>
      </c>
      <c r="DU123" s="60">
        <f t="shared" si="98"/>
        <v>341.9250949809848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>
        <f>EJ123*VLOOKUP('Données projet'!$B$15,Paramètres!$A$1:$I$89,3,0)*VLOOKUP('Données projet'!$B$15,Paramètres!$A$1:$I$89,5,0)</f>
        <v>0</v>
      </c>
      <c r="EL123" s="14" t="e">
        <f t="shared" si="99"/>
        <v>#NUM!</v>
      </c>
      <c r="EM123" s="22" t="e">
        <f t="shared" si="73"/>
        <v>#NUM!</v>
      </c>
      <c r="EN123" s="60" t="e">
        <f t="shared" si="74"/>
        <v>#NUM!</v>
      </c>
      <c r="EO123" s="60">
        <f ca="1">AVERAGE(OFFSET($EN$3,0,0,'Données projet'!$E$15+1,1))-AVERAGE(OFFSET($H$3,0,0,'Données projet'!$E$15+1,1))</f>
        <v>396.0878652679051</v>
      </c>
      <c r="EP123" s="60">
        <f t="shared" si="100"/>
        <v>327.26339199235406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-5.6843418860808015E-14</v>
      </c>
      <c r="FF123" s="18">
        <f>FE123*VLOOKUP('Données projet'!$B$16,Paramètres!$A$1:$I$89,3,0)*VLOOKUP('Données projet'!$B$16,Paramètres!$A$1:$I$89,5,0)</f>
        <v>-4.1677594708744434E-14</v>
      </c>
      <c r="FG123" s="14" t="e">
        <f t="shared" si="101"/>
        <v>#NUM!</v>
      </c>
      <c r="FH123" s="22" t="e">
        <f t="shared" si="76"/>
        <v>#NUM!</v>
      </c>
      <c r="FI123" s="60" t="e">
        <f t="shared" si="77"/>
        <v>#NUM!</v>
      </c>
      <c r="FJ123" s="60">
        <f ca="1">AVERAGE(OFFSET($FI$3,0,0,'Données projet'!$E$16+1,1))-AVERAGE(OFFSET($H$3,0,0,'Données projet'!$E$16+1,1))</f>
        <v>368.35775920359396</v>
      </c>
      <c r="FK123" s="60">
        <f t="shared" si="102"/>
        <v>395.5218438652638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6.4</v>
      </c>
      <c r="FZ123" s="13">
        <f>IF('Données projet'!$A$244&gt;35,FZ122+FY123-GH122,IF(A123&lt;'Données projet'!$A$244,$FW$205^A123,IF(A123='Données projet'!$A$244,'Données projet'!$B$244,FZ122+FY123-GH122)))</f>
        <v>506.99999999999977</v>
      </c>
      <c r="GA123" s="18">
        <f>FZ123*VLOOKUP('Données projet'!$B$17,Paramètres!$A$1:$I$89,3,0)*VLOOKUP('Données projet'!$B$17,Paramètres!$A$1:$I$89,5,0)</f>
        <v>435.00599999999986</v>
      </c>
      <c r="GB123" s="14">
        <f t="shared" si="103"/>
        <v>98.838572706512238</v>
      </c>
      <c r="GC123" s="22">
        <f t="shared" si="79"/>
        <v>929.77929746384177</v>
      </c>
      <c r="GD123" s="60">
        <f t="shared" si="80"/>
        <v>1211.8874582073183</v>
      </c>
      <c r="GE123" s="60">
        <f ca="1">AVERAGE(OFFSET($GD$3,0,0,'Données projet'!$E$17+1,1))-AVERAGE(OFFSET($H$3,0,0,'Données projet'!$E$17+1,1))</f>
        <v>701.44583662096022</v>
      </c>
      <c r="GF123" s="60">
        <f t="shared" si="104"/>
        <v>331.25104323342907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-1.1368683772161603E-13</v>
      </c>
      <c r="GV123" s="18">
        <f>GU123*VLOOKUP('Données projet'!$B$18,Paramètres!$A$1:$I$89,3,0)*VLOOKUP('Données projet'!$B$18,Paramètres!$A$1:$I$89,5,0)</f>
        <v>-9.2222762759774927E-14</v>
      </c>
      <c r="GW123" s="14" t="e">
        <f t="shared" si="105"/>
        <v>#NUM!</v>
      </c>
      <c r="GX123" s="22" t="e">
        <f t="shared" si="82"/>
        <v>#NUM!</v>
      </c>
      <c r="GY123" s="60" t="e">
        <f t="shared" si="83"/>
        <v>#NUM!</v>
      </c>
      <c r="GZ123" s="60">
        <f ca="1">AVERAGE(OFFSET($GY$3,0,0,'Données projet'!$E$18+1,1))-AVERAGE(OFFSET($H$3,0,0,'Données projet'!$E$18+1,1))</f>
        <v>272.69564942740931</v>
      </c>
      <c r="HA123" s="60">
        <f t="shared" si="106"/>
        <v>316.57989180609252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25">
      <c r="A124" s="11">
        <f t="shared" si="85"/>
        <v>121</v>
      </c>
      <c r="B124" s="75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8">
        <f t="shared" si="56"/>
        <v>183.33333333333334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4.2</v>
      </c>
      <c r="N124" s="14">
        <f>IF('Données projet'!$A$36&gt;35,N123+M124-V123,IF(A124&lt;'Données projet'!$A$36,$K$205^A124,IF(A124='Données projet'!$A$36,'Données projet'!$B$36,N123+M124-V123)))</f>
        <v>356.19999999999987</v>
      </c>
      <c r="O124" s="14">
        <f>N124*VLOOKUP('Données projet'!$B$9,Paramètres!$A$1:$I$89,3,0)*VLOOKUP('Données projet'!$B$9,Paramètres!$A$1:$I$89,5,0)</f>
        <v>322.28975999999989</v>
      </c>
      <c r="P124" s="14">
        <f t="shared" si="87"/>
        <v>75.829584879013211</v>
      </c>
      <c r="Q124" s="22">
        <f t="shared" si="107"/>
        <v>693.39119233094789</v>
      </c>
      <c r="R124" s="60">
        <f t="shared" si="55"/>
        <v>975.69408472313228</v>
      </c>
      <c r="S124" s="60">
        <f ca="1">AVERAGE(OFFSET($R$3,0,0,'Données projet'!$E$9+1,1))-AVERAGE(OFFSET($H$3,0,0,'Données projet'!$E$9+1,1))</f>
        <v>570.08763950759544</v>
      </c>
      <c r="T124" s="60">
        <f t="shared" si="88"/>
        <v>297.32483725004136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-4.5224624045658861E-14</v>
      </c>
      <c r="AK124" s="14" t="e">
        <f t="shared" si="89"/>
        <v>#NUM!</v>
      </c>
      <c r="AL124" s="22" t="e">
        <f t="shared" si="58"/>
        <v>#NUM!</v>
      </c>
      <c r="AM124" s="60" t="e">
        <f t="shared" si="59"/>
        <v>#NUM!</v>
      </c>
      <c r="AN124" s="60">
        <f ca="1">AVERAGE(OFFSET($AM$3,0,0,'Données projet'!$E$10+1,1))-AVERAGE(OFFSET($H$3,0,0,'Données projet'!$E$10+1,1))</f>
        <v>394.49874384716014</v>
      </c>
      <c r="AO124" s="60">
        <f t="shared" si="90"/>
        <v>423.72519584013378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5.4092197387944907E-14</v>
      </c>
      <c r="BF124" s="14">
        <f t="shared" si="91"/>
        <v>8.7287050538073676E-13</v>
      </c>
      <c r="BG124" s="22">
        <f t="shared" si="61"/>
        <v>1.6144600406554537E-12</v>
      </c>
      <c r="BH124" s="60">
        <f t="shared" si="62"/>
        <v>282.30289239218598</v>
      </c>
      <c r="BI124" s="60">
        <f ca="1">AVERAGE(OFFSET($BH$3,0,0,'Données projet'!$E$11+1,1))-AVERAGE(OFFSET($H$3,0,0,'Données projet'!$E$11+1,1))</f>
        <v>441.15969139782891</v>
      </c>
      <c r="BJ124" s="60">
        <f t="shared" si="92"/>
        <v>315.06466790224783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8.8675733422860506E-14</v>
      </c>
      <c r="CA124" s="14">
        <f t="shared" si="93"/>
        <v>1.3509285393066301E-12</v>
      </c>
      <c r="CB124" s="22">
        <f t="shared" si="64"/>
        <v>2.5073107750038623E-12</v>
      </c>
      <c r="CC124" s="60">
        <f t="shared" si="65"/>
        <v>282.30289239218689</v>
      </c>
      <c r="CD124" s="60">
        <f ca="1">AVERAGE(OFFSET($CC$3,0,0,'Données projet'!$E$12+1,1))-AVERAGE(OFFSET($H$3,0,0,'Données projet'!$E$12+1,1))</f>
        <v>312.59632808777332</v>
      </c>
      <c r="CE124" s="60">
        <f t="shared" si="94"/>
        <v>302.59481222418219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4.2</v>
      </c>
      <c r="CT124" s="13">
        <f>IF('Données projet'!$A$140&gt;35,CT123+CS124-DB123,IF(A124&lt;'Données projet'!$A$140,$CQ$205^A124,IF(A124='Données projet'!$A$140,'Données projet'!$B$140,CT123+CS124-DB123)))</f>
        <v>356.19999999999987</v>
      </c>
      <c r="CU124" s="18">
        <f>CT124*VLOOKUP('Données projet'!$B$13,Paramètres!$A$1:$I$89,3,0)*VLOOKUP('Données projet'!$B$13,Paramètres!$A$1:$I$89,5,0)</f>
        <v>344.51663999999988</v>
      </c>
      <c r="CV124" s="14">
        <f t="shared" si="95"/>
        <v>80.432394913333098</v>
      </c>
      <c r="CW124" s="22">
        <f t="shared" si="67"/>
        <v>740.11956914072152</v>
      </c>
      <c r="CX124" s="60">
        <f t="shared" si="68"/>
        <v>1022.4224615329059</v>
      </c>
      <c r="CY124" s="60">
        <f ca="1">AVERAGE(OFFSET($CX$3,0,0,'Données projet'!$E$13+1,1))-AVERAGE(OFFSET($H$3,0,0,'Données projet'!$E$13+1,1))</f>
        <v>603.52431522262032</v>
      </c>
      <c r="CZ124" s="60">
        <f t="shared" si="96"/>
        <v>313.56299786481338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4.2</v>
      </c>
      <c r="DO124" s="13">
        <f>IF('Données projet'!$A$166&gt;35,DO123+DN124-DW123,IF(A124&lt;'Données projet'!$A$166,$DL$205^A124,IF(A124='Données projet'!$A$166,'Données projet'!$B$166,DO123+DN124-DW123)))</f>
        <v>356.19999999999987</v>
      </c>
      <c r="DP124" s="18">
        <f>DO124*VLOOKUP('Données projet'!$B$14,Paramètres!$A$1:$I$89,3,0)*VLOOKUP('Données projet'!$B$14,Paramètres!$A$1:$I$89,5,0)</f>
        <v>383.41367999999989</v>
      </c>
      <c r="DQ124" s="14">
        <f t="shared" si="97"/>
        <v>88.405800294092558</v>
      </c>
      <c r="DR124" s="22">
        <f t="shared" si="70"/>
        <v>821.75226151221102</v>
      </c>
      <c r="DS124" s="60">
        <f t="shared" si="71"/>
        <v>1104.0551539043954</v>
      </c>
      <c r="DT124" s="60">
        <f ca="1">AVERAGE(OFFSET($DS$3,0,0,'Données projet'!$E$14+1,1))-AVERAGE(OFFSET($H$3,0,0,'Données projet'!$E$14+1,1))</f>
        <v>661.93515988633499</v>
      </c>
      <c r="DU124" s="60">
        <f t="shared" si="98"/>
        <v>341.9250949809848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>
        <f>EJ124*VLOOKUP('Données projet'!$B$15,Paramètres!$A$1:$I$89,3,0)*VLOOKUP('Données projet'!$B$15,Paramètres!$A$1:$I$89,5,0)</f>
        <v>0</v>
      </c>
      <c r="EL124" s="14" t="e">
        <f t="shared" si="99"/>
        <v>#NUM!</v>
      </c>
      <c r="EM124" s="22" t="e">
        <f t="shared" si="73"/>
        <v>#NUM!</v>
      </c>
      <c r="EN124" s="60" t="e">
        <f t="shared" si="74"/>
        <v>#NUM!</v>
      </c>
      <c r="EO124" s="60">
        <f ca="1">AVERAGE(OFFSET($EN$3,0,0,'Données projet'!$E$15+1,1))-AVERAGE(OFFSET($H$3,0,0,'Données projet'!$E$15+1,1))</f>
        <v>396.0878652679051</v>
      </c>
      <c r="EP124" s="60">
        <f t="shared" si="100"/>
        <v>327.26339199235406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-5.6843418860808015E-14</v>
      </c>
      <c r="FF124" s="18">
        <f>FE124*VLOOKUP('Données projet'!$B$16,Paramètres!$A$1:$I$89,3,0)*VLOOKUP('Données projet'!$B$16,Paramètres!$A$1:$I$89,5,0)</f>
        <v>-4.1677594708744434E-14</v>
      </c>
      <c r="FG124" s="14" t="e">
        <f t="shared" si="101"/>
        <v>#NUM!</v>
      </c>
      <c r="FH124" s="22" t="e">
        <f t="shared" si="76"/>
        <v>#NUM!</v>
      </c>
      <c r="FI124" s="60" t="e">
        <f t="shared" si="77"/>
        <v>#NUM!</v>
      </c>
      <c r="FJ124" s="60">
        <f ca="1">AVERAGE(OFFSET($FI$3,0,0,'Données projet'!$E$16+1,1))-AVERAGE(OFFSET($H$3,0,0,'Données projet'!$E$16+1,1))</f>
        <v>368.35775920359396</v>
      </c>
      <c r="FK124" s="60">
        <f t="shared" si="102"/>
        <v>395.5218438652638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6.4</v>
      </c>
      <c r="FZ124" s="13">
        <f>IF('Données projet'!$A$244&gt;35,FZ123+FY124-GH123,IF(A124&lt;'Données projet'!$A$244,$FW$205^A124,IF(A124='Données projet'!$A$244,'Données projet'!$B$244,FZ123+FY124-GH123)))</f>
        <v>513.39999999999975</v>
      </c>
      <c r="GA124" s="18">
        <f>FZ124*VLOOKUP('Données projet'!$B$17,Paramètres!$A$1:$I$89,3,0)*VLOOKUP('Données projet'!$B$17,Paramètres!$A$1:$I$89,5,0)</f>
        <v>440.49719999999985</v>
      </c>
      <c r="GB124" s="14">
        <f t="shared" si="103"/>
        <v>99.94020458477064</v>
      </c>
      <c r="GC124" s="22">
        <f t="shared" si="79"/>
        <v>941.26181298514211</v>
      </c>
      <c r="GD124" s="60">
        <f t="shared" si="80"/>
        <v>1223.5647053773264</v>
      </c>
      <c r="GE124" s="60">
        <f ca="1">AVERAGE(OFFSET($GD$3,0,0,'Données projet'!$E$17+1,1))-AVERAGE(OFFSET($H$3,0,0,'Données projet'!$E$17+1,1))</f>
        <v>701.44583662096022</v>
      </c>
      <c r="GF124" s="60">
        <f t="shared" si="104"/>
        <v>331.25104323342907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-1.1368683772161603E-13</v>
      </c>
      <c r="GV124" s="18">
        <f>GU124*VLOOKUP('Données projet'!$B$18,Paramètres!$A$1:$I$89,3,0)*VLOOKUP('Données projet'!$B$18,Paramètres!$A$1:$I$89,5,0)</f>
        <v>-9.2222762759774927E-14</v>
      </c>
      <c r="GW124" s="14" t="e">
        <f t="shared" si="105"/>
        <v>#NUM!</v>
      </c>
      <c r="GX124" s="22" t="e">
        <f t="shared" si="82"/>
        <v>#NUM!</v>
      </c>
      <c r="GY124" s="60" t="e">
        <f t="shared" si="83"/>
        <v>#NUM!</v>
      </c>
      <c r="GZ124" s="60">
        <f ca="1">AVERAGE(OFFSET($GY$3,0,0,'Données projet'!$E$18+1,1))-AVERAGE(OFFSET($H$3,0,0,'Données projet'!$E$18+1,1))</f>
        <v>272.69564942740931</v>
      </c>
      <c r="HA124" s="60">
        <f t="shared" si="106"/>
        <v>316.57989180609252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25">
      <c r="A125" s="11">
        <f t="shared" si="85"/>
        <v>122</v>
      </c>
      <c r="B125" s="75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8">
        <f t="shared" si="56"/>
        <v>183.33333333333334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4.2</v>
      </c>
      <c r="N125" s="14">
        <f>IF('Données projet'!$A$36&gt;35,N124+M125-V124,IF(A125&lt;'Données projet'!$A$36,$K$205^A125,IF(A125='Données projet'!$A$36,'Données projet'!$B$36,N124+M125-V124)))</f>
        <v>360.39999999999986</v>
      </c>
      <c r="O125" s="14">
        <f>N125*VLOOKUP('Données projet'!$B$9,Paramètres!$A$1:$I$89,3,0)*VLOOKUP('Données projet'!$B$9,Paramètres!$A$1:$I$89,5,0)</f>
        <v>326.08991999999984</v>
      </c>
      <c r="P125" s="14">
        <f t="shared" si="87"/>
        <v>76.619086320573132</v>
      </c>
      <c r="Q125" s="22">
        <f t="shared" si="107"/>
        <v>701.38485267499789</v>
      </c>
      <c r="R125" s="60">
        <f t="shared" si="55"/>
        <v>983.87909855713974</v>
      </c>
      <c r="S125" s="60">
        <f ca="1">AVERAGE(OFFSET($R$3,0,0,'Données projet'!$E$9+1,1))-AVERAGE(OFFSET($H$3,0,0,'Données projet'!$E$9+1,1))</f>
        <v>570.08763950759544</v>
      </c>
      <c r="T125" s="60">
        <f t="shared" si="88"/>
        <v>297.32483725004136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-4.5224624045658861E-14</v>
      </c>
      <c r="AK125" s="14" t="e">
        <f t="shared" si="89"/>
        <v>#NUM!</v>
      </c>
      <c r="AL125" s="22" t="e">
        <f t="shared" si="58"/>
        <v>#NUM!</v>
      </c>
      <c r="AM125" s="60" t="e">
        <f t="shared" si="59"/>
        <v>#NUM!</v>
      </c>
      <c r="AN125" s="60">
        <f ca="1">AVERAGE(OFFSET($AM$3,0,0,'Données projet'!$E$10+1,1))-AVERAGE(OFFSET($H$3,0,0,'Données projet'!$E$10+1,1))</f>
        <v>394.49874384716014</v>
      </c>
      <c r="AO125" s="60">
        <f t="shared" si="90"/>
        <v>423.72519584013378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5.4092197387944907E-14</v>
      </c>
      <c r="BF125" s="14">
        <f t="shared" si="91"/>
        <v>8.7287050538073676E-13</v>
      </c>
      <c r="BG125" s="22">
        <f t="shared" si="61"/>
        <v>1.6144600406554537E-12</v>
      </c>
      <c r="BH125" s="60">
        <f t="shared" si="62"/>
        <v>282.49424588214339</v>
      </c>
      <c r="BI125" s="60">
        <f ca="1">AVERAGE(OFFSET($BH$3,0,0,'Données projet'!$E$11+1,1))-AVERAGE(OFFSET($H$3,0,0,'Données projet'!$E$11+1,1))</f>
        <v>441.15969139782891</v>
      </c>
      <c r="BJ125" s="60">
        <f t="shared" si="92"/>
        <v>315.06466790224783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8.8675733422860506E-14</v>
      </c>
      <c r="CA125" s="14">
        <f t="shared" si="93"/>
        <v>1.3509285393066301E-12</v>
      </c>
      <c r="CB125" s="22">
        <f t="shared" si="64"/>
        <v>2.5073107750038623E-12</v>
      </c>
      <c r="CC125" s="60">
        <f t="shared" si="65"/>
        <v>282.4942458821443</v>
      </c>
      <c r="CD125" s="60">
        <f ca="1">AVERAGE(OFFSET($CC$3,0,0,'Données projet'!$E$12+1,1))-AVERAGE(OFFSET($H$3,0,0,'Données projet'!$E$12+1,1))</f>
        <v>312.59632808777332</v>
      </c>
      <c r="CE125" s="60">
        <f t="shared" si="94"/>
        <v>302.59481222418219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4.2</v>
      </c>
      <c r="CT125" s="13">
        <f>IF('Données projet'!$A$140&gt;35,CT124+CS125-DB124,IF(A125&lt;'Données projet'!$A$140,$CQ$205^A125,IF(A125='Données projet'!$A$140,'Données projet'!$B$140,CT124+CS125-DB124)))</f>
        <v>360.39999999999986</v>
      </c>
      <c r="CU125" s="18">
        <f>CT125*VLOOKUP('Données projet'!$B$13,Paramètres!$A$1:$I$89,3,0)*VLOOKUP('Données projet'!$B$13,Paramètres!$A$1:$I$89,5,0)</f>
        <v>348.57887999999991</v>
      </c>
      <c r="CV125" s="14">
        <f t="shared" si="95"/>
        <v>81.269818615882841</v>
      </c>
      <c r="CW125" s="22">
        <f t="shared" si="67"/>
        <v>748.65315008932919</v>
      </c>
      <c r="CX125" s="60">
        <f t="shared" si="68"/>
        <v>1031.147395971471</v>
      </c>
      <c r="CY125" s="60">
        <f ca="1">AVERAGE(OFFSET($CX$3,0,0,'Données projet'!$E$13+1,1))-AVERAGE(OFFSET($H$3,0,0,'Données projet'!$E$13+1,1))</f>
        <v>603.52431522262032</v>
      </c>
      <c r="CZ125" s="60">
        <f t="shared" si="96"/>
        <v>313.56299786481338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4.2</v>
      </c>
      <c r="DO125" s="13">
        <f>IF('Données projet'!$A$166&gt;35,DO124+DN125-DW124,IF(A125&lt;'Données projet'!$A$166,$DL$205^A125,IF(A125='Données projet'!$A$166,'Données projet'!$B$166,DO124+DN125-DW124)))</f>
        <v>360.39999999999986</v>
      </c>
      <c r="DP125" s="18">
        <f>DO125*VLOOKUP('Données projet'!$B$14,Paramètres!$A$1:$I$89,3,0)*VLOOKUP('Données projet'!$B$14,Paramètres!$A$1:$I$89,5,0)</f>
        <v>387.93455999999981</v>
      </c>
      <c r="DQ125" s="14">
        <f t="shared" si="97"/>
        <v>89.326239287472234</v>
      </c>
      <c r="DR125" s="22">
        <f t="shared" si="70"/>
        <v>831.2292254256804</v>
      </c>
      <c r="DS125" s="60">
        <f t="shared" si="71"/>
        <v>1113.7234713078221</v>
      </c>
      <c r="DT125" s="60">
        <f ca="1">AVERAGE(OFFSET($DS$3,0,0,'Données projet'!$E$14+1,1))-AVERAGE(OFFSET($H$3,0,0,'Données projet'!$E$14+1,1))</f>
        <v>661.93515988633499</v>
      </c>
      <c r="DU125" s="60">
        <f t="shared" si="98"/>
        <v>341.9250949809848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>
        <f>EJ125*VLOOKUP('Données projet'!$B$15,Paramètres!$A$1:$I$89,3,0)*VLOOKUP('Données projet'!$B$15,Paramètres!$A$1:$I$89,5,0)</f>
        <v>0</v>
      </c>
      <c r="EL125" s="14" t="e">
        <f t="shared" si="99"/>
        <v>#NUM!</v>
      </c>
      <c r="EM125" s="22" t="e">
        <f t="shared" si="73"/>
        <v>#NUM!</v>
      </c>
      <c r="EN125" s="60" t="e">
        <f t="shared" si="74"/>
        <v>#NUM!</v>
      </c>
      <c r="EO125" s="60">
        <f ca="1">AVERAGE(OFFSET($EN$3,0,0,'Données projet'!$E$15+1,1))-AVERAGE(OFFSET($H$3,0,0,'Données projet'!$E$15+1,1))</f>
        <v>396.0878652679051</v>
      </c>
      <c r="EP125" s="60">
        <f t="shared" si="100"/>
        <v>327.26339199235406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-5.6843418860808015E-14</v>
      </c>
      <c r="FF125" s="18">
        <f>FE125*VLOOKUP('Données projet'!$B$16,Paramètres!$A$1:$I$89,3,0)*VLOOKUP('Données projet'!$B$16,Paramètres!$A$1:$I$89,5,0)</f>
        <v>-4.1677594708744434E-14</v>
      </c>
      <c r="FG125" s="14" t="e">
        <f t="shared" si="101"/>
        <v>#NUM!</v>
      </c>
      <c r="FH125" s="22" t="e">
        <f t="shared" si="76"/>
        <v>#NUM!</v>
      </c>
      <c r="FI125" s="60" t="e">
        <f t="shared" si="77"/>
        <v>#NUM!</v>
      </c>
      <c r="FJ125" s="60">
        <f ca="1">AVERAGE(OFFSET($FI$3,0,0,'Données projet'!$E$16+1,1))-AVERAGE(OFFSET($H$3,0,0,'Données projet'!$E$16+1,1))</f>
        <v>368.35775920359396</v>
      </c>
      <c r="FK125" s="60">
        <f t="shared" si="102"/>
        <v>395.5218438652638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6.4</v>
      </c>
      <c r="FZ125" s="13">
        <f>IF('Données projet'!$A$244&gt;35,FZ124+FY125-GH124,IF(A125&lt;'Données projet'!$A$244,$FW$205^A125,IF(A125='Données projet'!$A$244,'Données projet'!$B$244,FZ124+FY125-GH124)))</f>
        <v>519.79999999999973</v>
      </c>
      <c r="GA125" s="18">
        <f>FZ125*VLOOKUP('Données projet'!$B$17,Paramètres!$A$1:$I$89,3,0)*VLOOKUP('Données projet'!$B$17,Paramètres!$A$1:$I$89,5,0)</f>
        <v>445.98839999999984</v>
      </c>
      <c r="GB125" s="14">
        <f t="shared" si="103"/>
        <v>101.04023907498366</v>
      </c>
      <c r="GC125" s="22">
        <f t="shared" si="79"/>
        <v>952.74154638892969</v>
      </c>
      <c r="GD125" s="60">
        <f t="shared" si="80"/>
        <v>1235.2357922710714</v>
      </c>
      <c r="GE125" s="60">
        <f ca="1">AVERAGE(OFFSET($GD$3,0,0,'Données projet'!$E$17+1,1))-AVERAGE(OFFSET($H$3,0,0,'Données projet'!$E$17+1,1))</f>
        <v>701.44583662096022</v>
      </c>
      <c r="GF125" s="60">
        <f t="shared" si="104"/>
        <v>331.25104323342907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-1.1368683772161603E-13</v>
      </c>
      <c r="GV125" s="18">
        <f>GU125*VLOOKUP('Données projet'!$B$18,Paramètres!$A$1:$I$89,3,0)*VLOOKUP('Données projet'!$B$18,Paramètres!$A$1:$I$89,5,0)</f>
        <v>-9.2222762759774927E-14</v>
      </c>
      <c r="GW125" s="14" t="e">
        <f t="shared" si="105"/>
        <v>#NUM!</v>
      </c>
      <c r="GX125" s="22" t="e">
        <f t="shared" si="82"/>
        <v>#NUM!</v>
      </c>
      <c r="GY125" s="60" t="e">
        <f t="shared" si="83"/>
        <v>#NUM!</v>
      </c>
      <c r="GZ125" s="60">
        <f ca="1">AVERAGE(OFFSET($GY$3,0,0,'Données projet'!$E$18+1,1))-AVERAGE(OFFSET($H$3,0,0,'Données projet'!$E$18+1,1))</f>
        <v>272.69564942740931</v>
      </c>
      <c r="HA125" s="60">
        <f t="shared" si="106"/>
        <v>316.57989180609252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25">
      <c r="A126" s="11">
        <f t="shared" si="85"/>
        <v>123</v>
      </c>
      <c r="B126" s="75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8">
        <f t="shared" si="56"/>
        <v>183.33333333333334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4.2</v>
      </c>
      <c r="N126" s="14">
        <f>IF('Données projet'!$A$36&gt;35,N125+M126-V125,IF(A126&lt;'Données projet'!$A$36,$K$205^A126,IF(A126='Données projet'!$A$36,'Données projet'!$B$36,N125+M126-V125)))</f>
        <v>364.59999999999985</v>
      </c>
      <c r="O126" s="14">
        <f>N126*VLOOKUP('Données projet'!$B$9,Paramètres!$A$1:$I$89,3,0)*VLOOKUP('Données projet'!$B$9,Paramètres!$A$1:$I$89,5,0)</f>
        <v>329.89007999999984</v>
      </c>
      <c r="P126" s="14">
        <f t="shared" si="87"/>
        <v>77.407517509546452</v>
      </c>
      <c r="Q126" s="22">
        <f t="shared" si="107"/>
        <v>709.37664899579306</v>
      </c>
      <c r="R126" s="60">
        <f t="shared" si="55"/>
        <v>992.05892881264367</v>
      </c>
      <c r="S126" s="60">
        <f ca="1">AVERAGE(OFFSET($R$3,0,0,'Données projet'!$E$9+1,1))-AVERAGE(OFFSET($H$3,0,0,'Données projet'!$E$9+1,1))</f>
        <v>570.08763950759544</v>
      </c>
      <c r="T126" s="60">
        <f t="shared" si="88"/>
        <v>297.32483725004136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-4.5224624045658861E-14</v>
      </c>
      <c r="AK126" s="14" t="e">
        <f t="shared" si="89"/>
        <v>#NUM!</v>
      </c>
      <c r="AL126" s="22" t="e">
        <f t="shared" si="58"/>
        <v>#NUM!</v>
      </c>
      <c r="AM126" s="60" t="e">
        <f t="shared" si="59"/>
        <v>#NUM!</v>
      </c>
      <c r="AN126" s="60">
        <f ca="1">AVERAGE(OFFSET($AM$3,0,0,'Données projet'!$E$10+1,1))-AVERAGE(OFFSET($H$3,0,0,'Données projet'!$E$10+1,1))</f>
        <v>394.49874384716014</v>
      </c>
      <c r="AO126" s="60">
        <f t="shared" si="90"/>
        <v>423.72519584013378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5.4092197387944907E-14</v>
      </c>
      <c r="BF126" s="14">
        <f t="shared" si="91"/>
        <v>8.7287050538073676E-13</v>
      </c>
      <c r="BG126" s="22">
        <f t="shared" si="61"/>
        <v>1.6144600406554537E-12</v>
      </c>
      <c r="BH126" s="60">
        <f t="shared" si="62"/>
        <v>282.68227981685226</v>
      </c>
      <c r="BI126" s="60">
        <f ca="1">AVERAGE(OFFSET($BH$3,0,0,'Données projet'!$E$11+1,1))-AVERAGE(OFFSET($H$3,0,0,'Données projet'!$E$11+1,1))</f>
        <v>441.15969139782891</v>
      </c>
      <c r="BJ126" s="60">
        <f t="shared" si="92"/>
        <v>315.06466790224783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8.8675733422860506E-14</v>
      </c>
      <c r="CA126" s="14">
        <f t="shared" si="93"/>
        <v>1.3509285393066301E-12</v>
      </c>
      <c r="CB126" s="22">
        <f t="shared" si="64"/>
        <v>2.5073107750038623E-12</v>
      </c>
      <c r="CC126" s="60">
        <f t="shared" si="65"/>
        <v>282.68227981685317</v>
      </c>
      <c r="CD126" s="60">
        <f ca="1">AVERAGE(OFFSET($CC$3,0,0,'Données projet'!$E$12+1,1))-AVERAGE(OFFSET($H$3,0,0,'Données projet'!$E$12+1,1))</f>
        <v>312.59632808777332</v>
      </c>
      <c r="CE126" s="60">
        <f t="shared" si="94"/>
        <v>302.59481222418219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4.2</v>
      </c>
      <c r="CT126" s="13">
        <f>IF('Données projet'!$A$140&gt;35,CT125+CS126-DB125,IF(A126&lt;'Données projet'!$A$140,$CQ$205^A126,IF(A126='Données projet'!$A$140,'Données projet'!$B$140,CT125+CS126-DB125)))</f>
        <v>364.59999999999985</v>
      </c>
      <c r="CU126" s="18">
        <f>CT126*VLOOKUP('Données projet'!$B$13,Paramètres!$A$1:$I$89,3,0)*VLOOKUP('Données projet'!$B$13,Paramètres!$A$1:$I$89,5,0)</f>
        <v>352.64111999999989</v>
      </c>
      <c r="CV126" s="14">
        <f t="shared" si="95"/>
        <v>82.10610710216001</v>
      </c>
      <c r="CW126" s="22">
        <f t="shared" si="67"/>
        <v>757.18475386959517</v>
      </c>
      <c r="CX126" s="60">
        <f t="shared" si="68"/>
        <v>1039.8670336864459</v>
      </c>
      <c r="CY126" s="60">
        <f ca="1">AVERAGE(OFFSET($CX$3,0,0,'Données projet'!$E$13+1,1))-AVERAGE(OFFSET($H$3,0,0,'Données projet'!$E$13+1,1))</f>
        <v>603.52431522262032</v>
      </c>
      <c r="CZ126" s="60">
        <f t="shared" si="96"/>
        <v>313.56299786481338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4.2</v>
      </c>
      <c r="DO126" s="13">
        <f>IF('Données projet'!$A$166&gt;35,DO125+DN126-DW125,IF(A126&lt;'Données projet'!$A$166,$DL$205^A126,IF(A126='Données projet'!$A$166,'Données projet'!$B$166,DO125+DN126-DW125)))</f>
        <v>364.59999999999985</v>
      </c>
      <c r="DP126" s="18">
        <f>DO126*VLOOKUP('Données projet'!$B$14,Paramètres!$A$1:$I$89,3,0)*VLOOKUP('Données projet'!$B$14,Paramètres!$A$1:$I$89,5,0)</f>
        <v>392.45543999999978</v>
      </c>
      <c r="DQ126" s="14">
        <f t="shared" si="97"/>
        <v>90.245430528585047</v>
      </c>
      <c r="DR126" s="22">
        <f t="shared" si="70"/>
        <v>840.7040161706185</v>
      </c>
      <c r="DS126" s="60">
        <f t="shared" si="71"/>
        <v>1123.3862959874691</v>
      </c>
      <c r="DT126" s="60">
        <f ca="1">AVERAGE(OFFSET($DS$3,0,0,'Données projet'!$E$14+1,1))-AVERAGE(OFFSET($H$3,0,0,'Données projet'!$E$14+1,1))</f>
        <v>661.93515988633499</v>
      </c>
      <c r="DU126" s="60">
        <f t="shared" si="98"/>
        <v>341.9250949809848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>
        <f>EJ126*VLOOKUP('Données projet'!$B$15,Paramètres!$A$1:$I$89,3,0)*VLOOKUP('Données projet'!$B$15,Paramètres!$A$1:$I$89,5,0)</f>
        <v>0</v>
      </c>
      <c r="EL126" s="14" t="e">
        <f t="shared" si="99"/>
        <v>#NUM!</v>
      </c>
      <c r="EM126" s="22" t="e">
        <f t="shared" si="73"/>
        <v>#NUM!</v>
      </c>
      <c r="EN126" s="60" t="e">
        <f t="shared" si="74"/>
        <v>#NUM!</v>
      </c>
      <c r="EO126" s="60">
        <f ca="1">AVERAGE(OFFSET($EN$3,0,0,'Données projet'!$E$15+1,1))-AVERAGE(OFFSET($H$3,0,0,'Données projet'!$E$15+1,1))</f>
        <v>396.0878652679051</v>
      </c>
      <c r="EP126" s="60">
        <f t="shared" si="100"/>
        <v>327.26339199235406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-5.6843418860808015E-14</v>
      </c>
      <c r="FF126" s="18">
        <f>FE126*VLOOKUP('Données projet'!$B$16,Paramètres!$A$1:$I$89,3,0)*VLOOKUP('Données projet'!$B$16,Paramètres!$A$1:$I$89,5,0)</f>
        <v>-4.1677594708744434E-14</v>
      </c>
      <c r="FG126" s="14" t="e">
        <f t="shared" si="101"/>
        <v>#NUM!</v>
      </c>
      <c r="FH126" s="22" t="e">
        <f t="shared" si="76"/>
        <v>#NUM!</v>
      </c>
      <c r="FI126" s="60" t="e">
        <f t="shared" si="77"/>
        <v>#NUM!</v>
      </c>
      <c r="FJ126" s="60">
        <f ca="1">AVERAGE(OFFSET($FI$3,0,0,'Données projet'!$E$16+1,1))-AVERAGE(OFFSET($H$3,0,0,'Données projet'!$E$16+1,1))</f>
        <v>368.35775920359396</v>
      </c>
      <c r="FK126" s="60">
        <f t="shared" si="102"/>
        <v>395.5218438652638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6.4</v>
      </c>
      <c r="FZ126" s="13">
        <f>IF('Données projet'!$A$244&gt;35,FZ125+FY126-GH125,IF(A126&lt;'Données projet'!$A$244,$FW$205^A126,IF(A126='Données projet'!$A$244,'Données projet'!$B$244,FZ125+FY126-GH125)))</f>
        <v>526.1999999999997</v>
      </c>
      <c r="GA126" s="18">
        <f>FZ126*VLOOKUP('Données projet'!$B$17,Paramètres!$A$1:$I$89,3,0)*VLOOKUP('Données projet'!$B$17,Paramètres!$A$1:$I$89,5,0)</f>
        <v>451.47959999999978</v>
      </c>
      <c r="GB126" s="14">
        <f t="shared" si="103"/>
        <v>102.138698119588</v>
      </c>
      <c r="GC126" s="22">
        <f t="shared" si="79"/>
        <v>964.21853589161526</v>
      </c>
      <c r="GD126" s="60">
        <f t="shared" si="80"/>
        <v>1246.9008157084659</v>
      </c>
      <c r="GE126" s="60">
        <f ca="1">AVERAGE(OFFSET($GD$3,0,0,'Données projet'!$E$17+1,1))-AVERAGE(OFFSET($H$3,0,0,'Données projet'!$E$17+1,1))</f>
        <v>701.44583662096022</v>
      </c>
      <c r="GF126" s="60">
        <f t="shared" si="104"/>
        <v>331.25104323342907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-1.1368683772161603E-13</v>
      </c>
      <c r="GV126" s="18">
        <f>GU126*VLOOKUP('Données projet'!$B$18,Paramètres!$A$1:$I$89,3,0)*VLOOKUP('Données projet'!$B$18,Paramètres!$A$1:$I$89,5,0)</f>
        <v>-9.2222762759774927E-14</v>
      </c>
      <c r="GW126" s="14" t="e">
        <f t="shared" si="105"/>
        <v>#NUM!</v>
      </c>
      <c r="GX126" s="22" t="e">
        <f t="shared" si="82"/>
        <v>#NUM!</v>
      </c>
      <c r="GY126" s="60" t="e">
        <f t="shared" si="83"/>
        <v>#NUM!</v>
      </c>
      <c r="GZ126" s="60">
        <f ca="1">AVERAGE(OFFSET($GY$3,0,0,'Données projet'!$E$18+1,1))-AVERAGE(OFFSET($H$3,0,0,'Données projet'!$E$18+1,1))</f>
        <v>272.69564942740931</v>
      </c>
      <c r="HA126" s="60">
        <f t="shared" si="106"/>
        <v>316.57989180609252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25">
      <c r="A127" s="11">
        <f t="shared" si="85"/>
        <v>124</v>
      </c>
      <c r="B127" s="75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8">
        <f t="shared" si="56"/>
        <v>183.33333333333334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4.2</v>
      </c>
      <c r="N127" s="14">
        <f>IF('Données projet'!$A$36&gt;35,N126+M127-V126,IF(A127&lt;'Données projet'!$A$36,$K$205^A127,IF(A127='Données projet'!$A$36,'Données projet'!$B$36,N126+M127-V126)))</f>
        <v>368.79999999999984</v>
      </c>
      <c r="O127" s="14">
        <f>N127*VLOOKUP('Données projet'!$B$9,Paramètres!$A$1:$I$89,3,0)*VLOOKUP('Données projet'!$B$9,Paramètres!$A$1:$I$89,5,0)</f>
        <v>333.69023999999985</v>
      </c>
      <c r="P127" s="14">
        <f t="shared" si="87"/>
        <v>78.194892201133555</v>
      </c>
      <c r="Q127" s="22">
        <f t="shared" si="107"/>
        <v>717.36660525030732</v>
      </c>
      <c r="R127" s="60">
        <f t="shared" si="55"/>
        <v>1000.2336570334807</v>
      </c>
      <c r="S127" s="60">
        <f ca="1">AVERAGE(OFFSET($R$3,0,0,'Données projet'!$E$9+1,1))-AVERAGE(OFFSET($H$3,0,0,'Données projet'!$E$9+1,1))</f>
        <v>570.08763950759544</v>
      </c>
      <c r="T127" s="60">
        <f t="shared" si="88"/>
        <v>297.32483725004136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-4.5224624045658861E-14</v>
      </c>
      <c r="AK127" s="14" t="e">
        <f t="shared" si="89"/>
        <v>#NUM!</v>
      </c>
      <c r="AL127" s="22" t="e">
        <f t="shared" si="58"/>
        <v>#NUM!</v>
      </c>
      <c r="AM127" s="60" t="e">
        <f t="shared" si="59"/>
        <v>#NUM!</v>
      </c>
      <c r="AN127" s="60">
        <f ca="1">AVERAGE(OFFSET($AM$3,0,0,'Données projet'!$E$10+1,1))-AVERAGE(OFFSET($H$3,0,0,'Données projet'!$E$10+1,1))</f>
        <v>394.49874384716014</v>
      </c>
      <c r="AO127" s="60">
        <f t="shared" si="90"/>
        <v>423.72519584013378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5.4092197387944907E-14</v>
      </c>
      <c r="BF127" s="14">
        <f t="shared" si="91"/>
        <v>8.7287050538073676E-13</v>
      </c>
      <c r="BG127" s="22">
        <f t="shared" si="61"/>
        <v>1.6144600406554537E-12</v>
      </c>
      <c r="BH127" s="60">
        <f t="shared" si="62"/>
        <v>282.86705178317493</v>
      </c>
      <c r="BI127" s="60">
        <f ca="1">AVERAGE(OFFSET($BH$3,0,0,'Données projet'!$E$11+1,1))-AVERAGE(OFFSET($H$3,0,0,'Données projet'!$E$11+1,1))</f>
        <v>441.15969139782891</v>
      </c>
      <c r="BJ127" s="60">
        <f t="shared" si="92"/>
        <v>315.06466790224783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8.8675733422860506E-14</v>
      </c>
      <c r="CA127" s="14">
        <f t="shared" si="93"/>
        <v>1.3509285393066301E-12</v>
      </c>
      <c r="CB127" s="22">
        <f t="shared" si="64"/>
        <v>2.5073107750038623E-12</v>
      </c>
      <c r="CC127" s="60">
        <f t="shared" si="65"/>
        <v>282.86705178317584</v>
      </c>
      <c r="CD127" s="60">
        <f ca="1">AVERAGE(OFFSET($CC$3,0,0,'Données projet'!$E$12+1,1))-AVERAGE(OFFSET($H$3,0,0,'Données projet'!$E$12+1,1))</f>
        <v>312.59632808777332</v>
      </c>
      <c r="CE127" s="60">
        <f t="shared" si="94"/>
        <v>302.59481222418219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4.2</v>
      </c>
      <c r="CT127" s="13">
        <f>IF('Données projet'!$A$140&gt;35,CT126+CS127-DB126,IF(A127&lt;'Données projet'!$A$140,$CQ$205^A127,IF(A127='Données projet'!$A$140,'Données projet'!$B$140,CT126+CS127-DB126)))</f>
        <v>368.79999999999984</v>
      </c>
      <c r="CU127" s="18">
        <f>CT127*VLOOKUP('Données projet'!$B$13,Paramètres!$A$1:$I$89,3,0)*VLOOKUP('Données projet'!$B$13,Paramètres!$A$1:$I$89,5,0)</f>
        <v>356.70335999999986</v>
      </c>
      <c r="CV127" s="14">
        <f t="shared" si="95"/>
        <v>82.941274962297129</v>
      </c>
      <c r="CW127" s="22">
        <f t="shared" si="67"/>
        <v>765.71440589266729</v>
      </c>
      <c r="CX127" s="60">
        <f t="shared" si="68"/>
        <v>1048.5814576758407</v>
      </c>
      <c r="CY127" s="60">
        <f ca="1">AVERAGE(OFFSET($CX$3,0,0,'Données projet'!$E$13+1,1))-AVERAGE(OFFSET($H$3,0,0,'Données projet'!$E$13+1,1))</f>
        <v>603.52431522262032</v>
      </c>
      <c r="CZ127" s="60">
        <f t="shared" si="96"/>
        <v>313.56299786481338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4.2</v>
      </c>
      <c r="DO127" s="13">
        <f>IF('Données projet'!$A$166&gt;35,DO126+DN127-DW126,IF(A127&lt;'Données projet'!$A$166,$DL$205^A127,IF(A127='Données projet'!$A$166,'Données projet'!$B$166,DO126+DN127-DW126)))</f>
        <v>368.79999999999984</v>
      </c>
      <c r="DP127" s="18">
        <f>DO127*VLOOKUP('Données projet'!$B$14,Paramètres!$A$1:$I$89,3,0)*VLOOKUP('Données projet'!$B$14,Paramètres!$A$1:$I$89,5,0)</f>
        <v>396.97631999999982</v>
      </c>
      <c r="DQ127" s="14">
        <f t="shared" si="97"/>
        <v>91.163390053909268</v>
      </c>
      <c r="DR127" s="22">
        <f t="shared" si="70"/>
        <v>850.17666167722484</v>
      </c>
      <c r="DS127" s="60">
        <f t="shared" si="71"/>
        <v>1133.0437134603981</v>
      </c>
      <c r="DT127" s="60">
        <f ca="1">AVERAGE(OFFSET($DS$3,0,0,'Données projet'!$E$14+1,1))-AVERAGE(OFFSET($H$3,0,0,'Données projet'!$E$14+1,1))</f>
        <v>661.93515988633499</v>
      </c>
      <c r="DU127" s="60">
        <f t="shared" si="98"/>
        <v>341.9250949809848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>
        <f>EJ127*VLOOKUP('Données projet'!$B$15,Paramètres!$A$1:$I$89,3,0)*VLOOKUP('Données projet'!$B$15,Paramètres!$A$1:$I$89,5,0)</f>
        <v>0</v>
      </c>
      <c r="EL127" s="14" t="e">
        <f t="shared" si="99"/>
        <v>#NUM!</v>
      </c>
      <c r="EM127" s="22" t="e">
        <f t="shared" si="73"/>
        <v>#NUM!</v>
      </c>
      <c r="EN127" s="60" t="e">
        <f t="shared" si="74"/>
        <v>#NUM!</v>
      </c>
      <c r="EO127" s="60">
        <f ca="1">AVERAGE(OFFSET($EN$3,0,0,'Données projet'!$E$15+1,1))-AVERAGE(OFFSET($H$3,0,0,'Données projet'!$E$15+1,1))</f>
        <v>396.0878652679051</v>
      </c>
      <c r="EP127" s="60">
        <f t="shared" si="100"/>
        <v>327.26339199235406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-5.6843418860808015E-14</v>
      </c>
      <c r="FF127" s="18">
        <f>FE127*VLOOKUP('Données projet'!$B$16,Paramètres!$A$1:$I$89,3,0)*VLOOKUP('Données projet'!$B$16,Paramètres!$A$1:$I$89,5,0)</f>
        <v>-4.1677594708744434E-14</v>
      </c>
      <c r="FG127" s="14" t="e">
        <f t="shared" si="101"/>
        <v>#NUM!</v>
      </c>
      <c r="FH127" s="22" t="e">
        <f t="shared" si="76"/>
        <v>#NUM!</v>
      </c>
      <c r="FI127" s="60" t="e">
        <f t="shared" si="77"/>
        <v>#NUM!</v>
      </c>
      <c r="FJ127" s="60">
        <f ca="1">AVERAGE(OFFSET($FI$3,0,0,'Données projet'!$E$16+1,1))-AVERAGE(OFFSET($H$3,0,0,'Données projet'!$E$16+1,1))</f>
        <v>368.35775920359396</v>
      </c>
      <c r="FK127" s="60">
        <f t="shared" si="102"/>
        <v>395.5218438652638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6.4</v>
      </c>
      <c r="FZ127" s="13">
        <f>IF('Données projet'!$A$244&gt;35,FZ126+FY127-GH126,IF(A127&lt;'Données projet'!$A$244,$FW$205^A127,IF(A127='Données projet'!$A$244,'Données projet'!$B$244,FZ126+FY127-GH126)))</f>
        <v>532.59999999999968</v>
      </c>
      <c r="GA127" s="18">
        <f>FZ127*VLOOKUP('Données projet'!$B$17,Paramètres!$A$1:$I$89,3,0)*VLOOKUP('Données projet'!$B$17,Paramètres!$A$1:$I$89,5,0)</f>
        <v>456.97079999999977</v>
      </c>
      <c r="GB127" s="14">
        <f t="shared" si="103"/>
        <v>103.23560309655628</v>
      </c>
      <c r="GC127" s="22">
        <f t="shared" si="79"/>
        <v>975.69281872650174</v>
      </c>
      <c r="GD127" s="60">
        <f t="shared" si="80"/>
        <v>1258.559870509675</v>
      </c>
      <c r="GE127" s="60">
        <f ca="1">AVERAGE(OFFSET($GD$3,0,0,'Données projet'!$E$17+1,1))-AVERAGE(OFFSET($H$3,0,0,'Données projet'!$E$17+1,1))</f>
        <v>701.44583662096022</v>
      </c>
      <c r="GF127" s="60">
        <f t="shared" si="104"/>
        <v>331.25104323342907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-1.1368683772161603E-13</v>
      </c>
      <c r="GV127" s="18">
        <f>GU127*VLOOKUP('Données projet'!$B$18,Paramètres!$A$1:$I$89,3,0)*VLOOKUP('Données projet'!$B$18,Paramètres!$A$1:$I$89,5,0)</f>
        <v>-9.2222762759774927E-14</v>
      </c>
      <c r="GW127" s="14" t="e">
        <f t="shared" si="105"/>
        <v>#NUM!</v>
      </c>
      <c r="GX127" s="22" t="e">
        <f t="shared" si="82"/>
        <v>#NUM!</v>
      </c>
      <c r="GY127" s="60" t="e">
        <f t="shared" si="83"/>
        <v>#NUM!</v>
      </c>
      <c r="GZ127" s="60">
        <f ca="1">AVERAGE(OFFSET($GY$3,0,0,'Données projet'!$E$18+1,1))-AVERAGE(OFFSET($H$3,0,0,'Données projet'!$E$18+1,1))</f>
        <v>272.69564942740931</v>
      </c>
      <c r="HA127" s="60">
        <f t="shared" si="106"/>
        <v>316.57989180609252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25">
      <c r="A128" s="11">
        <f t="shared" si="85"/>
        <v>125</v>
      </c>
      <c r="B128" s="75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8">
        <f t="shared" si="56"/>
        <v>183.33333333333334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4.2</v>
      </c>
      <c r="N128" s="14">
        <f>IF('Données projet'!$A$36&gt;35,N127+M128-V127,IF(A128&lt;'Données projet'!$A$36,$K$205^A128,IF(A128='Données projet'!$A$36,'Données projet'!$B$36,N127+M128-V127)))</f>
        <v>372.99999999999983</v>
      </c>
      <c r="O128" s="14">
        <f>N128*VLOOKUP('Données projet'!$B$9,Paramètres!$A$1:$I$89,3,0)*VLOOKUP('Données projet'!$B$9,Paramètres!$A$1:$I$89,5,0)</f>
        <v>337.49039999999985</v>
      </c>
      <c r="P128" s="14">
        <f t="shared" si="87"/>
        <v>78.981223819202711</v>
      </c>
      <c r="Q128" s="22">
        <f t="shared" si="107"/>
        <v>725.35474481844449</v>
      </c>
      <c r="R128" s="60">
        <f t="shared" si="55"/>
        <v>1008.403363187413</v>
      </c>
      <c r="S128" s="60">
        <f ca="1">AVERAGE(OFFSET($R$3,0,0,'Données projet'!$E$9+1,1))-AVERAGE(OFFSET($H$3,0,0,'Données projet'!$E$9+1,1))</f>
        <v>570.08763950759544</v>
      </c>
      <c r="T128" s="60">
        <f t="shared" si="88"/>
        <v>297.32483725004136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-4.5224624045658861E-14</v>
      </c>
      <c r="AK128" s="14" t="e">
        <f t="shared" si="89"/>
        <v>#NUM!</v>
      </c>
      <c r="AL128" s="22" t="e">
        <f t="shared" si="58"/>
        <v>#NUM!</v>
      </c>
      <c r="AM128" s="60" t="e">
        <f t="shared" si="59"/>
        <v>#NUM!</v>
      </c>
      <c r="AN128" s="60">
        <f ca="1">AVERAGE(OFFSET($AM$3,0,0,'Données projet'!$E$10+1,1))-AVERAGE(OFFSET($H$3,0,0,'Données projet'!$E$10+1,1))</f>
        <v>394.49874384716014</v>
      </c>
      <c r="AO128" s="60">
        <f t="shared" si="90"/>
        <v>423.72519584013378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5.4092197387944907E-14</v>
      </c>
      <c r="BF128" s="14">
        <f t="shared" si="91"/>
        <v>8.7287050538073676E-13</v>
      </c>
      <c r="BG128" s="22">
        <f t="shared" si="61"/>
        <v>1.6144600406554537E-12</v>
      </c>
      <c r="BH128" s="60">
        <f t="shared" si="62"/>
        <v>283.0486183689701</v>
      </c>
      <c r="BI128" s="60">
        <f ca="1">AVERAGE(OFFSET($BH$3,0,0,'Données projet'!$E$11+1,1))-AVERAGE(OFFSET($H$3,0,0,'Données projet'!$E$11+1,1))</f>
        <v>441.15969139782891</v>
      </c>
      <c r="BJ128" s="60">
        <f t="shared" si="92"/>
        <v>315.06466790224783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8.8675733422860506E-14</v>
      </c>
      <c r="CA128" s="14">
        <f t="shared" si="93"/>
        <v>1.3509285393066301E-12</v>
      </c>
      <c r="CB128" s="22">
        <f t="shared" si="64"/>
        <v>2.5073107750038623E-12</v>
      </c>
      <c r="CC128" s="60">
        <f t="shared" si="65"/>
        <v>283.04861836897101</v>
      </c>
      <c r="CD128" s="60">
        <f ca="1">AVERAGE(OFFSET($CC$3,0,0,'Données projet'!$E$12+1,1))-AVERAGE(OFFSET($H$3,0,0,'Données projet'!$E$12+1,1))</f>
        <v>312.59632808777332</v>
      </c>
      <c r="CE128" s="60">
        <f t="shared" si="94"/>
        <v>302.59481222418219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4.2</v>
      </c>
      <c r="CT128" s="13">
        <f>IF('Données projet'!$A$140&gt;35,CT127+CS128-DB127,IF(A128&lt;'Données projet'!$A$140,$CQ$205^A128,IF(A128='Données projet'!$A$140,'Données projet'!$B$140,CT127+CS128-DB127)))</f>
        <v>372.99999999999983</v>
      </c>
      <c r="CU128" s="18">
        <f>CT128*VLOOKUP('Données projet'!$B$13,Paramètres!$A$1:$I$89,3,0)*VLOOKUP('Données projet'!$B$13,Paramètres!$A$1:$I$89,5,0)</f>
        <v>360.76559999999989</v>
      </c>
      <c r="CV128" s="14">
        <f t="shared" si="95"/>
        <v>83.775336434983416</v>
      </c>
      <c r="CW128" s="22">
        <f t="shared" si="67"/>
        <v>774.24213095759603</v>
      </c>
      <c r="CX128" s="60">
        <f t="shared" si="68"/>
        <v>1057.2907493265645</v>
      </c>
      <c r="CY128" s="60">
        <f ca="1">AVERAGE(OFFSET($CX$3,0,0,'Données projet'!$E$13+1,1))-AVERAGE(OFFSET($H$3,0,0,'Données projet'!$E$13+1,1))</f>
        <v>603.52431522262032</v>
      </c>
      <c r="CZ128" s="60">
        <f t="shared" si="96"/>
        <v>313.56299786481338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4.2</v>
      </c>
      <c r="DO128" s="13">
        <f>IF('Données projet'!$A$166&gt;35,DO127+DN128-DW127,IF(A128&lt;'Données projet'!$A$166,$DL$205^A128,IF(A128='Données projet'!$A$166,'Données projet'!$B$166,DO127+DN128-DW127)))</f>
        <v>372.99999999999983</v>
      </c>
      <c r="DP128" s="18">
        <f>DO128*VLOOKUP('Données projet'!$B$14,Paramètres!$A$1:$I$89,3,0)*VLOOKUP('Données projet'!$B$14,Paramètres!$A$1:$I$89,5,0)</f>
        <v>401.49719999999985</v>
      </c>
      <c r="DQ128" s="14">
        <f t="shared" si="97"/>
        <v>92.080133513640348</v>
      </c>
      <c r="DR128" s="22">
        <f t="shared" si="70"/>
        <v>859.64718920292319</v>
      </c>
      <c r="DS128" s="60">
        <f t="shared" si="71"/>
        <v>1142.6958075718917</v>
      </c>
      <c r="DT128" s="60">
        <f ca="1">AVERAGE(OFFSET($DS$3,0,0,'Données projet'!$E$14+1,1))-AVERAGE(OFFSET($H$3,0,0,'Données projet'!$E$14+1,1))</f>
        <v>661.93515988633499</v>
      </c>
      <c r="DU128" s="60">
        <f t="shared" si="98"/>
        <v>341.9250949809848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>
        <f>EJ128*VLOOKUP('Données projet'!$B$15,Paramètres!$A$1:$I$89,3,0)*VLOOKUP('Données projet'!$B$15,Paramètres!$A$1:$I$89,5,0)</f>
        <v>0</v>
      </c>
      <c r="EL128" s="14" t="e">
        <f t="shared" si="99"/>
        <v>#NUM!</v>
      </c>
      <c r="EM128" s="22" t="e">
        <f t="shared" si="73"/>
        <v>#NUM!</v>
      </c>
      <c r="EN128" s="60" t="e">
        <f t="shared" si="74"/>
        <v>#NUM!</v>
      </c>
      <c r="EO128" s="60">
        <f ca="1">AVERAGE(OFFSET($EN$3,0,0,'Données projet'!$E$15+1,1))-AVERAGE(OFFSET($H$3,0,0,'Données projet'!$E$15+1,1))</f>
        <v>396.0878652679051</v>
      </c>
      <c r="EP128" s="60">
        <f t="shared" si="100"/>
        <v>327.26339199235406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-5.6843418860808015E-14</v>
      </c>
      <c r="FF128" s="18">
        <f>FE128*VLOOKUP('Données projet'!$B$16,Paramètres!$A$1:$I$89,3,0)*VLOOKUP('Données projet'!$B$16,Paramètres!$A$1:$I$89,5,0)</f>
        <v>-4.1677594708744434E-14</v>
      </c>
      <c r="FG128" s="14" t="e">
        <f t="shared" si="101"/>
        <v>#NUM!</v>
      </c>
      <c r="FH128" s="22" t="e">
        <f t="shared" si="76"/>
        <v>#NUM!</v>
      </c>
      <c r="FI128" s="60" t="e">
        <f t="shared" si="77"/>
        <v>#NUM!</v>
      </c>
      <c r="FJ128" s="60">
        <f ca="1">AVERAGE(OFFSET($FI$3,0,0,'Données projet'!$E$16+1,1))-AVERAGE(OFFSET($H$3,0,0,'Données projet'!$E$16+1,1))</f>
        <v>368.35775920359396</v>
      </c>
      <c r="FK128" s="60">
        <f t="shared" si="102"/>
        <v>395.5218438652638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>
        <f>VLOOKUP(A128,'Données projet'!$A$243:$I$263,2,0)</f>
        <v>539</v>
      </c>
      <c r="FX128" s="13">
        <f>VLOOKUP(A128,'Données projet'!$A$243:$I$263,9,0)</f>
        <v>6.4</v>
      </c>
      <c r="FY128" s="13">
        <f t="array" ref="FY128">INDEX(FX:FX,MIN(IF(ISNUMBER(FX128:FX324),ROW(FX128:FX324),"")))</f>
        <v>6.4</v>
      </c>
      <c r="FZ128" s="13">
        <f>IF('Données projet'!$A$244&gt;35,FZ127+FY128-GH127,IF(A128&lt;'Données projet'!$A$244,$FW$205^A128,IF(A128='Données projet'!$A$244,'Données projet'!$B$244,FZ127+FY128-GH127)))</f>
        <v>538.99999999999966</v>
      </c>
      <c r="GA128" s="18">
        <f>FZ128*VLOOKUP('Données projet'!$B$17,Paramètres!$A$1:$I$89,3,0)*VLOOKUP('Données projet'!$B$17,Paramètres!$A$1:$I$89,5,0)</f>
        <v>462.4619999999997</v>
      </c>
      <c r="GB128" s="14">
        <f t="shared" si="103"/>
        <v>104.33097484052273</v>
      </c>
      <c r="GC128" s="22">
        <f t="shared" si="79"/>
        <v>987.16443118057657</v>
      </c>
      <c r="GD128" s="60">
        <f t="shared" si="80"/>
        <v>1270.2130495495451</v>
      </c>
      <c r="GE128" s="60">
        <f ca="1">AVERAGE(OFFSET($GD$3,0,0,'Données projet'!$E$17+1,1))-AVERAGE(OFFSET($H$3,0,0,'Données projet'!$E$17+1,1))</f>
        <v>701.44583662096022</v>
      </c>
      <c r="GF128" s="60">
        <f t="shared" si="104"/>
        <v>331.25104323342907</v>
      </c>
      <c r="GG128" s="16">
        <f>IF(ISNA(VLOOKUP(A128,'Données projet'!$A$243:$I$263,3,0)),0,VLOOKUP(A128,'Données projet'!$A$243:$I$263,3,0))</f>
        <v>11</v>
      </c>
      <c r="GH128" s="16">
        <f>IF(ISNA(VLOOKUP(A128,'Données projet'!$A$243:$I$263,4,0)),0,VLOOKUP(A128,'Données projet'!$A$243:$I$263,4,0))</f>
        <v>51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-1.1368683772161603E-13</v>
      </c>
      <c r="GV128" s="18">
        <f>GU128*VLOOKUP('Données projet'!$B$18,Paramètres!$A$1:$I$89,3,0)*VLOOKUP('Données projet'!$B$18,Paramètres!$A$1:$I$89,5,0)</f>
        <v>-9.2222762759774927E-14</v>
      </c>
      <c r="GW128" s="14" t="e">
        <f t="shared" si="105"/>
        <v>#NUM!</v>
      </c>
      <c r="GX128" s="22" t="e">
        <f t="shared" si="82"/>
        <v>#NUM!</v>
      </c>
      <c r="GY128" s="60" t="e">
        <f t="shared" si="83"/>
        <v>#NUM!</v>
      </c>
      <c r="GZ128" s="60">
        <f ca="1">AVERAGE(OFFSET($GY$3,0,0,'Données projet'!$E$18+1,1))-AVERAGE(OFFSET($H$3,0,0,'Données projet'!$E$18+1,1))</f>
        <v>272.69564942740931</v>
      </c>
      <c r="HA128" s="60">
        <f t="shared" si="106"/>
        <v>316.57989180609252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25">
      <c r="A129" s="11">
        <f t="shared" si="85"/>
        <v>126</v>
      </c>
      <c r="B129" s="75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8">
        <f t="shared" si="56"/>
        <v>183.33333333333334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4.2</v>
      </c>
      <c r="N129" s="14">
        <f>IF('Données projet'!$A$36&gt;35,N128+M129-V128,IF(A129&lt;'Données projet'!$A$36,$K$205^A129,IF(A129='Données projet'!$A$36,'Données projet'!$B$36,N128+M129-V128)))</f>
        <v>377.19999999999982</v>
      </c>
      <c r="O129" s="14">
        <f>N129*VLOOKUP('Données projet'!$B$9,Paramètres!$A$1:$I$89,3,0)*VLOOKUP('Données projet'!$B$9,Paramètres!$A$1:$I$89,5,0)</f>
        <v>341.2905599999998</v>
      </c>
      <c r="P129" s="14">
        <f t="shared" si="87"/>
        <v>79.766525467910597</v>
      </c>
      <c r="Q129" s="22">
        <f t="shared" si="107"/>
        <v>733.34109052327722</v>
      </c>
      <c r="R129" s="60">
        <f t="shared" si="55"/>
        <v>1016.5681257036995</v>
      </c>
      <c r="S129" s="60">
        <f ca="1">AVERAGE(OFFSET($R$3,0,0,'Données projet'!$E$9+1,1))-AVERAGE(OFFSET($H$3,0,0,'Données projet'!$E$9+1,1))</f>
        <v>570.08763950759544</v>
      </c>
      <c r="T129" s="60">
        <f t="shared" si="88"/>
        <v>297.32483725004136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-4.5224624045658861E-14</v>
      </c>
      <c r="AK129" s="14" t="e">
        <f t="shared" si="89"/>
        <v>#NUM!</v>
      </c>
      <c r="AL129" s="22" t="e">
        <f t="shared" si="58"/>
        <v>#NUM!</v>
      </c>
      <c r="AM129" s="60" t="e">
        <f t="shared" si="59"/>
        <v>#NUM!</v>
      </c>
      <c r="AN129" s="60">
        <f ca="1">AVERAGE(OFFSET($AM$3,0,0,'Données projet'!$E$10+1,1))-AVERAGE(OFFSET($H$3,0,0,'Données projet'!$E$10+1,1))</f>
        <v>394.49874384716014</v>
      </c>
      <c r="AO129" s="60">
        <f t="shared" si="90"/>
        <v>423.72519584013378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5.4092197387944907E-14</v>
      </c>
      <c r="BF129" s="14">
        <f t="shared" si="91"/>
        <v>8.7287050538073676E-13</v>
      </c>
      <c r="BG129" s="22">
        <f t="shared" si="61"/>
        <v>1.6144600406554537E-12</v>
      </c>
      <c r="BH129" s="60">
        <f t="shared" si="62"/>
        <v>283.2270351804238</v>
      </c>
      <c r="BI129" s="60">
        <f ca="1">AVERAGE(OFFSET($BH$3,0,0,'Données projet'!$E$11+1,1))-AVERAGE(OFFSET($H$3,0,0,'Données projet'!$E$11+1,1))</f>
        <v>441.15969139782891</v>
      </c>
      <c r="BJ129" s="60">
        <f t="shared" si="92"/>
        <v>315.06466790224783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8.8675733422860506E-14</v>
      </c>
      <c r="CA129" s="14">
        <f t="shared" si="93"/>
        <v>1.3509285393066301E-12</v>
      </c>
      <c r="CB129" s="22">
        <f t="shared" si="64"/>
        <v>2.5073107750038623E-12</v>
      </c>
      <c r="CC129" s="60">
        <f t="shared" si="65"/>
        <v>283.22703518042471</v>
      </c>
      <c r="CD129" s="60">
        <f ca="1">AVERAGE(OFFSET($CC$3,0,0,'Données projet'!$E$12+1,1))-AVERAGE(OFFSET($H$3,0,0,'Données projet'!$E$12+1,1))</f>
        <v>312.59632808777332</v>
      </c>
      <c r="CE129" s="60">
        <f t="shared" si="94"/>
        <v>302.59481222418219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4.2</v>
      </c>
      <c r="CT129" s="13">
        <f>IF('Données projet'!$A$140&gt;35,CT128+CS129-DB128,IF(A129&lt;'Données projet'!$A$140,$CQ$205^A129,IF(A129='Données projet'!$A$140,'Données projet'!$B$140,CT128+CS129-DB128)))</f>
        <v>377.19999999999982</v>
      </c>
      <c r="CU129" s="18">
        <f>CT129*VLOOKUP('Données projet'!$B$13,Paramètres!$A$1:$I$89,3,0)*VLOOKUP('Données projet'!$B$13,Paramètres!$A$1:$I$89,5,0)</f>
        <v>364.82783999999987</v>
      </c>
      <c r="CV129" s="14">
        <f t="shared" si="95"/>
        <v>84.608305419789914</v>
      </c>
      <c r="CW129" s="22">
        <f t="shared" si="67"/>
        <v>782.76795327280058</v>
      </c>
      <c r="CX129" s="60">
        <f t="shared" si="68"/>
        <v>1065.9949884532227</v>
      </c>
      <c r="CY129" s="60">
        <f ca="1">AVERAGE(OFFSET($CX$3,0,0,'Données projet'!$E$13+1,1))-AVERAGE(OFFSET($H$3,0,0,'Données projet'!$E$13+1,1))</f>
        <v>603.52431522262032</v>
      </c>
      <c r="CZ129" s="60">
        <f t="shared" si="96"/>
        <v>313.56299786481338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4.2</v>
      </c>
      <c r="DO129" s="13">
        <f>IF('Données projet'!$A$166&gt;35,DO128+DN129-DW128,IF(A129&lt;'Données projet'!$A$166,$DL$205^A129,IF(A129='Données projet'!$A$166,'Données projet'!$B$166,DO128+DN129-DW128)))</f>
        <v>377.19999999999982</v>
      </c>
      <c r="DP129" s="18">
        <f>DO129*VLOOKUP('Données projet'!$B$14,Paramètres!$A$1:$I$89,3,0)*VLOOKUP('Données projet'!$B$14,Paramètres!$A$1:$I$89,5,0)</f>
        <v>406.01807999999977</v>
      </c>
      <c r="DQ129" s="14">
        <f t="shared" si="97"/>
        <v>92.995676185238253</v>
      </c>
      <c r="DR129" s="22">
        <f t="shared" si="70"/>
        <v>869.11562535595624</v>
      </c>
      <c r="DS129" s="60">
        <f t="shared" si="71"/>
        <v>1152.3426605363784</v>
      </c>
      <c r="DT129" s="60">
        <f ca="1">AVERAGE(OFFSET($DS$3,0,0,'Données projet'!$E$14+1,1))-AVERAGE(OFFSET($H$3,0,0,'Données projet'!$E$14+1,1))</f>
        <v>661.93515988633499</v>
      </c>
      <c r="DU129" s="60">
        <f t="shared" si="98"/>
        <v>341.9250949809848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>
        <f>EJ129*VLOOKUP('Données projet'!$B$15,Paramètres!$A$1:$I$89,3,0)*VLOOKUP('Données projet'!$B$15,Paramètres!$A$1:$I$89,5,0)</f>
        <v>0</v>
      </c>
      <c r="EL129" s="14" t="e">
        <f t="shared" si="99"/>
        <v>#NUM!</v>
      </c>
      <c r="EM129" s="22" t="e">
        <f t="shared" si="73"/>
        <v>#NUM!</v>
      </c>
      <c r="EN129" s="60" t="e">
        <f t="shared" si="74"/>
        <v>#NUM!</v>
      </c>
      <c r="EO129" s="60">
        <f ca="1">AVERAGE(OFFSET($EN$3,0,0,'Données projet'!$E$15+1,1))-AVERAGE(OFFSET($H$3,0,0,'Données projet'!$E$15+1,1))</f>
        <v>396.0878652679051</v>
      </c>
      <c r="EP129" s="60">
        <f t="shared" si="100"/>
        <v>327.26339199235406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-5.6843418860808015E-14</v>
      </c>
      <c r="FF129" s="18">
        <f>FE129*VLOOKUP('Données projet'!$B$16,Paramètres!$A$1:$I$89,3,0)*VLOOKUP('Données projet'!$B$16,Paramètres!$A$1:$I$89,5,0)</f>
        <v>-4.1677594708744434E-14</v>
      </c>
      <c r="FG129" s="14" t="e">
        <f t="shared" si="101"/>
        <v>#NUM!</v>
      </c>
      <c r="FH129" s="22" t="e">
        <f t="shared" si="76"/>
        <v>#NUM!</v>
      </c>
      <c r="FI129" s="60" t="e">
        <f t="shared" si="77"/>
        <v>#NUM!</v>
      </c>
      <c r="FJ129" s="60">
        <f ca="1">AVERAGE(OFFSET($FI$3,0,0,'Données projet'!$E$16+1,1))-AVERAGE(OFFSET($H$3,0,0,'Données projet'!$E$16+1,1))</f>
        <v>368.35775920359396</v>
      </c>
      <c r="FK129" s="60">
        <f t="shared" si="102"/>
        <v>395.5218438652638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5.8</v>
      </c>
      <c r="FZ129" s="13">
        <f>IF('Données projet'!$A$244&gt;35,FZ128+FY129-GH128,IF(A129&lt;'Données projet'!$A$244,$FW$205^A129,IF(A129='Données projet'!$A$244,'Données projet'!$B$244,FZ128+FY129-GH128)))</f>
        <v>493.79999999999961</v>
      </c>
      <c r="GA129" s="18">
        <f>FZ129*VLOOKUP('Données projet'!$B$17,Paramètres!$A$1:$I$89,3,0)*VLOOKUP('Données projet'!$B$17,Paramètres!$A$1:$I$89,5,0)</f>
        <v>423.68039999999974</v>
      </c>
      <c r="GB129" s="14">
        <f t="shared" si="103"/>
        <v>96.561315037221675</v>
      </c>
      <c r="GC129" s="22">
        <f t="shared" si="79"/>
        <v>906.08765368982722</v>
      </c>
      <c r="GD129" s="60">
        <f t="shared" si="80"/>
        <v>1189.3146888702495</v>
      </c>
      <c r="GE129" s="60">
        <f ca="1">AVERAGE(OFFSET($GD$3,0,0,'Données projet'!$E$17+1,1))-AVERAGE(OFFSET($H$3,0,0,'Données projet'!$E$17+1,1))</f>
        <v>701.44583662096022</v>
      </c>
      <c r="GF129" s="60">
        <f t="shared" si="104"/>
        <v>331.25104323342907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-1.1368683772161603E-13</v>
      </c>
      <c r="GV129" s="18">
        <f>GU129*VLOOKUP('Données projet'!$B$18,Paramètres!$A$1:$I$89,3,0)*VLOOKUP('Données projet'!$B$18,Paramètres!$A$1:$I$89,5,0)</f>
        <v>-9.2222762759774927E-14</v>
      </c>
      <c r="GW129" s="14" t="e">
        <f t="shared" si="105"/>
        <v>#NUM!</v>
      </c>
      <c r="GX129" s="22" t="e">
        <f t="shared" si="82"/>
        <v>#NUM!</v>
      </c>
      <c r="GY129" s="60" t="e">
        <f t="shared" si="83"/>
        <v>#NUM!</v>
      </c>
      <c r="GZ129" s="60">
        <f ca="1">AVERAGE(OFFSET($GY$3,0,0,'Données projet'!$E$18+1,1))-AVERAGE(OFFSET($H$3,0,0,'Données projet'!$E$18+1,1))</f>
        <v>272.69564942740931</v>
      </c>
      <c r="HA129" s="60">
        <f t="shared" si="106"/>
        <v>316.57989180609252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25">
      <c r="A130" s="11">
        <f t="shared" si="85"/>
        <v>127</v>
      </c>
      <c r="B130" s="75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8">
        <f t="shared" si="56"/>
        <v>183.33333333333334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4.2</v>
      </c>
      <c r="N130" s="14">
        <f>IF('Données projet'!$A$36&gt;35,N129+M130-V129,IF(A130&lt;'Données projet'!$A$36,$K$205^A130,IF(A130='Données projet'!$A$36,'Données projet'!$B$36,N129+M130-V129)))</f>
        <v>381.39999999999981</v>
      </c>
      <c r="O130" s="14">
        <f>N130*VLOOKUP('Données projet'!$B$9,Paramètres!$A$1:$I$89,3,0)*VLOOKUP('Données projet'!$B$9,Paramètres!$A$1:$I$89,5,0)</f>
        <v>345.09071999999981</v>
      </c>
      <c r="P130" s="14">
        <f t="shared" si="87"/>
        <v>80.550809942790039</v>
      </c>
      <c r="Q130" s="22">
        <f t="shared" si="107"/>
        <v>741.32566465035904</v>
      </c>
      <c r="R130" s="60">
        <f t="shared" si="55"/>
        <v>1024.7280215094365</v>
      </c>
      <c r="S130" s="60">
        <f ca="1">AVERAGE(OFFSET($R$3,0,0,'Données projet'!$E$9+1,1))-AVERAGE(OFFSET($H$3,0,0,'Données projet'!$E$9+1,1))</f>
        <v>570.08763950759544</v>
      </c>
      <c r="T130" s="60">
        <f t="shared" si="88"/>
        <v>297.32483725004136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-4.5224624045658861E-14</v>
      </c>
      <c r="AK130" s="14" t="e">
        <f t="shared" si="89"/>
        <v>#NUM!</v>
      </c>
      <c r="AL130" s="22" t="e">
        <f t="shared" si="58"/>
        <v>#NUM!</v>
      </c>
      <c r="AM130" s="60" t="e">
        <f t="shared" si="59"/>
        <v>#NUM!</v>
      </c>
      <c r="AN130" s="60">
        <f ca="1">AVERAGE(OFFSET($AM$3,0,0,'Données projet'!$E$10+1,1))-AVERAGE(OFFSET($H$3,0,0,'Données projet'!$E$10+1,1))</f>
        <v>394.49874384716014</v>
      </c>
      <c r="AO130" s="60">
        <f t="shared" si="90"/>
        <v>423.72519584013378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5.4092197387944907E-14</v>
      </c>
      <c r="BF130" s="14">
        <f t="shared" si="91"/>
        <v>8.7287050538073676E-13</v>
      </c>
      <c r="BG130" s="22">
        <f t="shared" si="61"/>
        <v>1.6144600406554537E-12</v>
      </c>
      <c r="BH130" s="60">
        <f t="shared" si="62"/>
        <v>283.40235685907902</v>
      </c>
      <c r="BI130" s="60">
        <f ca="1">AVERAGE(OFFSET($BH$3,0,0,'Données projet'!$E$11+1,1))-AVERAGE(OFFSET($H$3,0,0,'Données projet'!$E$11+1,1))</f>
        <v>441.15969139782891</v>
      </c>
      <c r="BJ130" s="60">
        <f t="shared" si="92"/>
        <v>315.06466790224783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8.8675733422860506E-14</v>
      </c>
      <c r="CA130" s="14">
        <f t="shared" si="93"/>
        <v>1.3509285393066301E-12</v>
      </c>
      <c r="CB130" s="22">
        <f t="shared" si="64"/>
        <v>2.5073107750038623E-12</v>
      </c>
      <c r="CC130" s="60">
        <f t="shared" si="65"/>
        <v>283.40235685907993</v>
      </c>
      <c r="CD130" s="60">
        <f ca="1">AVERAGE(OFFSET($CC$3,0,0,'Données projet'!$E$12+1,1))-AVERAGE(OFFSET($H$3,0,0,'Données projet'!$E$12+1,1))</f>
        <v>312.59632808777332</v>
      </c>
      <c r="CE130" s="60">
        <f t="shared" si="94"/>
        <v>302.59481222418219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4.2</v>
      </c>
      <c r="CT130" s="13">
        <f>IF('Données projet'!$A$140&gt;35,CT129+CS130-DB129,IF(A130&lt;'Données projet'!$A$140,$CQ$205^A130,IF(A130='Données projet'!$A$140,'Données projet'!$B$140,CT129+CS130-DB129)))</f>
        <v>381.39999999999981</v>
      </c>
      <c r="CU130" s="18">
        <f>CT130*VLOOKUP('Données projet'!$B$13,Paramètres!$A$1:$I$89,3,0)*VLOOKUP('Données projet'!$B$13,Paramètres!$A$1:$I$89,5,0)</f>
        <v>368.89007999999984</v>
      </c>
      <c r="CV130" s="14">
        <f t="shared" si="95"/>
        <v>85.440195488930357</v>
      </c>
      <c r="CW130" s="22">
        <f t="shared" si="67"/>
        <v>791.29189647655346</v>
      </c>
      <c r="CX130" s="60">
        <f t="shared" si="68"/>
        <v>1074.6942533356309</v>
      </c>
      <c r="CY130" s="60">
        <f ca="1">AVERAGE(OFFSET($CX$3,0,0,'Données projet'!$E$13+1,1))-AVERAGE(OFFSET($H$3,0,0,'Données projet'!$E$13+1,1))</f>
        <v>603.52431522262032</v>
      </c>
      <c r="CZ130" s="60">
        <f t="shared" si="96"/>
        <v>313.56299786481338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4.2</v>
      </c>
      <c r="DO130" s="13">
        <f>IF('Données projet'!$A$166&gt;35,DO129+DN130-DW129,IF(A130&lt;'Données projet'!$A$166,$DL$205^A130,IF(A130='Données projet'!$A$166,'Données projet'!$B$166,DO129+DN130-DW129)))</f>
        <v>381.39999999999981</v>
      </c>
      <c r="DP130" s="18">
        <f>DO130*VLOOKUP('Données projet'!$B$14,Paramètres!$A$1:$I$89,3,0)*VLOOKUP('Données projet'!$B$14,Paramètres!$A$1:$I$89,5,0)</f>
        <v>410.53895999999975</v>
      </c>
      <c r="DQ130" s="14">
        <f t="shared" si="97"/>
        <v>93.910032986354523</v>
      </c>
      <c r="DR130" s="22">
        <f t="shared" si="70"/>
        <v>878.5819961179003</v>
      </c>
      <c r="DS130" s="60">
        <f t="shared" si="71"/>
        <v>1161.9843529769778</v>
      </c>
      <c r="DT130" s="60">
        <f ca="1">AVERAGE(OFFSET($DS$3,0,0,'Données projet'!$E$14+1,1))-AVERAGE(OFFSET($H$3,0,0,'Données projet'!$E$14+1,1))</f>
        <v>661.93515988633499</v>
      </c>
      <c r="DU130" s="60">
        <f t="shared" si="98"/>
        <v>341.9250949809848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>
        <f>EJ130*VLOOKUP('Données projet'!$B$15,Paramètres!$A$1:$I$89,3,0)*VLOOKUP('Données projet'!$B$15,Paramètres!$A$1:$I$89,5,0)</f>
        <v>0</v>
      </c>
      <c r="EL130" s="14" t="e">
        <f t="shared" si="99"/>
        <v>#NUM!</v>
      </c>
      <c r="EM130" s="22" t="e">
        <f t="shared" si="73"/>
        <v>#NUM!</v>
      </c>
      <c r="EN130" s="60" t="e">
        <f t="shared" si="74"/>
        <v>#NUM!</v>
      </c>
      <c r="EO130" s="60">
        <f ca="1">AVERAGE(OFFSET($EN$3,0,0,'Données projet'!$E$15+1,1))-AVERAGE(OFFSET($H$3,0,0,'Données projet'!$E$15+1,1))</f>
        <v>396.0878652679051</v>
      </c>
      <c r="EP130" s="60">
        <f t="shared" si="100"/>
        <v>327.26339199235406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-5.6843418860808015E-14</v>
      </c>
      <c r="FF130" s="18">
        <f>FE130*VLOOKUP('Données projet'!$B$16,Paramètres!$A$1:$I$89,3,0)*VLOOKUP('Données projet'!$B$16,Paramètres!$A$1:$I$89,5,0)</f>
        <v>-4.1677594708744434E-14</v>
      </c>
      <c r="FG130" s="14" t="e">
        <f t="shared" si="101"/>
        <v>#NUM!</v>
      </c>
      <c r="FH130" s="22" t="e">
        <f t="shared" si="76"/>
        <v>#NUM!</v>
      </c>
      <c r="FI130" s="60" t="e">
        <f t="shared" si="77"/>
        <v>#NUM!</v>
      </c>
      <c r="FJ130" s="60">
        <f ca="1">AVERAGE(OFFSET($FI$3,0,0,'Données projet'!$E$16+1,1))-AVERAGE(OFFSET($H$3,0,0,'Données projet'!$E$16+1,1))</f>
        <v>368.35775920359396</v>
      </c>
      <c r="FK130" s="60">
        <f t="shared" si="102"/>
        <v>395.5218438652638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5.8</v>
      </c>
      <c r="FZ130" s="13">
        <f>IF('Données projet'!$A$244&gt;35,FZ129+FY130-GH129,IF(A130&lt;'Données projet'!$A$244,$FW$205^A130,IF(A130='Données projet'!$A$244,'Données projet'!$B$244,FZ129+FY130-GH129)))</f>
        <v>499.59999999999962</v>
      </c>
      <c r="GA130" s="18">
        <f>FZ130*VLOOKUP('Données projet'!$B$17,Paramètres!$A$1:$I$89,3,0)*VLOOKUP('Données projet'!$B$17,Paramètres!$A$1:$I$89,5,0)</f>
        <v>428.65679999999969</v>
      </c>
      <c r="GB130" s="14">
        <f t="shared" si="103"/>
        <v>97.562789993864754</v>
      </c>
      <c r="GC130" s="22">
        <f t="shared" si="79"/>
        <v>916.49911923931393</v>
      </c>
      <c r="GD130" s="60">
        <f t="shared" si="80"/>
        <v>1199.9014760983914</v>
      </c>
      <c r="GE130" s="60">
        <f ca="1">AVERAGE(OFFSET($GD$3,0,0,'Données projet'!$E$17+1,1))-AVERAGE(OFFSET($H$3,0,0,'Données projet'!$E$17+1,1))</f>
        <v>701.44583662096022</v>
      </c>
      <c r="GF130" s="60">
        <f t="shared" si="104"/>
        <v>331.25104323342907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-1.1368683772161603E-13</v>
      </c>
      <c r="GV130" s="18">
        <f>GU130*VLOOKUP('Données projet'!$B$18,Paramètres!$A$1:$I$89,3,0)*VLOOKUP('Données projet'!$B$18,Paramètres!$A$1:$I$89,5,0)</f>
        <v>-9.2222762759774927E-14</v>
      </c>
      <c r="GW130" s="14" t="e">
        <f t="shared" si="105"/>
        <v>#NUM!</v>
      </c>
      <c r="GX130" s="22" t="e">
        <f t="shared" si="82"/>
        <v>#NUM!</v>
      </c>
      <c r="GY130" s="60" t="e">
        <f t="shared" si="83"/>
        <v>#NUM!</v>
      </c>
      <c r="GZ130" s="60">
        <f ca="1">AVERAGE(OFFSET($GY$3,0,0,'Données projet'!$E$18+1,1))-AVERAGE(OFFSET($H$3,0,0,'Données projet'!$E$18+1,1))</f>
        <v>272.69564942740931</v>
      </c>
      <c r="HA130" s="60">
        <f t="shared" si="106"/>
        <v>316.57989180609252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25">
      <c r="A131" s="11">
        <f t="shared" si="85"/>
        <v>128</v>
      </c>
      <c r="B131" s="75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8">
        <f t="shared" si="56"/>
        <v>183.33333333333334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4.2</v>
      </c>
      <c r="N131" s="14">
        <f>IF('Données projet'!$A$36&gt;35,N130+M131-V130,IF(A131&lt;'Données projet'!$A$36,$K$205^A131,IF(A131='Données projet'!$A$36,'Données projet'!$B$36,N130+M131-V130)))</f>
        <v>385.5999999999998</v>
      </c>
      <c r="O131" s="14">
        <f>N131*VLOOKUP('Données projet'!$B$9,Paramètres!$A$1:$I$89,3,0)*VLOOKUP('Données projet'!$B$9,Paramètres!$A$1:$I$89,5,0)</f>
        <v>348.89087999999981</v>
      </c>
      <c r="P131" s="14">
        <f t="shared" si="87"/>
        <v>81.33408974133495</v>
      </c>
      <c r="Q131" s="22">
        <f t="shared" ref="Q131:Q153" si="108">(O131+P131)*0.475*44/12</f>
        <v>749.30848896615805</v>
      </c>
      <c r="R131" s="60">
        <f t="shared" ref="R131:R194" si="109">Q131+(I131+J131)*44/12</f>
        <v>1032.8831260647266</v>
      </c>
      <c r="S131" s="60">
        <f ca="1">AVERAGE(OFFSET($R$3,0,0,'Données projet'!$E$9+1,1))-AVERAGE(OFFSET($H$3,0,0,'Données projet'!$E$9+1,1))</f>
        <v>570.08763950759544</v>
      </c>
      <c r="T131" s="60">
        <f t="shared" si="88"/>
        <v>297.32483725004136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-4.5224624045658861E-14</v>
      </c>
      <c r="AK131" s="14" t="e">
        <f t="shared" si="89"/>
        <v>#NUM!</v>
      </c>
      <c r="AL131" s="22" t="e">
        <f t="shared" si="58"/>
        <v>#NUM!</v>
      </c>
      <c r="AM131" s="60" t="e">
        <f t="shared" si="59"/>
        <v>#NUM!</v>
      </c>
      <c r="AN131" s="60">
        <f ca="1">AVERAGE(OFFSET($AM$3,0,0,'Données projet'!$E$10+1,1))-AVERAGE(OFFSET($H$3,0,0,'Données projet'!$E$10+1,1))</f>
        <v>394.49874384716014</v>
      </c>
      <c r="AO131" s="60">
        <f t="shared" si="90"/>
        <v>423.72519584013378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5.4092197387944907E-14</v>
      </c>
      <c r="BF131" s="14">
        <f t="shared" si="91"/>
        <v>8.7287050538073676E-13</v>
      </c>
      <c r="BG131" s="22">
        <f t="shared" si="61"/>
        <v>1.6144600406554537E-12</v>
      </c>
      <c r="BH131" s="60">
        <f t="shared" si="62"/>
        <v>283.57463709857012</v>
      </c>
      <c r="BI131" s="60">
        <f ca="1">AVERAGE(OFFSET($BH$3,0,0,'Données projet'!$E$11+1,1))-AVERAGE(OFFSET($H$3,0,0,'Données projet'!$E$11+1,1))</f>
        <v>441.15969139782891</v>
      </c>
      <c r="BJ131" s="60">
        <f t="shared" si="92"/>
        <v>315.06466790224783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8.8675733422860506E-14</v>
      </c>
      <c r="CA131" s="14">
        <f t="shared" si="93"/>
        <v>1.3509285393066301E-12</v>
      </c>
      <c r="CB131" s="22">
        <f t="shared" si="64"/>
        <v>2.5073107750038623E-12</v>
      </c>
      <c r="CC131" s="60">
        <f t="shared" si="65"/>
        <v>283.57463709857103</v>
      </c>
      <c r="CD131" s="60">
        <f ca="1">AVERAGE(OFFSET($CC$3,0,0,'Données projet'!$E$12+1,1))-AVERAGE(OFFSET($H$3,0,0,'Données projet'!$E$12+1,1))</f>
        <v>312.59632808777332</v>
      </c>
      <c r="CE131" s="60">
        <f t="shared" si="94"/>
        <v>302.59481222418219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4.2</v>
      </c>
      <c r="CT131" s="13">
        <f>IF('Données projet'!$A$140&gt;35,CT130+CS131-DB130,IF(A131&lt;'Données projet'!$A$140,$CQ$205^A131,IF(A131='Données projet'!$A$140,'Données projet'!$B$140,CT130+CS131-DB130)))</f>
        <v>385.5999999999998</v>
      </c>
      <c r="CU131" s="18">
        <f>CT131*VLOOKUP('Données projet'!$B$13,Paramètres!$A$1:$I$89,3,0)*VLOOKUP('Données projet'!$B$13,Paramètres!$A$1:$I$89,5,0)</f>
        <v>372.95231999999982</v>
      </c>
      <c r="CV131" s="14">
        <f t="shared" si="95"/>
        <v>86.271019898489143</v>
      </c>
      <c r="CW131" s="22">
        <f t="shared" si="67"/>
        <v>799.81398365653479</v>
      </c>
      <c r="CX131" s="60">
        <f t="shared" si="68"/>
        <v>1083.3886207551034</v>
      </c>
      <c r="CY131" s="60">
        <f ca="1">AVERAGE(OFFSET($CX$3,0,0,'Données projet'!$E$13+1,1))-AVERAGE(OFFSET($H$3,0,0,'Données projet'!$E$13+1,1))</f>
        <v>603.52431522262032</v>
      </c>
      <c r="CZ131" s="60">
        <f t="shared" si="96"/>
        <v>313.56299786481338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4.2</v>
      </c>
      <c r="DO131" s="13">
        <f>IF('Données projet'!$A$166&gt;35,DO130+DN131-DW130,IF(A131&lt;'Données projet'!$A$166,$DL$205^A131,IF(A131='Données projet'!$A$166,'Données projet'!$B$166,DO130+DN131-DW130)))</f>
        <v>385.5999999999998</v>
      </c>
      <c r="DP131" s="18">
        <f>DO131*VLOOKUP('Données projet'!$B$14,Paramètres!$A$1:$I$89,3,0)*VLOOKUP('Données projet'!$B$14,Paramètres!$A$1:$I$89,5,0)</f>
        <v>415.05983999999978</v>
      </c>
      <c r="DQ131" s="14">
        <f t="shared" si="97"/>
        <v>94.823218487172383</v>
      </c>
      <c r="DR131" s="22">
        <f t="shared" si="70"/>
        <v>888.04632686515822</v>
      </c>
      <c r="DS131" s="60">
        <f t="shared" si="71"/>
        <v>1171.6209639637268</v>
      </c>
      <c r="DT131" s="60">
        <f ca="1">AVERAGE(OFFSET($DS$3,0,0,'Données projet'!$E$14+1,1))-AVERAGE(OFFSET($H$3,0,0,'Données projet'!$E$14+1,1))</f>
        <v>661.93515988633499</v>
      </c>
      <c r="DU131" s="60">
        <f t="shared" si="98"/>
        <v>341.9250949809848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>
        <f>EJ131*VLOOKUP('Données projet'!$B$15,Paramètres!$A$1:$I$89,3,0)*VLOOKUP('Données projet'!$B$15,Paramètres!$A$1:$I$89,5,0)</f>
        <v>0</v>
      </c>
      <c r="EL131" s="14" t="e">
        <f t="shared" si="99"/>
        <v>#NUM!</v>
      </c>
      <c r="EM131" s="22" t="e">
        <f t="shared" si="73"/>
        <v>#NUM!</v>
      </c>
      <c r="EN131" s="60" t="e">
        <f t="shared" si="74"/>
        <v>#NUM!</v>
      </c>
      <c r="EO131" s="60">
        <f ca="1">AVERAGE(OFFSET($EN$3,0,0,'Données projet'!$E$15+1,1))-AVERAGE(OFFSET($H$3,0,0,'Données projet'!$E$15+1,1))</f>
        <v>396.0878652679051</v>
      </c>
      <c r="EP131" s="60">
        <f t="shared" si="100"/>
        <v>327.26339199235406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-5.6843418860808015E-14</v>
      </c>
      <c r="FF131" s="18">
        <f>FE131*VLOOKUP('Données projet'!$B$16,Paramètres!$A$1:$I$89,3,0)*VLOOKUP('Données projet'!$B$16,Paramètres!$A$1:$I$89,5,0)</f>
        <v>-4.1677594708744434E-14</v>
      </c>
      <c r="FG131" s="14" t="e">
        <f t="shared" si="101"/>
        <v>#NUM!</v>
      </c>
      <c r="FH131" s="22" t="e">
        <f t="shared" si="76"/>
        <v>#NUM!</v>
      </c>
      <c r="FI131" s="60" t="e">
        <f t="shared" si="77"/>
        <v>#NUM!</v>
      </c>
      <c r="FJ131" s="60">
        <f ca="1">AVERAGE(OFFSET($FI$3,0,0,'Données projet'!$E$16+1,1))-AVERAGE(OFFSET($H$3,0,0,'Données projet'!$E$16+1,1))</f>
        <v>368.35775920359396</v>
      </c>
      <c r="FK131" s="60">
        <f t="shared" si="102"/>
        <v>395.5218438652638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5.8</v>
      </c>
      <c r="FZ131" s="13">
        <f>IF('Données projet'!$A$244&gt;35,FZ130+FY131-GH130,IF(A131&lt;'Données projet'!$A$244,$FW$205^A131,IF(A131='Données projet'!$A$244,'Données projet'!$B$244,FZ130+FY131-GH130)))</f>
        <v>505.39999999999964</v>
      </c>
      <c r="GA131" s="18">
        <f>FZ131*VLOOKUP('Données projet'!$B$17,Paramètres!$A$1:$I$89,3,0)*VLOOKUP('Données projet'!$B$17,Paramètres!$A$1:$I$89,5,0)</f>
        <v>433.6331999999997</v>
      </c>
      <c r="GB131" s="14">
        <f t="shared" si="103"/>
        <v>98.562912518153794</v>
      </c>
      <c r="GC131" s="22">
        <f t="shared" si="79"/>
        <v>926.90822930245065</v>
      </c>
      <c r="GD131" s="60">
        <f t="shared" si="80"/>
        <v>1210.4828664010192</v>
      </c>
      <c r="GE131" s="60">
        <f ca="1">AVERAGE(OFFSET($GD$3,0,0,'Données projet'!$E$17+1,1))-AVERAGE(OFFSET($H$3,0,0,'Données projet'!$E$17+1,1))</f>
        <v>701.44583662096022</v>
      </c>
      <c r="GF131" s="60">
        <f t="shared" si="104"/>
        <v>331.25104323342907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-1.1368683772161603E-13</v>
      </c>
      <c r="GV131" s="18">
        <f>GU131*VLOOKUP('Données projet'!$B$18,Paramètres!$A$1:$I$89,3,0)*VLOOKUP('Données projet'!$B$18,Paramètres!$A$1:$I$89,5,0)</f>
        <v>-9.2222762759774927E-14</v>
      </c>
      <c r="GW131" s="14" t="e">
        <f t="shared" si="105"/>
        <v>#NUM!</v>
      </c>
      <c r="GX131" s="22" t="e">
        <f t="shared" si="82"/>
        <v>#NUM!</v>
      </c>
      <c r="GY131" s="60" t="e">
        <f t="shared" si="83"/>
        <v>#NUM!</v>
      </c>
      <c r="GZ131" s="60">
        <f ca="1">AVERAGE(OFFSET($GY$3,0,0,'Données projet'!$E$18+1,1))-AVERAGE(OFFSET($H$3,0,0,'Données projet'!$E$18+1,1))</f>
        <v>272.69564942740931</v>
      </c>
      <c r="HA131" s="60">
        <f t="shared" si="106"/>
        <v>316.57989180609252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25">
      <c r="A132" s="11">
        <f t="shared" si="85"/>
        <v>129</v>
      </c>
      <c r="B132" s="75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8">
        <f t="shared" ref="H132:H195" si="110">(B132+E132+F132)*44/12+(C132+D132)*0.475*44/12</f>
        <v>183.33333333333334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4.2</v>
      </c>
      <c r="N132" s="14">
        <f>IF('Données projet'!$A$36&gt;35,N131+M132-V131,IF(A132&lt;'Données projet'!$A$36,$K$205^A132,IF(A132='Données projet'!$A$36,'Données projet'!$B$36,N131+M132-V131)))</f>
        <v>389.79999999999978</v>
      </c>
      <c r="O132" s="14">
        <f>N132*VLOOKUP('Données projet'!$B$9,Paramètres!$A$1:$I$89,3,0)*VLOOKUP('Données projet'!$B$9,Paramètres!$A$1:$I$89,5,0)</f>
        <v>352.69103999999982</v>
      </c>
      <c r="P132" s="14">
        <f t="shared" si="87"/>
        <v>82.116377073111735</v>
      </c>
      <c r="Q132" s="22">
        <f t="shared" si="108"/>
        <v>757.28958473566934</v>
      </c>
      <c r="R132" s="60">
        <f t="shared" si="109"/>
        <v>1041.0335133967346</v>
      </c>
      <c r="S132" s="60">
        <f ca="1">AVERAGE(OFFSET($R$3,0,0,'Données projet'!$E$9+1,1))-AVERAGE(OFFSET($H$3,0,0,'Données projet'!$E$9+1,1))</f>
        <v>570.08763950759544</v>
      </c>
      <c r="T132" s="60">
        <f t="shared" si="88"/>
        <v>297.32483725004136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-4.5224624045658861E-14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0" t="e">
        <f t="shared" ref="AM132:AM195" si="113">AL132+(AD132+AE132)*44/12</f>
        <v>#NUM!</v>
      </c>
      <c r="AN132" s="60">
        <f ca="1">AVERAGE(OFFSET($AM$3,0,0,'Données projet'!$E$10+1,1))-AVERAGE(OFFSET($H$3,0,0,'Données projet'!$E$10+1,1))</f>
        <v>394.49874384716014</v>
      </c>
      <c r="AO132" s="60">
        <f t="shared" si="90"/>
        <v>423.72519584013378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5.4092197387944907E-14</v>
      </c>
      <c r="BF132" s="14">
        <f t="shared" si="91"/>
        <v>8.7287050538073676E-13</v>
      </c>
      <c r="BG132" s="22">
        <f t="shared" ref="BG132:BG153" si="115">(BE132+BF132)*0.475*44/12</f>
        <v>1.6144600406554537E-12</v>
      </c>
      <c r="BH132" s="60">
        <f t="shared" ref="BH132:BH195" si="116">BG132+(AY132+AZ132)*44/12</f>
        <v>283.74392866106695</v>
      </c>
      <c r="BI132" s="60">
        <f ca="1">AVERAGE(OFFSET($BH$3,0,0,'Données projet'!$E$11+1,1))-AVERAGE(OFFSET($H$3,0,0,'Données projet'!$E$11+1,1))</f>
        <v>441.15969139782891</v>
      </c>
      <c r="BJ132" s="60">
        <f t="shared" si="92"/>
        <v>315.06466790224783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8.8675733422860506E-14</v>
      </c>
      <c r="CA132" s="14">
        <f t="shared" si="93"/>
        <v>1.3509285393066301E-12</v>
      </c>
      <c r="CB132" s="22">
        <f t="shared" ref="CB132:CB153" si="118">(BZ132+CA132)*0.475*44/12</f>
        <v>2.5073107750038623E-12</v>
      </c>
      <c r="CC132" s="60">
        <f t="shared" ref="CC132:CC195" si="119">CB132+(BT132+BU132)*44/12</f>
        <v>283.74392866106786</v>
      </c>
      <c r="CD132" s="60">
        <f ca="1">AVERAGE(OFFSET($CC$3,0,0,'Données projet'!$E$12+1,1))-AVERAGE(OFFSET($H$3,0,0,'Données projet'!$E$12+1,1))</f>
        <v>312.59632808777332</v>
      </c>
      <c r="CE132" s="60">
        <f t="shared" si="94"/>
        <v>302.59481222418219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4.2</v>
      </c>
      <c r="CT132" s="13">
        <f>IF('Données projet'!$A$140&gt;35,CT131+CS132-DB131,IF(A132&lt;'Données projet'!$A$140,$CQ$205^A132,IF(A132='Données projet'!$A$140,'Données projet'!$B$140,CT131+CS132-DB131)))</f>
        <v>389.79999999999978</v>
      </c>
      <c r="CU132" s="18">
        <f>CT132*VLOOKUP('Données projet'!$B$13,Paramètres!$A$1:$I$89,3,0)*VLOOKUP('Données projet'!$B$13,Paramètres!$A$1:$I$89,5,0)</f>
        <v>377.01455999999979</v>
      </c>
      <c r="CV132" s="14">
        <f t="shared" si="95"/>
        <v>87.100791599146149</v>
      </c>
      <c r="CW132" s="22">
        <f t="shared" ref="CW132:CW153" si="121">(CU132+CV132)*0.475*44/12</f>
        <v>808.33423736851239</v>
      </c>
      <c r="CX132" s="60">
        <f t="shared" ref="CX132:CX195" si="122">CW132+(CO132+CP132)*44/12</f>
        <v>1092.0781660295777</v>
      </c>
      <c r="CY132" s="60">
        <f ca="1">AVERAGE(OFFSET($CX$3,0,0,'Données projet'!$E$13+1,1))-AVERAGE(OFFSET($H$3,0,0,'Données projet'!$E$13+1,1))</f>
        <v>603.52431522262032</v>
      </c>
      <c r="CZ132" s="60">
        <f t="shared" si="96"/>
        <v>313.56299786481338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4.2</v>
      </c>
      <c r="DO132" s="13">
        <f>IF('Données projet'!$A$166&gt;35,DO131+DN132-DW131,IF(A132&lt;'Données projet'!$A$166,$DL$205^A132,IF(A132='Données projet'!$A$166,'Données projet'!$B$166,DO131+DN132-DW131)))</f>
        <v>389.79999999999978</v>
      </c>
      <c r="DP132" s="18">
        <f>DO132*VLOOKUP('Données projet'!$B$14,Paramètres!$A$1:$I$89,3,0)*VLOOKUP('Données projet'!$B$14,Paramètres!$A$1:$I$89,5,0)</f>
        <v>419.58071999999976</v>
      </c>
      <c r="DQ132" s="14">
        <f t="shared" si="97"/>
        <v>95.735246922195458</v>
      </c>
      <c r="DR132" s="22">
        <f t="shared" ref="DR132:DR153" si="124">(DP132+DQ132)*0.475*44/12</f>
        <v>897.50864238948998</v>
      </c>
      <c r="DS132" s="60">
        <f t="shared" ref="DS132:DS195" si="125">DR132+(DJ132+DK132)*44/12</f>
        <v>1181.2525710505554</v>
      </c>
      <c r="DT132" s="60">
        <f ca="1">AVERAGE(OFFSET($DS$3,0,0,'Données projet'!$E$14+1,1))-AVERAGE(OFFSET($H$3,0,0,'Données projet'!$E$14+1,1))</f>
        <v>661.93515988633499</v>
      </c>
      <c r="DU132" s="60">
        <f t="shared" si="98"/>
        <v>341.9250949809848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>
        <f>EJ132*VLOOKUP('Données projet'!$B$15,Paramètres!$A$1:$I$89,3,0)*VLOOKUP('Données projet'!$B$15,Paramètres!$A$1:$I$89,5,0)</f>
        <v>0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0" t="e">
        <f t="shared" ref="EN132:EN195" si="128">EM132+(EE132+EF132)*44/12</f>
        <v>#NUM!</v>
      </c>
      <c r="EO132" s="60">
        <f ca="1">AVERAGE(OFFSET($EN$3,0,0,'Données projet'!$E$15+1,1))-AVERAGE(OFFSET($H$3,0,0,'Données projet'!$E$15+1,1))</f>
        <v>396.0878652679051</v>
      </c>
      <c r="EP132" s="60">
        <f t="shared" si="100"/>
        <v>327.26339199235406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-5.6843418860808015E-14</v>
      </c>
      <c r="FF132" s="18">
        <f>FE132*VLOOKUP('Données projet'!$B$16,Paramètres!$A$1:$I$89,3,0)*VLOOKUP('Données projet'!$B$16,Paramètres!$A$1:$I$89,5,0)</f>
        <v>-4.1677594708744434E-14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0" t="e">
        <f t="shared" ref="FI132:FI195" si="131">FH132+(EZ132+FA132)*44/12</f>
        <v>#NUM!</v>
      </c>
      <c r="FJ132" s="60">
        <f ca="1">AVERAGE(OFFSET($FI$3,0,0,'Données projet'!$E$16+1,1))-AVERAGE(OFFSET($H$3,0,0,'Données projet'!$E$16+1,1))</f>
        <v>368.35775920359396</v>
      </c>
      <c r="FK132" s="60">
        <f t="shared" si="102"/>
        <v>395.5218438652638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5.8</v>
      </c>
      <c r="FZ132" s="13">
        <f>IF('Données projet'!$A$244&gt;35,FZ131+FY132-GH131,IF(A132&lt;'Données projet'!$A$244,$FW$205^A132,IF(A132='Données projet'!$A$244,'Données projet'!$B$244,FZ131+FY132-GH131)))</f>
        <v>511.19999999999965</v>
      </c>
      <c r="GA132" s="18">
        <f>FZ132*VLOOKUP('Données projet'!$B$17,Paramètres!$A$1:$I$89,3,0)*VLOOKUP('Données projet'!$B$17,Paramètres!$A$1:$I$89,5,0)</f>
        <v>438.60959999999977</v>
      </c>
      <c r="GB132" s="14">
        <f t="shared" si="103"/>
        <v>99.561699926475001</v>
      </c>
      <c r="GC132" s="22">
        <f t="shared" ref="GC132:GC153" si="133">(GA132+GB132)*0.475*44/12</f>
        <v>937.31501403861023</v>
      </c>
      <c r="GD132" s="60">
        <f t="shared" ref="GD132:GD195" si="134">GC132+(FU132+FV132)*44/12</f>
        <v>1221.0589426996755</v>
      </c>
      <c r="GE132" s="60">
        <f ca="1">AVERAGE(OFFSET($GD$3,0,0,'Données projet'!$E$17+1,1))-AVERAGE(OFFSET($H$3,0,0,'Données projet'!$E$17+1,1))</f>
        <v>701.44583662096022</v>
      </c>
      <c r="GF132" s="60">
        <f t="shared" si="104"/>
        <v>331.25104323342907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-1.1368683772161603E-13</v>
      </c>
      <c r="GV132" s="18">
        <f>GU132*VLOOKUP('Données projet'!$B$18,Paramètres!$A$1:$I$89,3,0)*VLOOKUP('Données projet'!$B$18,Paramètres!$A$1:$I$89,5,0)</f>
        <v>-9.2222762759774927E-14</v>
      </c>
      <c r="GW132" s="14" t="e">
        <f t="shared" si="105"/>
        <v>#NUM!</v>
      </c>
      <c r="GX132" s="22" t="e">
        <f t="shared" ref="GX132:GX153" si="136">(GV132+GW132)*0.475*44/12</f>
        <v>#NUM!</v>
      </c>
      <c r="GY132" s="60" t="e">
        <f t="shared" ref="GY132:GY195" si="137">GX132+(GP132+GQ132)*44/12</f>
        <v>#NUM!</v>
      </c>
      <c r="GZ132" s="60">
        <f ca="1">AVERAGE(OFFSET($GY$3,0,0,'Données projet'!$E$18+1,1))-AVERAGE(OFFSET($H$3,0,0,'Données projet'!$E$18+1,1))</f>
        <v>272.69564942740931</v>
      </c>
      <c r="HA132" s="60">
        <f t="shared" si="106"/>
        <v>316.57989180609252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25">
      <c r="A133" s="11">
        <f t="shared" ref="A133:A152" si="139">A132+1</f>
        <v>130</v>
      </c>
      <c r="B133" s="75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8">
        <f t="shared" si="110"/>
        <v>183.33333333333334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394</v>
      </c>
      <c r="L133" s="13">
        <f>VLOOKUP(A133,'Données projet'!$A$35:$I$55,9,0)</f>
        <v>4.2</v>
      </c>
      <c r="M133" s="13">
        <f t="array" ref="M133">INDEX(L:L,MIN(IF(ISNUMBER(L133:L329),ROW(L133:L329),"")))</f>
        <v>4.2</v>
      </c>
      <c r="N133" s="14">
        <f>IF('Données projet'!$A$36&gt;35,N132+M133-V132,IF(A133&lt;'Données projet'!$A$36,$K$205^A133,IF(A133='Données projet'!$A$36,'Données projet'!$B$36,N132+M133-V132)))</f>
        <v>393.99999999999977</v>
      </c>
      <c r="O133" s="14">
        <f>N133*VLOOKUP('Données projet'!$B$9,Paramètres!$A$1:$I$89,3,0)*VLOOKUP('Données projet'!$B$9,Paramètres!$A$1:$I$89,5,0)</f>
        <v>356.49119999999976</v>
      </c>
      <c r="P133" s="14">
        <f t="shared" ref="P133:P196" si="141">EXP(-1.0587+0.8836*LN(O133)+0.284)</f>
        <v>82.897683869422281</v>
      </c>
      <c r="Q133" s="22">
        <f t="shared" si="108"/>
        <v>765.2689727392434</v>
      </c>
      <c r="R133" s="60">
        <f t="shared" si="109"/>
        <v>1049.1792561326756</v>
      </c>
      <c r="S133" s="60">
        <f ca="1">AVERAGE(OFFSET($R$3,0,0,'Données projet'!$E$9+1,1))-AVERAGE(OFFSET($H$3,0,0,'Données projet'!$E$9+1,1))</f>
        <v>570.08763950759544</v>
      </c>
      <c r="T133" s="60">
        <f t="shared" ref="T133:T196" si="142">$T$3</f>
        <v>297.32483725004136</v>
      </c>
      <c r="U133" s="16">
        <f>IF(ISNA(VLOOKUP(A133,'Données projet'!$A$35:$I$55,3,0)),0,VLOOKUP(A133,'Données projet'!$A$35:$I$55,3,0))</f>
        <v>9</v>
      </c>
      <c r="V133" s="16">
        <f>IF(ISNA(VLOOKUP(A133,'Données projet'!$A$35:$I$55,4,0)),0,VLOOKUP(A133,'Données projet'!$A$35:$I$55,4,0))</f>
        <v>91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-4.5224624045658861E-14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0" t="e">
        <f t="shared" si="113"/>
        <v>#NUM!</v>
      </c>
      <c r="AN133" s="60">
        <f ca="1">AVERAGE(OFFSET($AM$3,0,0,'Données projet'!$E$10+1,1))-AVERAGE(OFFSET($H$3,0,0,'Données projet'!$E$10+1,1))</f>
        <v>394.49874384716014</v>
      </c>
      <c r="AO133" s="60">
        <f t="shared" ref="AO133:AO196" si="144">$AO$3</f>
        <v>423.72519584013378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5.4092197387944907E-14</v>
      </c>
      <c r="BF133" s="14">
        <f t="shared" ref="BF133:BF153" si="145">EXP(-1.0587+0.8836*LN(BE133)+0.284)</f>
        <v>8.7287050538073676E-13</v>
      </c>
      <c r="BG133" s="22">
        <f t="shared" si="115"/>
        <v>1.6144600406554537E-12</v>
      </c>
      <c r="BH133" s="60">
        <f t="shared" si="116"/>
        <v>283.9102833934337</v>
      </c>
      <c r="BI133" s="60">
        <f ca="1">AVERAGE(OFFSET($BH$3,0,0,'Données projet'!$E$11+1,1))-AVERAGE(OFFSET($H$3,0,0,'Données projet'!$E$11+1,1))</f>
        <v>441.15969139782891</v>
      </c>
      <c r="BJ133" s="60">
        <f t="shared" ref="BJ133:BJ196" si="146">$BJ$3</f>
        <v>315.06466790224783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8.8675733422860506E-14</v>
      </c>
      <c r="CA133" s="14">
        <f t="shared" ref="CA133:CA153" si="147">EXP(-1.0587+0.8836*LN(BZ133)+0.284)</f>
        <v>1.3509285393066301E-12</v>
      </c>
      <c r="CB133" s="22">
        <f t="shared" si="118"/>
        <v>2.5073107750038623E-12</v>
      </c>
      <c r="CC133" s="60">
        <f t="shared" si="119"/>
        <v>283.91028339343461</v>
      </c>
      <c r="CD133" s="60">
        <f ca="1">AVERAGE(OFFSET($CC$3,0,0,'Données projet'!$E$12+1,1))-AVERAGE(OFFSET($H$3,0,0,'Données projet'!$E$12+1,1))</f>
        <v>312.59632808777332</v>
      </c>
      <c r="CE133" s="60">
        <f t="shared" ref="CE133:CE196" si="148">$CE$3</f>
        <v>302.59481222418219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394</v>
      </c>
      <c r="CR133" s="13">
        <f>VLOOKUP(A133,'Données projet'!$A$139:$I$159,9,0)</f>
        <v>4.2</v>
      </c>
      <c r="CS133" s="13">
        <f t="array" ref="CS133">INDEX(CR:CR,MIN(IF(ISNUMBER(CR133:CR329),ROW(CR133:CR329),"")))</f>
        <v>4.2</v>
      </c>
      <c r="CT133" s="13">
        <f>IF('Données projet'!$A$140&gt;35,CT132+CS133-DB132,IF(A133&lt;'Données projet'!$A$140,$CQ$205^A133,IF(A133='Données projet'!$A$140,'Données projet'!$B$140,CT132+CS133-DB132)))</f>
        <v>393.99999999999977</v>
      </c>
      <c r="CU133" s="18">
        <f>CT133*VLOOKUP('Données projet'!$B$13,Paramètres!$A$1:$I$89,3,0)*VLOOKUP('Données projet'!$B$13,Paramètres!$A$1:$I$89,5,0)</f>
        <v>381.07679999999982</v>
      </c>
      <c r="CV133" s="14">
        <f t="shared" ref="CV133:CV153" si="149">EXP(-1.0587+0.8836*LN(CU133)+0.284)</f>
        <v>87.929523246425944</v>
      </c>
      <c r="CW133" s="22">
        <f t="shared" si="121"/>
        <v>816.85267965419155</v>
      </c>
      <c r="CX133" s="60">
        <f t="shared" si="122"/>
        <v>1100.7629630476235</v>
      </c>
      <c r="CY133" s="60">
        <f ca="1">AVERAGE(OFFSET($CX$3,0,0,'Données projet'!$E$13+1,1))-AVERAGE(OFFSET($H$3,0,0,'Données projet'!$E$13+1,1))</f>
        <v>603.52431522262032</v>
      </c>
      <c r="CZ133" s="60">
        <f t="shared" ref="CZ133:CZ196" si="150">$CZ$3</f>
        <v>313.56299786481338</v>
      </c>
      <c r="DA133" s="16">
        <f>IF(ISNA(VLOOKUP(A133,'Données projet'!$A$139:$I$159,3,0)),0,VLOOKUP(A133,'Données projet'!$A$139:$I$159,3,0))</f>
        <v>9</v>
      </c>
      <c r="DB133" s="16">
        <f>IF(ISNA(VLOOKUP(A133,'Données projet'!$A$139:$I$159,4,0)),0,VLOOKUP(A133,'Données projet'!$A$139:$I$159,4,0))</f>
        <v>91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394</v>
      </c>
      <c r="DM133" s="13">
        <f>VLOOKUP(A133,'Données projet'!$A$165:$I$185,9,0)</f>
        <v>4.2</v>
      </c>
      <c r="DN133" s="13">
        <f t="array" ref="DN133">INDEX(DM:DM,MIN(IF(ISNUMBER(DM133:DM329),ROW(DM133:DM329),"")))</f>
        <v>4.2</v>
      </c>
      <c r="DO133" s="13">
        <f>IF('Données projet'!$A$166&gt;35,DO132+DN133-DW132,IF(A133&lt;'Données projet'!$A$166,$DL$205^A133,IF(A133='Données projet'!$A$166,'Données projet'!$B$166,DO132+DN133-DW132)))</f>
        <v>393.99999999999977</v>
      </c>
      <c r="DP133" s="18">
        <f>DO133*VLOOKUP('Données projet'!$B$14,Paramètres!$A$1:$I$89,3,0)*VLOOKUP('Données projet'!$B$14,Paramètres!$A$1:$I$89,5,0)</f>
        <v>424.10159999999979</v>
      </c>
      <c r="DQ133" s="14">
        <f t="shared" ref="DQ133:DQ153" si="151">EXP(-1.0587+0.8836*LN(DP133)+0.284)</f>
        <v>96.646132201513026</v>
      </c>
      <c r="DR133" s="22">
        <f t="shared" si="124"/>
        <v>906.9689669176347</v>
      </c>
      <c r="DS133" s="60">
        <f t="shared" si="125"/>
        <v>1190.8792503110667</v>
      </c>
      <c r="DT133" s="60">
        <f ca="1">AVERAGE(OFFSET($DS$3,0,0,'Données projet'!$E$14+1,1))-AVERAGE(OFFSET($H$3,0,0,'Données projet'!$E$14+1,1))</f>
        <v>661.93515988633499</v>
      </c>
      <c r="DU133" s="60">
        <f t="shared" ref="DU133:DU196" si="152">$DU$3</f>
        <v>341.9250949809848</v>
      </c>
      <c r="DV133" s="16">
        <f>IF(ISNA(VLOOKUP(A133,'Données projet'!$A$165:$I$185,3,0)),0,VLOOKUP(A133,'Données projet'!$A$165:$I$185,3,0))</f>
        <v>9</v>
      </c>
      <c r="DW133" s="16">
        <f>IF(ISNA(VLOOKUP(A133,'Données projet'!$A$165:$I$185,4,0)),0,VLOOKUP(A133,'Données projet'!$A$165:$I$185,4,0))</f>
        <v>91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>
        <f>EJ133*VLOOKUP('Données projet'!$B$15,Paramètres!$A$1:$I$89,3,0)*VLOOKUP('Données projet'!$B$15,Paramètres!$A$1:$I$89,5,0)</f>
        <v>0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0" t="e">
        <f t="shared" si="128"/>
        <v>#NUM!</v>
      </c>
      <c r="EO133" s="60">
        <f ca="1">AVERAGE(OFFSET($EN$3,0,0,'Données projet'!$E$15+1,1))-AVERAGE(OFFSET($H$3,0,0,'Données projet'!$E$15+1,1))</f>
        <v>396.0878652679051</v>
      </c>
      <c r="EP133" s="60">
        <f t="shared" ref="EP133:EP196" si="154">$EP$3</f>
        <v>327.26339199235406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-5.6843418860808015E-14</v>
      </c>
      <c r="FF133" s="18">
        <f>FE133*VLOOKUP('Données projet'!$B$16,Paramètres!$A$1:$I$89,3,0)*VLOOKUP('Données projet'!$B$16,Paramètres!$A$1:$I$89,5,0)</f>
        <v>-4.1677594708744434E-14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0" t="e">
        <f t="shared" si="131"/>
        <v>#NUM!</v>
      </c>
      <c r="FJ133" s="60">
        <f ca="1">AVERAGE(OFFSET($FI$3,0,0,'Données projet'!$E$16+1,1))-AVERAGE(OFFSET($H$3,0,0,'Données projet'!$E$16+1,1))</f>
        <v>368.35775920359396</v>
      </c>
      <c r="FK133" s="60">
        <f t="shared" ref="FK133:FK196" si="156">$FK$3</f>
        <v>395.5218438652638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5.8</v>
      </c>
      <c r="FZ133" s="13">
        <f>IF('Données projet'!$A$244&gt;35,FZ132+FY133-GH132,IF(A133&lt;'Données projet'!$A$244,$FW$205^A133,IF(A133='Données projet'!$A$244,'Données projet'!$B$244,FZ132+FY133-GH132)))</f>
        <v>516.99999999999966</v>
      </c>
      <c r="GA133" s="18">
        <f>FZ133*VLOOKUP('Données projet'!$B$17,Paramètres!$A$1:$I$89,3,0)*VLOOKUP('Données projet'!$B$17,Paramètres!$A$1:$I$89,5,0)</f>
        <v>443.58599999999979</v>
      </c>
      <c r="GB133" s="14">
        <f t="shared" ref="GB133:GB153" si="157">EXP(-1.0587+0.8836*LN(GA133)+0.284)</f>
        <v>100.55916911965511</v>
      </c>
      <c r="GC133" s="22">
        <f t="shared" si="133"/>
        <v>947.71950288339883</v>
      </c>
      <c r="GD133" s="60">
        <f t="shared" si="134"/>
        <v>1231.6297862768311</v>
      </c>
      <c r="GE133" s="60">
        <f ca="1">AVERAGE(OFFSET($GD$3,0,0,'Données projet'!$E$17+1,1))-AVERAGE(OFFSET($H$3,0,0,'Données projet'!$E$17+1,1))</f>
        <v>701.44583662096022</v>
      </c>
      <c r="GF133" s="60">
        <f t="shared" ref="GF133:GF196" si="158">$GF$3</f>
        <v>331.25104323342907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-1.1368683772161603E-13</v>
      </c>
      <c r="GV133" s="18">
        <f>GU133*VLOOKUP('Données projet'!$B$18,Paramètres!$A$1:$I$89,3,0)*VLOOKUP('Données projet'!$B$18,Paramètres!$A$1:$I$89,5,0)</f>
        <v>-9.2222762759774927E-14</v>
      </c>
      <c r="GW133" s="14" t="e">
        <f t="shared" ref="GW133:GW153" si="159">EXP(-1.0587+0.8836*LN(GV133)+0.284)</f>
        <v>#NUM!</v>
      </c>
      <c r="GX133" s="22" t="e">
        <f t="shared" si="136"/>
        <v>#NUM!</v>
      </c>
      <c r="GY133" s="60" t="e">
        <f t="shared" si="137"/>
        <v>#NUM!</v>
      </c>
      <c r="GZ133" s="60">
        <f ca="1">AVERAGE(OFFSET($GY$3,0,0,'Données projet'!$E$18+1,1))-AVERAGE(OFFSET($H$3,0,0,'Données projet'!$E$18+1,1))</f>
        <v>272.69564942740931</v>
      </c>
      <c r="HA133" s="60">
        <f t="shared" ref="HA133:HA196" si="160">$HA$3</f>
        <v>316.57989180609252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25">
      <c r="A134" s="11">
        <f t="shared" si="139"/>
        <v>131</v>
      </c>
      <c r="B134" s="75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8">
        <f t="shared" si="110"/>
        <v>183.33333333333334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3.8</v>
      </c>
      <c r="N134" s="14">
        <f>IF('Données projet'!$A$36&gt;35,N133+M134-V133,IF(A134&lt;'Données projet'!$A$36,$K$205^A134,IF(A134='Données projet'!$A$36,'Données projet'!$B$36,N133+M134-V133)))</f>
        <v>306.79999999999978</v>
      </c>
      <c r="O134" s="14">
        <f>N134*VLOOKUP('Données projet'!$B$9,Paramètres!$A$1:$I$89,3,0)*VLOOKUP('Données projet'!$B$9,Paramètres!$A$1:$I$89,5,0)</f>
        <v>277.59263999999979</v>
      </c>
      <c r="P134" s="14">
        <f t="shared" si="141"/>
        <v>66.458009122425523</v>
      </c>
      <c r="Q134" s="22">
        <f t="shared" si="108"/>
        <v>599.22154722155733</v>
      </c>
      <c r="R134" s="60">
        <f t="shared" si="109"/>
        <v>883.295299464663</v>
      </c>
      <c r="S134" s="60">
        <f ca="1">AVERAGE(OFFSET($R$3,0,0,'Données projet'!$E$9+1,1))-AVERAGE(OFFSET($H$3,0,0,'Données projet'!$E$9+1,1))</f>
        <v>570.08763950759544</v>
      </c>
      <c r="T134" s="60">
        <f t="shared" si="142"/>
        <v>297.32483725004136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-4.5224624045658861E-14</v>
      </c>
      <c r="AK134" s="14" t="e">
        <f t="shared" si="143"/>
        <v>#NUM!</v>
      </c>
      <c r="AL134" s="22" t="e">
        <f t="shared" si="112"/>
        <v>#NUM!</v>
      </c>
      <c r="AM134" s="60" t="e">
        <f t="shared" si="113"/>
        <v>#NUM!</v>
      </c>
      <c r="AN134" s="60">
        <f ca="1">AVERAGE(OFFSET($AM$3,0,0,'Données projet'!$E$10+1,1))-AVERAGE(OFFSET($H$3,0,0,'Données projet'!$E$10+1,1))</f>
        <v>394.49874384716014</v>
      </c>
      <c r="AO134" s="60">
        <f t="shared" si="144"/>
        <v>423.72519584013378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5.4092197387944907E-14</v>
      </c>
      <c r="BF134" s="14">
        <f t="shared" si="145"/>
        <v>8.7287050538073676E-13</v>
      </c>
      <c r="BG134" s="22">
        <f t="shared" si="115"/>
        <v>1.6144600406554537E-12</v>
      </c>
      <c r="BH134" s="60">
        <f t="shared" si="116"/>
        <v>284.07375224310732</v>
      </c>
      <c r="BI134" s="60">
        <f ca="1">AVERAGE(OFFSET($BH$3,0,0,'Données projet'!$E$11+1,1))-AVERAGE(OFFSET($H$3,0,0,'Données projet'!$E$11+1,1))</f>
        <v>441.15969139782891</v>
      </c>
      <c r="BJ134" s="60">
        <f t="shared" si="146"/>
        <v>315.06466790224783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8.8675733422860506E-14</v>
      </c>
      <c r="CA134" s="14">
        <f t="shared" si="147"/>
        <v>1.3509285393066301E-12</v>
      </c>
      <c r="CB134" s="22">
        <f t="shared" si="118"/>
        <v>2.5073107750038623E-12</v>
      </c>
      <c r="CC134" s="60">
        <f t="shared" si="119"/>
        <v>284.07375224310823</v>
      </c>
      <c r="CD134" s="60">
        <f ca="1">AVERAGE(OFFSET($CC$3,0,0,'Données projet'!$E$12+1,1))-AVERAGE(OFFSET($H$3,0,0,'Données projet'!$E$12+1,1))</f>
        <v>312.59632808777332</v>
      </c>
      <c r="CE134" s="60">
        <f t="shared" si="148"/>
        <v>302.59481222418219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3.8</v>
      </c>
      <c r="CT134" s="13">
        <f>IF('Données projet'!$A$140&gt;35,CT133+CS134-DB133,IF(A134&lt;'Données projet'!$A$140,$CQ$205^A134,IF(A134='Données projet'!$A$140,'Données projet'!$B$140,CT133+CS134-DB133)))</f>
        <v>306.79999999999978</v>
      </c>
      <c r="CU134" s="18">
        <f>CT134*VLOOKUP('Données projet'!$B$13,Paramètres!$A$1:$I$89,3,0)*VLOOKUP('Données projet'!$B$13,Paramètres!$A$1:$I$89,5,0)</f>
        <v>296.73695999999978</v>
      </c>
      <c r="CV134" s="14">
        <f t="shared" si="149"/>
        <v>70.491970164645096</v>
      </c>
      <c r="CW134" s="22">
        <f t="shared" si="121"/>
        <v>639.59038670342318</v>
      </c>
      <c r="CX134" s="60">
        <f t="shared" si="122"/>
        <v>923.66413894652896</v>
      </c>
      <c r="CY134" s="60">
        <f ca="1">AVERAGE(OFFSET($CX$3,0,0,'Données projet'!$E$13+1,1))-AVERAGE(OFFSET($H$3,0,0,'Données projet'!$E$13+1,1))</f>
        <v>603.52431522262032</v>
      </c>
      <c r="CZ134" s="60">
        <f t="shared" si="150"/>
        <v>313.56299786481338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3.8</v>
      </c>
      <c r="DO134" s="13">
        <f>IF('Données projet'!$A$166&gt;35,DO133+DN134-DW133,IF(A134&lt;'Données projet'!$A$166,$DL$205^A134,IF(A134='Données projet'!$A$166,'Données projet'!$B$166,DO133+DN134-DW133)))</f>
        <v>306.79999999999978</v>
      </c>
      <c r="DP134" s="18">
        <f>DO134*VLOOKUP('Données projet'!$B$14,Paramètres!$A$1:$I$89,3,0)*VLOOKUP('Données projet'!$B$14,Paramètres!$A$1:$I$89,5,0)</f>
        <v>330.23951999999974</v>
      </c>
      <c r="DQ134" s="14">
        <f t="shared" si="151"/>
        <v>77.479963681644549</v>
      </c>
      <c r="DR134" s="22">
        <f t="shared" si="124"/>
        <v>710.11143407886391</v>
      </c>
      <c r="DS134" s="60">
        <f t="shared" si="125"/>
        <v>994.1851863219697</v>
      </c>
      <c r="DT134" s="60">
        <f ca="1">AVERAGE(OFFSET($DS$3,0,0,'Données projet'!$E$14+1,1))-AVERAGE(OFFSET($H$3,0,0,'Données projet'!$E$14+1,1))</f>
        <v>661.93515988633499</v>
      </c>
      <c r="DU134" s="60">
        <f t="shared" si="152"/>
        <v>341.9250949809848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>
        <f>EJ134*VLOOKUP('Données projet'!$B$15,Paramètres!$A$1:$I$89,3,0)*VLOOKUP('Données projet'!$B$15,Paramètres!$A$1:$I$89,5,0)</f>
        <v>0</v>
      </c>
      <c r="EL134" s="14" t="e">
        <f t="shared" si="153"/>
        <v>#NUM!</v>
      </c>
      <c r="EM134" s="22" t="e">
        <f t="shared" si="127"/>
        <v>#NUM!</v>
      </c>
      <c r="EN134" s="60" t="e">
        <f t="shared" si="128"/>
        <v>#NUM!</v>
      </c>
      <c r="EO134" s="60">
        <f ca="1">AVERAGE(OFFSET($EN$3,0,0,'Données projet'!$E$15+1,1))-AVERAGE(OFFSET($H$3,0,0,'Données projet'!$E$15+1,1))</f>
        <v>396.0878652679051</v>
      </c>
      <c r="EP134" s="60">
        <f t="shared" si="154"/>
        <v>327.26339199235406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-5.6843418860808015E-14</v>
      </c>
      <c r="FF134" s="18">
        <f>FE134*VLOOKUP('Données projet'!$B$16,Paramètres!$A$1:$I$89,3,0)*VLOOKUP('Données projet'!$B$16,Paramètres!$A$1:$I$89,5,0)</f>
        <v>-4.1677594708744434E-14</v>
      </c>
      <c r="FG134" s="14" t="e">
        <f t="shared" si="155"/>
        <v>#NUM!</v>
      </c>
      <c r="FH134" s="22" t="e">
        <f t="shared" si="130"/>
        <v>#NUM!</v>
      </c>
      <c r="FI134" s="60" t="e">
        <f t="shared" si="131"/>
        <v>#NUM!</v>
      </c>
      <c r="FJ134" s="60">
        <f ca="1">AVERAGE(OFFSET($FI$3,0,0,'Données projet'!$E$16+1,1))-AVERAGE(OFFSET($H$3,0,0,'Données projet'!$E$16+1,1))</f>
        <v>368.35775920359396</v>
      </c>
      <c r="FK134" s="60">
        <f t="shared" si="156"/>
        <v>395.5218438652638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5.8</v>
      </c>
      <c r="FZ134" s="13">
        <f>IF('Données projet'!$A$244&gt;35,FZ133+FY134-GH133,IF(A134&lt;'Données projet'!$A$244,$FW$205^A134,IF(A134='Données projet'!$A$244,'Données projet'!$B$244,FZ133+FY134-GH133)))</f>
        <v>522.79999999999961</v>
      </c>
      <c r="GA134" s="18">
        <f>FZ134*VLOOKUP('Données projet'!$B$17,Paramètres!$A$1:$I$89,3,0)*VLOOKUP('Données projet'!$B$17,Paramètres!$A$1:$I$89,5,0)</f>
        <v>448.56239999999968</v>
      </c>
      <c r="GB134" s="14">
        <f t="shared" si="157"/>
        <v>101.55533659748193</v>
      </c>
      <c r="GC134" s="22">
        <f t="shared" si="133"/>
        <v>958.12172457394684</v>
      </c>
      <c r="GD134" s="60">
        <f t="shared" si="134"/>
        <v>1242.1954768170526</v>
      </c>
      <c r="GE134" s="60">
        <f ca="1">AVERAGE(OFFSET($GD$3,0,0,'Données projet'!$E$17+1,1))-AVERAGE(OFFSET($H$3,0,0,'Données projet'!$E$17+1,1))</f>
        <v>701.44583662096022</v>
      </c>
      <c r="GF134" s="60">
        <f t="shared" si="158"/>
        <v>331.25104323342907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-1.1368683772161603E-13</v>
      </c>
      <c r="GV134" s="18">
        <f>GU134*VLOOKUP('Données projet'!$B$18,Paramètres!$A$1:$I$89,3,0)*VLOOKUP('Données projet'!$B$18,Paramètres!$A$1:$I$89,5,0)</f>
        <v>-9.2222762759774927E-14</v>
      </c>
      <c r="GW134" s="14" t="e">
        <f t="shared" si="159"/>
        <v>#NUM!</v>
      </c>
      <c r="GX134" s="22" t="e">
        <f t="shared" si="136"/>
        <v>#NUM!</v>
      </c>
      <c r="GY134" s="60" t="e">
        <f t="shared" si="137"/>
        <v>#NUM!</v>
      </c>
      <c r="GZ134" s="60">
        <f ca="1">AVERAGE(OFFSET($GY$3,0,0,'Données projet'!$E$18+1,1))-AVERAGE(OFFSET($H$3,0,0,'Données projet'!$E$18+1,1))</f>
        <v>272.69564942740931</v>
      </c>
      <c r="HA134" s="60">
        <f t="shared" si="160"/>
        <v>316.57989180609252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25">
      <c r="A135" s="11">
        <f t="shared" si="139"/>
        <v>132</v>
      </c>
      <c r="B135" s="75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8">
        <f t="shared" si="110"/>
        <v>183.33333333333334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3.8</v>
      </c>
      <c r="N135" s="14">
        <f>IF('Données projet'!$A$36&gt;35,N134+M135-V134,IF(A135&lt;'Données projet'!$A$36,$K$205^A135,IF(A135='Données projet'!$A$36,'Données projet'!$B$36,N134+M135-V134)))</f>
        <v>310.5999999999998</v>
      </c>
      <c r="O135" s="14">
        <f>N135*VLOOKUP('Données projet'!$B$9,Paramètres!$A$1:$I$89,3,0)*VLOOKUP('Données projet'!$B$9,Paramètres!$A$1:$I$89,5,0)</f>
        <v>281.03087999999985</v>
      </c>
      <c r="P135" s="14">
        <f t="shared" si="141"/>
        <v>67.184816842275467</v>
      </c>
      <c r="Q135" s="22">
        <f t="shared" si="108"/>
        <v>606.47567200029607</v>
      </c>
      <c r="R135" s="60">
        <f t="shared" si="109"/>
        <v>890.71005727399529</v>
      </c>
      <c r="S135" s="60">
        <f ca="1">AVERAGE(OFFSET($R$3,0,0,'Données projet'!$E$9+1,1))-AVERAGE(OFFSET($H$3,0,0,'Données projet'!$E$9+1,1))</f>
        <v>570.08763950759544</v>
      </c>
      <c r="T135" s="60">
        <f t="shared" si="142"/>
        <v>297.32483725004136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-4.5224624045658861E-14</v>
      </c>
      <c r="AK135" s="14" t="e">
        <f t="shared" si="143"/>
        <v>#NUM!</v>
      </c>
      <c r="AL135" s="22" t="e">
        <f t="shared" si="112"/>
        <v>#NUM!</v>
      </c>
      <c r="AM135" s="60" t="e">
        <f t="shared" si="113"/>
        <v>#NUM!</v>
      </c>
      <c r="AN135" s="60">
        <f ca="1">AVERAGE(OFFSET($AM$3,0,0,'Données projet'!$E$10+1,1))-AVERAGE(OFFSET($H$3,0,0,'Données projet'!$E$10+1,1))</f>
        <v>394.49874384716014</v>
      </c>
      <c r="AO135" s="60">
        <f t="shared" si="144"/>
        <v>423.72519584013378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5.4092197387944907E-14</v>
      </c>
      <c r="BF135" s="14">
        <f t="shared" si="145"/>
        <v>8.7287050538073676E-13</v>
      </c>
      <c r="BG135" s="22">
        <f t="shared" si="115"/>
        <v>1.6144600406554537E-12</v>
      </c>
      <c r="BH135" s="60">
        <f t="shared" si="116"/>
        <v>284.23438527370075</v>
      </c>
      <c r="BI135" s="60">
        <f ca="1">AVERAGE(OFFSET($BH$3,0,0,'Données projet'!$E$11+1,1))-AVERAGE(OFFSET($H$3,0,0,'Données projet'!$E$11+1,1))</f>
        <v>441.15969139782891</v>
      </c>
      <c r="BJ135" s="60">
        <f t="shared" si="146"/>
        <v>315.06466790224783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8.8675733422860506E-14</v>
      </c>
      <c r="CA135" s="14">
        <f t="shared" si="147"/>
        <v>1.3509285393066301E-12</v>
      </c>
      <c r="CB135" s="22">
        <f t="shared" si="118"/>
        <v>2.5073107750038623E-12</v>
      </c>
      <c r="CC135" s="60">
        <f t="shared" si="119"/>
        <v>284.23438527370166</v>
      </c>
      <c r="CD135" s="60">
        <f ca="1">AVERAGE(OFFSET($CC$3,0,0,'Données projet'!$E$12+1,1))-AVERAGE(OFFSET($H$3,0,0,'Données projet'!$E$12+1,1))</f>
        <v>312.59632808777332</v>
      </c>
      <c r="CE135" s="60">
        <f t="shared" si="148"/>
        <v>302.59481222418219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3.8</v>
      </c>
      <c r="CT135" s="13">
        <f>IF('Données projet'!$A$140&gt;35,CT134+CS135-DB134,IF(A135&lt;'Données projet'!$A$140,$CQ$205^A135,IF(A135='Données projet'!$A$140,'Données projet'!$B$140,CT134+CS135-DB134)))</f>
        <v>310.5999999999998</v>
      </c>
      <c r="CU135" s="18">
        <f>CT135*VLOOKUP('Données projet'!$B$13,Paramètres!$A$1:$I$89,3,0)*VLOOKUP('Données projet'!$B$13,Paramètres!$A$1:$I$89,5,0)</f>
        <v>300.4123199999998</v>
      </c>
      <c r="CV135" s="14">
        <f t="shared" si="149"/>
        <v>71.262894674416614</v>
      </c>
      <c r="CW135" s="22">
        <f t="shared" si="121"/>
        <v>647.33433222460849</v>
      </c>
      <c r="CX135" s="60">
        <f t="shared" si="122"/>
        <v>931.56871749830771</v>
      </c>
      <c r="CY135" s="60">
        <f ca="1">AVERAGE(OFFSET($CX$3,0,0,'Données projet'!$E$13+1,1))-AVERAGE(OFFSET($H$3,0,0,'Données projet'!$E$13+1,1))</f>
        <v>603.52431522262032</v>
      </c>
      <c r="CZ135" s="60">
        <f t="shared" si="150"/>
        <v>313.56299786481338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3.8</v>
      </c>
      <c r="DO135" s="13">
        <f>IF('Données projet'!$A$166&gt;35,DO134+DN135-DW134,IF(A135&lt;'Données projet'!$A$166,$DL$205^A135,IF(A135='Données projet'!$A$166,'Données projet'!$B$166,DO134+DN135-DW134)))</f>
        <v>310.5999999999998</v>
      </c>
      <c r="DP135" s="18">
        <f>DO135*VLOOKUP('Données projet'!$B$14,Paramètres!$A$1:$I$89,3,0)*VLOOKUP('Données projet'!$B$14,Paramètres!$A$1:$I$89,5,0)</f>
        <v>334.32983999999976</v>
      </c>
      <c r="DQ135" s="14">
        <f t="shared" si="151"/>
        <v>78.327311299804165</v>
      </c>
      <c r="DR135" s="22">
        <f t="shared" si="124"/>
        <v>718.71120518049167</v>
      </c>
      <c r="DS135" s="60">
        <f t="shared" si="125"/>
        <v>1002.9455904541908</v>
      </c>
      <c r="DT135" s="60">
        <f ca="1">AVERAGE(OFFSET($DS$3,0,0,'Données projet'!$E$14+1,1))-AVERAGE(OFFSET($H$3,0,0,'Données projet'!$E$14+1,1))</f>
        <v>661.93515988633499</v>
      </c>
      <c r="DU135" s="60">
        <f t="shared" si="152"/>
        <v>341.9250949809848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>
        <f>EJ135*VLOOKUP('Données projet'!$B$15,Paramètres!$A$1:$I$89,3,0)*VLOOKUP('Données projet'!$B$15,Paramètres!$A$1:$I$89,5,0)</f>
        <v>0</v>
      </c>
      <c r="EL135" s="14" t="e">
        <f t="shared" si="153"/>
        <v>#NUM!</v>
      </c>
      <c r="EM135" s="22" t="e">
        <f t="shared" si="127"/>
        <v>#NUM!</v>
      </c>
      <c r="EN135" s="60" t="e">
        <f t="shared" si="128"/>
        <v>#NUM!</v>
      </c>
      <c r="EO135" s="60">
        <f ca="1">AVERAGE(OFFSET($EN$3,0,0,'Données projet'!$E$15+1,1))-AVERAGE(OFFSET($H$3,0,0,'Données projet'!$E$15+1,1))</f>
        <v>396.0878652679051</v>
      </c>
      <c r="EP135" s="60">
        <f t="shared" si="154"/>
        <v>327.26339199235406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-5.6843418860808015E-14</v>
      </c>
      <c r="FF135" s="18">
        <f>FE135*VLOOKUP('Données projet'!$B$16,Paramètres!$A$1:$I$89,3,0)*VLOOKUP('Données projet'!$B$16,Paramètres!$A$1:$I$89,5,0)</f>
        <v>-4.1677594708744434E-14</v>
      </c>
      <c r="FG135" s="14" t="e">
        <f t="shared" si="155"/>
        <v>#NUM!</v>
      </c>
      <c r="FH135" s="22" t="e">
        <f t="shared" si="130"/>
        <v>#NUM!</v>
      </c>
      <c r="FI135" s="60" t="e">
        <f t="shared" si="131"/>
        <v>#NUM!</v>
      </c>
      <c r="FJ135" s="60">
        <f ca="1">AVERAGE(OFFSET($FI$3,0,0,'Données projet'!$E$16+1,1))-AVERAGE(OFFSET($H$3,0,0,'Données projet'!$E$16+1,1))</f>
        <v>368.35775920359396</v>
      </c>
      <c r="FK135" s="60">
        <f t="shared" si="156"/>
        <v>395.5218438652638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5.8</v>
      </c>
      <c r="FZ135" s="13">
        <f>IF('Données projet'!$A$244&gt;35,FZ134+FY135-GH134,IF(A135&lt;'Données projet'!$A$244,$FW$205^A135,IF(A135='Données projet'!$A$244,'Données projet'!$B$244,FZ134+FY135-GH134)))</f>
        <v>528.59999999999957</v>
      </c>
      <c r="GA135" s="18">
        <f>FZ135*VLOOKUP('Données projet'!$B$17,Paramètres!$A$1:$I$89,3,0)*VLOOKUP('Données projet'!$B$17,Paramètres!$A$1:$I$89,5,0)</f>
        <v>453.5387999999997</v>
      </c>
      <c r="GB135" s="14">
        <f t="shared" si="157"/>
        <v>102.55021847256151</v>
      </c>
      <c r="GC135" s="22">
        <f t="shared" si="133"/>
        <v>968.52170717304398</v>
      </c>
      <c r="GD135" s="60">
        <f t="shared" si="134"/>
        <v>1252.7560924467432</v>
      </c>
      <c r="GE135" s="60">
        <f ca="1">AVERAGE(OFFSET($GD$3,0,0,'Données projet'!$E$17+1,1))-AVERAGE(OFFSET($H$3,0,0,'Données projet'!$E$17+1,1))</f>
        <v>701.44583662096022</v>
      </c>
      <c r="GF135" s="60">
        <f t="shared" si="158"/>
        <v>331.25104323342907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-1.1368683772161603E-13</v>
      </c>
      <c r="GV135" s="18">
        <f>GU135*VLOOKUP('Données projet'!$B$18,Paramètres!$A$1:$I$89,3,0)*VLOOKUP('Données projet'!$B$18,Paramètres!$A$1:$I$89,5,0)</f>
        <v>-9.2222762759774927E-14</v>
      </c>
      <c r="GW135" s="14" t="e">
        <f t="shared" si="159"/>
        <v>#NUM!</v>
      </c>
      <c r="GX135" s="22" t="e">
        <f t="shared" si="136"/>
        <v>#NUM!</v>
      </c>
      <c r="GY135" s="60" t="e">
        <f t="shared" si="137"/>
        <v>#NUM!</v>
      </c>
      <c r="GZ135" s="60">
        <f ca="1">AVERAGE(OFFSET($GY$3,0,0,'Données projet'!$E$18+1,1))-AVERAGE(OFFSET($H$3,0,0,'Données projet'!$E$18+1,1))</f>
        <v>272.69564942740931</v>
      </c>
      <c r="HA135" s="60">
        <f t="shared" si="160"/>
        <v>316.57989180609252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25">
      <c r="A136" s="11">
        <f t="shared" si="139"/>
        <v>133</v>
      </c>
      <c r="B136" s="75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8">
        <f t="shared" si="110"/>
        <v>183.33333333333334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3.8</v>
      </c>
      <c r="N136" s="14">
        <f>IF('Données projet'!$A$36&gt;35,N135+M136-V135,IF(A136&lt;'Données projet'!$A$36,$K$205^A136,IF(A136='Données projet'!$A$36,'Données projet'!$B$36,N135+M136-V135)))</f>
        <v>314.39999999999981</v>
      </c>
      <c r="O136" s="14">
        <f>N136*VLOOKUP('Données projet'!$B$9,Paramètres!$A$1:$I$89,3,0)*VLOOKUP('Données projet'!$B$9,Paramètres!$A$1:$I$89,5,0)</f>
        <v>284.4691199999998</v>
      </c>
      <c r="P136" s="14">
        <f t="shared" si="141"/>
        <v>67.910590237378983</v>
      </c>
      <c r="Q136" s="22">
        <f t="shared" si="108"/>
        <v>613.72799533010129</v>
      </c>
      <c r="R136" s="60">
        <f t="shared" si="109"/>
        <v>898.12022701043475</v>
      </c>
      <c r="S136" s="60">
        <f ca="1">AVERAGE(OFFSET($R$3,0,0,'Données projet'!$E$9+1,1))-AVERAGE(OFFSET($H$3,0,0,'Données projet'!$E$9+1,1))</f>
        <v>570.08763950759544</v>
      </c>
      <c r="T136" s="60">
        <f t="shared" si="142"/>
        <v>297.32483725004136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-4.5224624045658861E-14</v>
      </c>
      <c r="AK136" s="14" t="e">
        <f t="shared" si="143"/>
        <v>#NUM!</v>
      </c>
      <c r="AL136" s="22" t="e">
        <f t="shared" si="112"/>
        <v>#NUM!</v>
      </c>
      <c r="AM136" s="60" t="e">
        <f t="shared" si="113"/>
        <v>#NUM!</v>
      </c>
      <c r="AN136" s="60">
        <f ca="1">AVERAGE(OFFSET($AM$3,0,0,'Données projet'!$E$10+1,1))-AVERAGE(OFFSET($H$3,0,0,'Données projet'!$E$10+1,1))</f>
        <v>394.49874384716014</v>
      </c>
      <c r="AO136" s="60">
        <f t="shared" si="144"/>
        <v>423.72519584013378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5.4092197387944907E-14</v>
      </c>
      <c r="BF136" s="14">
        <f t="shared" si="145"/>
        <v>8.7287050538073676E-13</v>
      </c>
      <c r="BG136" s="22">
        <f t="shared" si="115"/>
        <v>1.6144600406554537E-12</v>
      </c>
      <c r="BH136" s="60">
        <f t="shared" si="116"/>
        <v>284.39223168033499</v>
      </c>
      <c r="BI136" s="60">
        <f ca="1">AVERAGE(OFFSET($BH$3,0,0,'Données projet'!$E$11+1,1))-AVERAGE(OFFSET($H$3,0,0,'Données projet'!$E$11+1,1))</f>
        <v>441.15969139782891</v>
      </c>
      <c r="BJ136" s="60">
        <f t="shared" si="146"/>
        <v>315.06466790224783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8.8675733422860506E-14</v>
      </c>
      <c r="CA136" s="14">
        <f t="shared" si="147"/>
        <v>1.3509285393066301E-12</v>
      </c>
      <c r="CB136" s="22">
        <f t="shared" si="118"/>
        <v>2.5073107750038623E-12</v>
      </c>
      <c r="CC136" s="60">
        <f t="shared" si="119"/>
        <v>284.3922316803359</v>
      </c>
      <c r="CD136" s="60">
        <f ca="1">AVERAGE(OFFSET($CC$3,0,0,'Données projet'!$E$12+1,1))-AVERAGE(OFFSET($H$3,0,0,'Données projet'!$E$12+1,1))</f>
        <v>312.59632808777332</v>
      </c>
      <c r="CE136" s="60">
        <f t="shared" si="148"/>
        <v>302.59481222418219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3.8</v>
      </c>
      <c r="CT136" s="13">
        <f>IF('Données projet'!$A$140&gt;35,CT135+CS136-DB135,IF(A136&lt;'Données projet'!$A$140,$CQ$205^A136,IF(A136='Données projet'!$A$140,'Données projet'!$B$140,CT135+CS136-DB135)))</f>
        <v>314.39999999999981</v>
      </c>
      <c r="CU136" s="18">
        <f>CT136*VLOOKUP('Données projet'!$B$13,Paramètres!$A$1:$I$89,3,0)*VLOOKUP('Données projet'!$B$13,Paramètres!$A$1:$I$89,5,0)</f>
        <v>304.08767999999981</v>
      </c>
      <c r="CV136" s="14">
        <f t="shared" si="149"/>
        <v>72.032722076553924</v>
      </c>
      <c r="CW136" s="22">
        <f t="shared" si="121"/>
        <v>655.07636694999781</v>
      </c>
      <c r="CX136" s="60">
        <f t="shared" si="122"/>
        <v>939.46859863033114</v>
      </c>
      <c r="CY136" s="60">
        <f ca="1">AVERAGE(OFFSET($CX$3,0,0,'Données projet'!$E$13+1,1))-AVERAGE(OFFSET($H$3,0,0,'Données projet'!$E$13+1,1))</f>
        <v>603.52431522262032</v>
      </c>
      <c r="CZ136" s="60">
        <f t="shared" si="150"/>
        <v>313.56299786481338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3.8</v>
      </c>
      <c r="DO136" s="13">
        <f>IF('Données projet'!$A$166&gt;35,DO135+DN136-DW135,IF(A136&lt;'Données projet'!$A$166,$DL$205^A136,IF(A136='Données projet'!$A$166,'Données projet'!$B$166,DO135+DN136-DW135)))</f>
        <v>314.39999999999981</v>
      </c>
      <c r="DP136" s="18">
        <f>DO136*VLOOKUP('Données projet'!$B$14,Paramètres!$A$1:$I$89,3,0)*VLOOKUP('Données projet'!$B$14,Paramètres!$A$1:$I$89,5,0)</f>
        <v>338.42015999999978</v>
      </c>
      <c r="DQ136" s="14">
        <f t="shared" si="151"/>
        <v>79.173453052111782</v>
      </c>
      <c r="DR136" s="22">
        <f t="shared" si="124"/>
        <v>727.30887606576096</v>
      </c>
      <c r="DS136" s="60">
        <f t="shared" si="125"/>
        <v>1011.7011077460943</v>
      </c>
      <c r="DT136" s="60">
        <f ca="1">AVERAGE(OFFSET($DS$3,0,0,'Données projet'!$E$14+1,1))-AVERAGE(OFFSET($H$3,0,0,'Données projet'!$E$14+1,1))</f>
        <v>661.93515988633499</v>
      </c>
      <c r="DU136" s="60">
        <f t="shared" si="152"/>
        <v>341.9250949809848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>
        <f>EJ136*VLOOKUP('Données projet'!$B$15,Paramètres!$A$1:$I$89,3,0)*VLOOKUP('Données projet'!$B$15,Paramètres!$A$1:$I$89,5,0)</f>
        <v>0</v>
      </c>
      <c r="EL136" s="14" t="e">
        <f t="shared" si="153"/>
        <v>#NUM!</v>
      </c>
      <c r="EM136" s="22" t="e">
        <f t="shared" si="127"/>
        <v>#NUM!</v>
      </c>
      <c r="EN136" s="60" t="e">
        <f t="shared" si="128"/>
        <v>#NUM!</v>
      </c>
      <c r="EO136" s="60">
        <f ca="1">AVERAGE(OFFSET($EN$3,0,0,'Données projet'!$E$15+1,1))-AVERAGE(OFFSET($H$3,0,0,'Données projet'!$E$15+1,1))</f>
        <v>396.0878652679051</v>
      </c>
      <c r="EP136" s="60">
        <f t="shared" si="154"/>
        <v>327.26339199235406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-5.6843418860808015E-14</v>
      </c>
      <c r="FF136" s="18">
        <f>FE136*VLOOKUP('Données projet'!$B$16,Paramètres!$A$1:$I$89,3,0)*VLOOKUP('Données projet'!$B$16,Paramètres!$A$1:$I$89,5,0)</f>
        <v>-4.1677594708744434E-14</v>
      </c>
      <c r="FG136" s="14" t="e">
        <f t="shared" si="155"/>
        <v>#NUM!</v>
      </c>
      <c r="FH136" s="22" t="e">
        <f t="shared" si="130"/>
        <v>#NUM!</v>
      </c>
      <c r="FI136" s="60" t="e">
        <f t="shared" si="131"/>
        <v>#NUM!</v>
      </c>
      <c r="FJ136" s="60">
        <f ca="1">AVERAGE(OFFSET($FI$3,0,0,'Données projet'!$E$16+1,1))-AVERAGE(OFFSET($H$3,0,0,'Données projet'!$E$16+1,1))</f>
        <v>368.35775920359396</v>
      </c>
      <c r="FK136" s="60">
        <f t="shared" si="156"/>
        <v>395.5218438652638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5.8</v>
      </c>
      <c r="FZ136" s="13">
        <f>IF('Données projet'!$A$244&gt;35,FZ135+FY136-GH135,IF(A136&lt;'Données projet'!$A$244,$FW$205^A136,IF(A136='Données projet'!$A$244,'Données projet'!$B$244,FZ135+FY136-GH135)))</f>
        <v>534.39999999999952</v>
      </c>
      <c r="GA136" s="18">
        <f>FZ136*VLOOKUP('Données projet'!$B$17,Paramètres!$A$1:$I$89,3,0)*VLOOKUP('Données projet'!$B$17,Paramètres!$A$1:$I$89,5,0)</f>
        <v>458.51519999999971</v>
      </c>
      <c r="GB136" s="14">
        <f t="shared" si="157"/>
        <v>103.54383048355068</v>
      </c>
      <c r="GC136" s="22">
        <f t="shared" si="133"/>
        <v>978.91947809218345</v>
      </c>
      <c r="GD136" s="60">
        <f t="shared" si="134"/>
        <v>1263.3117097725169</v>
      </c>
      <c r="GE136" s="60">
        <f ca="1">AVERAGE(OFFSET($GD$3,0,0,'Données projet'!$E$17+1,1))-AVERAGE(OFFSET($H$3,0,0,'Données projet'!$E$17+1,1))</f>
        <v>701.44583662096022</v>
      </c>
      <c r="GF136" s="60">
        <f t="shared" si="158"/>
        <v>331.25104323342907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-1.1368683772161603E-13</v>
      </c>
      <c r="GV136" s="18">
        <f>GU136*VLOOKUP('Données projet'!$B$18,Paramètres!$A$1:$I$89,3,0)*VLOOKUP('Données projet'!$B$18,Paramètres!$A$1:$I$89,5,0)</f>
        <v>-9.2222762759774927E-14</v>
      </c>
      <c r="GW136" s="14" t="e">
        <f t="shared" si="159"/>
        <v>#NUM!</v>
      </c>
      <c r="GX136" s="22" t="e">
        <f t="shared" si="136"/>
        <v>#NUM!</v>
      </c>
      <c r="GY136" s="60" t="e">
        <f t="shared" si="137"/>
        <v>#NUM!</v>
      </c>
      <c r="GZ136" s="60">
        <f ca="1">AVERAGE(OFFSET($GY$3,0,0,'Données projet'!$E$18+1,1))-AVERAGE(OFFSET($H$3,0,0,'Données projet'!$E$18+1,1))</f>
        <v>272.69564942740931</v>
      </c>
      <c r="HA136" s="60">
        <f t="shared" si="160"/>
        <v>316.57989180609252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25">
      <c r="A137" s="11">
        <f t="shared" si="139"/>
        <v>134</v>
      </c>
      <c r="B137" s="75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8">
        <f t="shared" si="110"/>
        <v>183.33333333333334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3.8</v>
      </c>
      <c r="N137" s="14">
        <f>IF('Données projet'!$A$36&gt;35,N136+M137-V136,IF(A137&lt;'Données projet'!$A$36,$K$205^A137,IF(A137='Données projet'!$A$36,'Données projet'!$B$36,N136+M137-V136)))</f>
        <v>318.19999999999982</v>
      </c>
      <c r="O137" s="14">
        <f>N137*VLOOKUP('Données projet'!$B$9,Paramètres!$A$1:$I$89,3,0)*VLOOKUP('Données projet'!$B$9,Paramètres!$A$1:$I$89,5,0)</f>
        <v>287.90735999999981</v>
      </c>
      <c r="P137" s="14">
        <f t="shared" si="141"/>
        <v>68.635343255147305</v>
      </c>
      <c r="Q137" s="22">
        <f t="shared" si="108"/>
        <v>620.97854150271451</v>
      </c>
      <c r="R137" s="60">
        <f t="shared" si="109"/>
        <v>905.52588130741879</v>
      </c>
      <c r="S137" s="60">
        <f ca="1">AVERAGE(OFFSET($R$3,0,0,'Données projet'!$E$9+1,1))-AVERAGE(OFFSET($H$3,0,0,'Données projet'!$E$9+1,1))</f>
        <v>570.08763950759544</v>
      </c>
      <c r="T137" s="60">
        <f t="shared" si="142"/>
        <v>297.32483725004136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-4.5224624045658861E-14</v>
      </c>
      <c r="AK137" s="14" t="e">
        <f t="shared" si="143"/>
        <v>#NUM!</v>
      </c>
      <c r="AL137" s="22" t="e">
        <f t="shared" si="112"/>
        <v>#NUM!</v>
      </c>
      <c r="AM137" s="60" t="e">
        <f t="shared" si="113"/>
        <v>#NUM!</v>
      </c>
      <c r="AN137" s="60">
        <f ca="1">AVERAGE(OFFSET($AM$3,0,0,'Données projet'!$E$10+1,1))-AVERAGE(OFFSET($H$3,0,0,'Données projet'!$E$10+1,1))</f>
        <v>394.49874384716014</v>
      </c>
      <c r="AO137" s="60">
        <f t="shared" si="144"/>
        <v>423.72519584013378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5.4092197387944907E-14</v>
      </c>
      <c r="BF137" s="14">
        <f t="shared" si="145"/>
        <v>8.7287050538073676E-13</v>
      </c>
      <c r="BG137" s="22">
        <f t="shared" si="115"/>
        <v>1.6144600406554537E-12</v>
      </c>
      <c r="BH137" s="60">
        <f t="shared" si="116"/>
        <v>284.54733980470587</v>
      </c>
      <c r="BI137" s="60">
        <f ca="1">AVERAGE(OFFSET($BH$3,0,0,'Données projet'!$E$11+1,1))-AVERAGE(OFFSET($H$3,0,0,'Données projet'!$E$11+1,1))</f>
        <v>441.15969139782891</v>
      </c>
      <c r="BJ137" s="60">
        <f t="shared" si="146"/>
        <v>315.06466790224783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8.8675733422860506E-14</v>
      </c>
      <c r="CA137" s="14">
        <f t="shared" si="147"/>
        <v>1.3509285393066301E-12</v>
      </c>
      <c r="CB137" s="22">
        <f t="shared" si="118"/>
        <v>2.5073107750038623E-12</v>
      </c>
      <c r="CC137" s="60">
        <f t="shared" si="119"/>
        <v>284.54733980470678</v>
      </c>
      <c r="CD137" s="60">
        <f ca="1">AVERAGE(OFFSET($CC$3,0,0,'Données projet'!$E$12+1,1))-AVERAGE(OFFSET($H$3,0,0,'Données projet'!$E$12+1,1))</f>
        <v>312.59632808777332</v>
      </c>
      <c r="CE137" s="60">
        <f t="shared" si="148"/>
        <v>302.59481222418219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3.8</v>
      </c>
      <c r="CT137" s="13">
        <f>IF('Données projet'!$A$140&gt;35,CT136+CS137-DB136,IF(A137&lt;'Données projet'!$A$140,$CQ$205^A137,IF(A137='Données projet'!$A$140,'Données projet'!$B$140,CT136+CS137-DB136)))</f>
        <v>318.19999999999982</v>
      </c>
      <c r="CU137" s="18">
        <f>CT137*VLOOKUP('Données projet'!$B$13,Paramètres!$A$1:$I$89,3,0)*VLOOKUP('Données projet'!$B$13,Paramètres!$A$1:$I$89,5,0)</f>
        <v>307.76303999999982</v>
      </c>
      <c r="CV137" s="14">
        <f t="shared" si="149"/>
        <v>72.801467165067464</v>
      </c>
      <c r="CW137" s="22">
        <f t="shared" si="121"/>
        <v>662.81651664582557</v>
      </c>
      <c r="CX137" s="60">
        <f t="shared" si="122"/>
        <v>947.36385645052985</v>
      </c>
      <c r="CY137" s="60">
        <f ca="1">AVERAGE(OFFSET($CX$3,0,0,'Données projet'!$E$13+1,1))-AVERAGE(OFFSET($H$3,0,0,'Données projet'!$E$13+1,1))</f>
        <v>603.52431522262032</v>
      </c>
      <c r="CZ137" s="60">
        <f t="shared" si="150"/>
        <v>313.56299786481338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3.8</v>
      </c>
      <c r="DO137" s="13">
        <f>IF('Données projet'!$A$166&gt;35,DO136+DN137-DW136,IF(A137&lt;'Données projet'!$A$166,$DL$205^A137,IF(A137='Données projet'!$A$166,'Données projet'!$B$166,DO136+DN137-DW136)))</f>
        <v>318.19999999999982</v>
      </c>
      <c r="DP137" s="18">
        <f>DO137*VLOOKUP('Données projet'!$B$14,Paramètres!$A$1:$I$89,3,0)*VLOOKUP('Données projet'!$B$14,Paramètres!$A$1:$I$89,5,0)</f>
        <v>342.5104799999998</v>
      </c>
      <c r="DQ137" s="14">
        <f t="shared" si="151"/>
        <v>80.018405199134463</v>
      </c>
      <c r="DR137" s="22">
        <f t="shared" si="124"/>
        <v>735.90447505515885</v>
      </c>
      <c r="DS137" s="60">
        <f t="shared" si="125"/>
        <v>1020.4518148598631</v>
      </c>
      <c r="DT137" s="60">
        <f ca="1">AVERAGE(OFFSET($DS$3,0,0,'Données projet'!$E$14+1,1))-AVERAGE(OFFSET($H$3,0,0,'Données projet'!$E$14+1,1))</f>
        <v>661.93515988633499</v>
      </c>
      <c r="DU137" s="60">
        <f t="shared" si="152"/>
        <v>341.9250949809848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>
        <f>EJ137*VLOOKUP('Données projet'!$B$15,Paramètres!$A$1:$I$89,3,0)*VLOOKUP('Données projet'!$B$15,Paramètres!$A$1:$I$89,5,0)</f>
        <v>0</v>
      </c>
      <c r="EL137" s="14" t="e">
        <f t="shared" si="153"/>
        <v>#NUM!</v>
      </c>
      <c r="EM137" s="22" t="e">
        <f t="shared" si="127"/>
        <v>#NUM!</v>
      </c>
      <c r="EN137" s="60" t="e">
        <f t="shared" si="128"/>
        <v>#NUM!</v>
      </c>
      <c r="EO137" s="60">
        <f ca="1">AVERAGE(OFFSET($EN$3,0,0,'Données projet'!$E$15+1,1))-AVERAGE(OFFSET($H$3,0,0,'Données projet'!$E$15+1,1))</f>
        <v>396.0878652679051</v>
      </c>
      <c r="EP137" s="60">
        <f t="shared" si="154"/>
        <v>327.26339199235406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-5.6843418860808015E-14</v>
      </c>
      <c r="FF137" s="18">
        <f>FE137*VLOOKUP('Données projet'!$B$16,Paramètres!$A$1:$I$89,3,0)*VLOOKUP('Données projet'!$B$16,Paramètres!$A$1:$I$89,5,0)</f>
        <v>-4.1677594708744434E-14</v>
      </c>
      <c r="FG137" s="14" t="e">
        <f t="shared" si="155"/>
        <v>#NUM!</v>
      </c>
      <c r="FH137" s="22" t="e">
        <f t="shared" si="130"/>
        <v>#NUM!</v>
      </c>
      <c r="FI137" s="60" t="e">
        <f t="shared" si="131"/>
        <v>#NUM!</v>
      </c>
      <c r="FJ137" s="60">
        <f ca="1">AVERAGE(OFFSET($FI$3,0,0,'Données projet'!$E$16+1,1))-AVERAGE(OFFSET($H$3,0,0,'Données projet'!$E$16+1,1))</f>
        <v>368.35775920359396</v>
      </c>
      <c r="FK137" s="60">
        <f t="shared" si="156"/>
        <v>395.5218438652638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5.8</v>
      </c>
      <c r="FZ137" s="13">
        <f>IF('Données projet'!$A$244&gt;35,FZ136+FY137-GH136,IF(A137&lt;'Données projet'!$A$244,$FW$205^A137,IF(A137='Données projet'!$A$244,'Données projet'!$B$244,FZ136+FY137-GH136)))</f>
        <v>540.19999999999948</v>
      </c>
      <c r="GA137" s="18">
        <f>FZ137*VLOOKUP('Données projet'!$B$17,Paramètres!$A$1:$I$89,3,0)*VLOOKUP('Données projet'!$B$17,Paramètres!$A$1:$I$89,5,0)</f>
        <v>463.49159999999961</v>
      </c>
      <c r="GB137" s="14">
        <f t="shared" si="157"/>
        <v>104.53618800779775</v>
      </c>
      <c r="GC137" s="22">
        <f t="shared" si="133"/>
        <v>989.31506411358021</v>
      </c>
      <c r="GD137" s="60">
        <f t="shared" si="134"/>
        <v>1273.8624039182846</v>
      </c>
      <c r="GE137" s="60">
        <f ca="1">AVERAGE(OFFSET($GD$3,0,0,'Données projet'!$E$17+1,1))-AVERAGE(OFFSET($H$3,0,0,'Données projet'!$E$17+1,1))</f>
        <v>701.44583662096022</v>
      </c>
      <c r="GF137" s="60">
        <f t="shared" si="158"/>
        <v>331.25104323342907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-1.1368683772161603E-13</v>
      </c>
      <c r="GV137" s="18">
        <f>GU137*VLOOKUP('Données projet'!$B$18,Paramètres!$A$1:$I$89,3,0)*VLOOKUP('Données projet'!$B$18,Paramètres!$A$1:$I$89,5,0)</f>
        <v>-9.2222762759774927E-14</v>
      </c>
      <c r="GW137" s="14" t="e">
        <f t="shared" si="159"/>
        <v>#NUM!</v>
      </c>
      <c r="GX137" s="22" t="e">
        <f t="shared" si="136"/>
        <v>#NUM!</v>
      </c>
      <c r="GY137" s="60" t="e">
        <f t="shared" si="137"/>
        <v>#NUM!</v>
      </c>
      <c r="GZ137" s="60">
        <f ca="1">AVERAGE(OFFSET($GY$3,0,0,'Données projet'!$E$18+1,1))-AVERAGE(OFFSET($H$3,0,0,'Données projet'!$E$18+1,1))</f>
        <v>272.69564942740931</v>
      </c>
      <c r="HA137" s="60">
        <f t="shared" si="160"/>
        <v>316.57989180609252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25">
      <c r="A138" s="11">
        <f t="shared" si="139"/>
        <v>135</v>
      </c>
      <c r="B138" s="75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8">
        <f t="shared" si="110"/>
        <v>183.33333333333334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3.8</v>
      </c>
      <c r="N138" s="14">
        <f>IF('Données projet'!$A$36&gt;35,N137+M138-V137,IF(A138&lt;'Données projet'!$A$36,$K$205^A138,IF(A138='Données projet'!$A$36,'Données projet'!$B$36,N137+M138-V137)))</f>
        <v>321.99999999999983</v>
      </c>
      <c r="O138" s="14">
        <f>N138*VLOOKUP('Données projet'!$B$9,Paramètres!$A$1:$I$89,3,0)*VLOOKUP('Données projet'!$B$9,Paramètres!$A$1:$I$89,5,0)</f>
        <v>291.34559999999982</v>
      </c>
      <c r="P138" s="14">
        <f t="shared" si="141"/>
        <v>69.359089490698651</v>
      </c>
      <c r="Q138" s="22">
        <f t="shared" si="108"/>
        <v>628.22733419629969</v>
      </c>
      <c r="R138" s="60">
        <f t="shared" si="109"/>
        <v>912.9270913461869</v>
      </c>
      <c r="S138" s="60">
        <f ca="1">AVERAGE(OFFSET($R$3,0,0,'Données projet'!$E$9+1,1))-AVERAGE(OFFSET($H$3,0,0,'Données projet'!$E$9+1,1))</f>
        <v>570.08763950759544</v>
      </c>
      <c r="T138" s="60">
        <f t="shared" si="142"/>
        <v>297.32483725004136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-4.5224624045658861E-14</v>
      </c>
      <c r="AK138" s="14" t="e">
        <f t="shared" si="143"/>
        <v>#NUM!</v>
      </c>
      <c r="AL138" s="22" t="e">
        <f t="shared" si="112"/>
        <v>#NUM!</v>
      </c>
      <c r="AM138" s="60" t="e">
        <f t="shared" si="113"/>
        <v>#NUM!</v>
      </c>
      <c r="AN138" s="60">
        <f ca="1">AVERAGE(OFFSET($AM$3,0,0,'Données projet'!$E$10+1,1))-AVERAGE(OFFSET($H$3,0,0,'Données projet'!$E$10+1,1))</f>
        <v>394.49874384716014</v>
      </c>
      <c r="AO138" s="60">
        <f t="shared" si="144"/>
        <v>423.72519584013378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5.4092197387944907E-14</v>
      </c>
      <c r="BF138" s="14">
        <f t="shared" si="145"/>
        <v>8.7287050538073676E-13</v>
      </c>
      <c r="BG138" s="22">
        <f t="shared" si="115"/>
        <v>1.6144600406554537E-12</v>
      </c>
      <c r="BH138" s="60">
        <f t="shared" si="116"/>
        <v>284.69975714988874</v>
      </c>
      <c r="BI138" s="60">
        <f ca="1">AVERAGE(OFFSET($BH$3,0,0,'Données projet'!$E$11+1,1))-AVERAGE(OFFSET($H$3,0,0,'Données projet'!$E$11+1,1))</f>
        <v>441.15969139782891</v>
      </c>
      <c r="BJ138" s="60">
        <f t="shared" si="146"/>
        <v>315.06466790224783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8.8675733422860506E-14</v>
      </c>
      <c r="CA138" s="14">
        <f t="shared" si="147"/>
        <v>1.3509285393066301E-12</v>
      </c>
      <c r="CB138" s="22">
        <f t="shared" si="118"/>
        <v>2.5073107750038623E-12</v>
      </c>
      <c r="CC138" s="60">
        <f t="shared" si="119"/>
        <v>284.69975714988965</v>
      </c>
      <c r="CD138" s="60">
        <f ca="1">AVERAGE(OFFSET($CC$3,0,0,'Données projet'!$E$12+1,1))-AVERAGE(OFFSET($H$3,0,0,'Données projet'!$E$12+1,1))</f>
        <v>312.59632808777332</v>
      </c>
      <c r="CE138" s="60">
        <f t="shared" si="148"/>
        <v>302.59481222418219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3.8</v>
      </c>
      <c r="CT138" s="13">
        <f>IF('Données projet'!$A$140&gt;35,CT137+CS138-DB137,IF(A138&lt;'Données projet'!$A$140,$CQ$205^A138,IF(A138='Données projet'!$A$140,'Données projet'!$B$140,CT137+CS138-DB137)))</f>
        <v>321.99999999999983</v>
      </c>
      <c r="CU138" s="18">
        <f>CT138*VLOOKUP('Données projet'!$B$13,Paramètres!$A$1:$I$89,3,0)*VLOOKUP('Données projet'!$B$13,Paramètres!$A$1:$I$89,5,0)</f>
        <v>311.43839999999983</v>
      </c>
      <c r="CV138" s="14">
        <f t="shared" si="149"/>
        <v>73.569144360291361</v>
      </c>
      <c r="CW138" s="22">
        <f t="shared" si="121"/>
        <v>670.55480642750706</v>
      </c>
      <c r="CX138" s="60">
        <f t="shared" si="122"/>
        <v>955.25456357739426</v>
      </c>
      <c r="CY138" s="60">
        <f ca="1">AVERAGE(OFFSET($CX$3,0,0,'Données projet'!$E$13+1,1))-AVERAGE(OFFSET($H$3,0,0,'Données projet'!$E$13+1,1))</f>
        <v>603.52431522262032</v>
      </c>
      <c r="CZ138" s="60">
        <f t="shared" si="150"/>
        <v>313.56299786481338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3.8</v>
      </c>
      <c r="DO138" s="13">
        <f>IF('Données projet'!$A$166&gt;35,DO137+DN138-DW137,IF(A138&lt;'Données projet'!$A$166,$DL$205^A138,IF(A138='Données projet'!$A$166,'Données projet'!$B$166,DO137+DN138-DW137)))</f>
        <v>321.99999999999983</v>
      </c>
      <c r="DP138" s="18">
        <f>DO138*VLOOKUP('Données projet'!$B$14,Paramètres!$A$1:$I$89,3,0)*VLOOKUP('Données projet'!$B$14,Paramètres!$A$1:$I$89,5,0)</f>
        <v>346.60079999999982</v>
      </c>
      <c r="DQ138" s="14">
        <f t="shared" si="151"/>
        <v>80.862183590719297</v>
      </c>
      <c r="DR138" s="22">
        <f t="shared" si="124"/>
        <v>744.49802975383579</v>
      </c>
      <c r="DS138" s="60">
        <f t="shared" si="125"/>
        <v>1029.197786903723</v>
      </c>
      <c r="DT138" s="60">
        <f ca="1">AVERAGE(OFFSET($DS$3,0,0,'Données projet'!$E$14+1,1))-AVERAGE(OFFSET($H$3,0,0,'Données projet'!$E$14+1,1))</f>
        <v>661.93515988633499</v>
      </c>
      <c r="DU138" s="60">
        <f t="shared" si="152"/>
        <v>341.9250949809848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>
        <f>EJ138*VLOOKUP('Données projet'!$B$15,Paramètres!$A$1:$I$89,3,0)*VLOOKUP('Données projet'!$B$15,Paramètres!$A$1:$I$89,5,0)</f>
        <v>0</v>
      </c>
      <c r="EL138" s="14" t="e">
        <f t="shared" si="153"/>
        <v>#NUM!</v>
      </c>
      <c r="EM138" s="22" t="e">
        <f t="shared" si="127"/>
        <v>#NUM!</v>
      </c>
      <c r="EN138" s="60" t="e">
        <f t="shared" si="128"/>
        <v>#NUM!</v>
      </c>
      <c r="EO138" s="60">
        <f ca="1">AVERAGE(OFFSET($EN$3,0,0,'Données projet'!$E$15+1,1))-AVERAGE(OFFSET($H$3,0,0,'Données projet'!$E$15+1,1))</f>
        <v>396.0878652679051</v>
      </c>
      <c r="EP138" s="60">
        <f t="shared" si="154"/>
        <v>327.26339199235406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-5.6843418860808015E-14</v>
      </c>
      <c r="FF138" s="18">
        <f>FE138*VLOOKUP('Données projet'!$B$16,Paramètres!$A$1:$I$89,3,0)*VLOOKUP('Données projet'!$B$16,Paramètres!$A$1:$I$89,5,0)</f>
        <v>-4.1677594708744434E-14</v>
      </c>
      <c r="FG138" s="14" t="e">
        <f t="shared" si="155"/>
        <v>#NUM!</v>
      </c>
      <c r="FH138" s="22" t="e">
        <f t="shared" si="130"/>
        <v>#NUM!</v>
      </c>
      <c r="FI138" s="60" t="e">
        <f t="shared" si="131"/>
        <v>#NUM!</v>
      </c>
      <c r="FJ138" s="60">
        <f ca="1">AVERAGE(OFFSET($FI$3,0,0,'Données projet'!$E$16+1,1))-AVERAGE(OFFSET($H$3,0,0,'Données projet'!$E$16+1,1))</f>
        <v>368.35775920359396</v>
      </c>
      <c r="FK138" s="60">
        <f t="shared" si="156"/>
        <v>395.5218438652638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>
        <f>VLOOKUP(A138,'Données projet'!$A$243:$I$263,2,0)</f>
        <v>546</v>
      </c>
      <c r="FX138" s="13">
        <f>VLOOKUP(A138,'Données projet'!$A$243:$I$263,9,0)</f>
        <v>5.8</v>
      </c>
      <c r="FY138" s="13">
        <f t="array" ref="FY138">INDEX(FX:FX,MIN(IF(ISNUMBER(FX138:FX334),ROW(FX138:FX334),"")))</f>
        <v>5.8</v>
      </c>
      <c r="FZ138" s="13">
        <f>IF('Données projet'!$A$244&gt;35,FZ137+FY138-GH137,IF(A138&lt;'Données projet'!$A$244,$FW$205^A138,IF(A138='Données projet'!$A$244,'Données projet'!$B$244,FZ137+FY138-GH137)))</f>
        <v>545.99999999999943</v>
      </c>
      <c r="GA138" s="18">
        <f>FZ138*VLOOKUP('Données projet'!$B$17,Paramètres!$A$1:$I$89,3,0)*VLOOKUP('Données projet'!$B$17,Paramètres!$A$1:$I$89,5,0)</f>
        <v>468.46799999999956</v>
      </c>
      <c r="GB138" s="14">
        <f t="shared" si="157"/>
        <v>105.52730607342514</v>
      </c>
      <c r="GC138" s="22">
        <f t="shared" si="133"/>
        <v>999.7084914112146</v>
      </c>
      <c r="GD138" s="60">
        <f t="shared" si="134"/>
        <v>1284.4082485611018</v>
      </c>
      <c r="GE138" s="60">
        <f ca="1">AVERAGE(OFFSET($GD$3,0,0,'Données projet'!$E$17+1,1))-AVERAGE(OFFSET($H$3,0,0,'Données projet'!$E$17+1,1))</f>
        <v>701.44583662096022</v>
      </c>
      <c r="GF138" s="60">
        <f t="shared" si="158"/>
        <v>331.25104323342907</v>
      </c>
      <c r="GG138" s="16">
        <f>IF(ISNA(VLOOKUP(A138,'Données projet'!$A$243:$I$263,3,0)),0,VLOOKUP(A138,'Données projet'!$A$243:$I$263,3,0))</f>
        <v>12</v>
      </c>
      <c r="GH138" s="16">
        <f>IF(ISNA(VLOOKUP(A138,'Données projet'!$A$243:$I$263,4,0)),0,VLOOKUP(A138,'Données projet'!$A$243:$I$263,4,0))</f>
        <v>49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-1.1368683772161603E-13</v>
      </c>
      <c r="GV138" s="18">
        <f>GU138*VLOOKUP('Données projet'!$B$18,Paramètres!$A$1:$I$89,3,0)*VLOOKUP('Données projet'!$B$18,Paramètres!$A$1:$I$89,5,0)</f>
        <v>-9.2222762759774927E-14</v>
      </c>
      <c r="GW138" s="14" t="e">
        <f t="shared" si="159"/>
        <v>#NUM!</v>
      </c>
      <c r="GX138" s="22" t="e">
        <f t="shared" si="136"/>
        <v>#NUM!</v>
      </c>
      <c r="GY138" s="60" t="e">
        <f t="shared" si="137"/>
        <v>#NUM!</v>
      </c>
      <c r="GZ138" s="60">
        <f ca="1">AVERAGE(OFFSET($GY$3,0,0,'Données projet'!$E$18+1,1))-AVERAGE(OFFSET($H$3,0,0,'Données projet'!$E$18+1,1))</f>
        <v>272.69564942740931</v>
      </c>
      <c r="HA138" s="60">
        <f t="shared" si="160"/>
        <v>316.57989180609252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25">
      <c r="A139" s="11">
        <f t="shared" si="139"/>
        <v>136</v>
      </c>
      <c r="B139" s="75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8">
        <f t="shared" si="110"/>
        <v>183.33333333333334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3.8</v>
      </c>
      <c r="N139" s="14">
        <f>IF('Données projet'!$A$36&gt;35,N138+M139-V138,IF(A139&lt;'Données projet'!$A$36,$K$205^A139,IF(A139='Données projet'!$A$36,'Données projet'!$B$36,N138+M139-V138)))</f>
        <v>325.79999999999984</v>
      </c>
      <c r="O139" s="14">
        <f>N139*VLOOKUP('Données projet'!$B$9,Paramètres!$A$1:$I$89,3,0)*VLOOKUP('Données projet'!$B$9,Paramètres!$A$1:$I$89,5,0)</f>
        <v>294.78383999999983</v>
      </c>
      <c r="P139" s="14">
        <f t="shared" si="141"/>
        <v>70.081842199807596</v>
      </c>
      <c r="Q139" s="22">
        <f t="shared" si="108"/>
        <v>635.47439649799799</v>
      </c>
      <c r="R139" s="60">
        <f t="shared" si="109"/>
        <v>920.32392689288326</v>
      </c>
      <c r="S139" s="60">
        <f ca="1">AVERAGE(OFFSET($R$3,0,0,'Données projet'!$E$9+1,1))-AVERAGE(OFFSET($H$3,0,0,'Données projet'!$E$9+1,1))</f>
        <v>570.08763950759544</v>
      </c>
      <c r="T139" s="60">
        <f t="shared" si="142"/>
        <v>297.32483725004136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-4.5224624045658861E-14</v>
      </c>
      <c r="AK139" s="14" t="e">
        <f t="shared" si="143"/>
        <v>#NUM!</v>
      </c>
      <c r="AL139" s="22" t="e">
        <f t="shared" si="112"/>
        <v>#NUM!</v>
      </c>
      <c r="AM139" s="60" t="e">
        <f t="shared" si="113"/>
        <v>#NUM!</v>
      </c>
      <c r="AN139" s="60">
        <f ca="1">AVERAGE(OFFSET($AM$3,0,0,'Données projet'!$E$10+1,1))-AVERAGE(OFFSET($H$3,0,0,'Données projet'!$E$10+1,1))</f>
        <v>394.49874384716014</v>
      </c>
      <c r="AO139" s="60">
        <f t="shared" si="144"/>
        <v>423.72519584013378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5.4092197387944907E-14</v>
      </c>
      <c r="BF139" s="14">
        <f t="shared" si="145"/>
        <v>8.7287050538073676E-13</v>
      </c>
      <c r="BG139" s="22">
        <f t="shared" si="115"/>
        <v>1.6144600406554537E-12</v>
      </c>
      <c r="BH139" s="60">
        <f t="shared" si="116"/>
        <v>284.84953039488681</v>
      </c>
      <c r="BI139" s="60">
        <f ca="1">AVERAGE(OFFSET($BH$3,0,0,'Données projet'!$E$11+1,1))-AVERAGE(OFFSET($H$3,0,0,'Données projet'!$E$11+1,1))</f>
        <v>441.15969139782891</v>
      </c>
      <c r="BJ139" s="60">
        <f t="shared" si="146"/>
        <v>315.06466790224783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8.8675733422860506E-14</v>
      </c>
      <c r="CA139" s="14">
        <f t="shared" si="147"/>
        <v>1.3509285393066301E-12</v>
      </c>
      <c r="CB139" s="22">
        <f t="shared" si="118"/>
        <v>2.5073107750038623E-12</v>
      </c>
      <c r="CC139" s="60">
        <f t="shared" si="119"/>
        <v>284.84953039488772</v>
      </c>
      <c r="CD139" s="60">
        <f ca="1">AVERAGE(OFFSET($CC$3,0,0,'Données projet'!$E$12+1,1))-AVERAGE(OFFSET($H$3,0,0,'Données projet'!$E$12+1,1))</f>
        <v>312.59632808777332</v>
      </c>
      <c r="CE139" s="60">
        <f t="shared" si="148"/>
        <v>302.59481222418219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3.8</v>
      </c>
      <c r="CT139" s="13">
        <f>IF('Données projet'!$A$140&gt;35,CT138+CS139-DB138,IF(A139&lt;'Données projet'!$A$140,$CQ$205^A139,IF(A139='Données projet'!$A$140,'Données projet'!$B$140,CT138+CS139-DB138)))</f>
        <v>325.79999999999984</v>
      </c>
      <c r="CU139" s="18">
        <f>CT139*VLOOKUP('Données projet'!$B$13,Paramètres!$A$1:$I$89,3,0)*VLOOKUP('Données projet'!$B$13,Paramètres!$A$1:$I$89,5,0)</f>
        <v>315.11375999999984</v>
      </c>
      <c r="CV139" s="14">
        <f t="shared" si="149"/>
        <v>74.335767722617277</v>
      </c>
      <c r="CW139" s="22">
        <f t="shared" si="121"/>
        <v>678.29126078355807</v>
      </c>
      <c r="CX139" s="60">
        <f t="shared" si="122"/>
        <v>963.14079117844335</v>
      </c>
      <c r="CY139" s="60">
        <f ca="1">AVERAGE(OFFSET($CX$3,0,0,'Données projet'!$E$13+1,1))-AVERAGE(OFFSET($H$3,0,0,'Données projet'!$E$13+1,1))</f>
        <v>603.52431522262032</v>
      </c>
      <c r="CZ139" s="60">
        <f t="shared" si="150"/>
        <v>313.56299786481338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3.8</v>
      </c>
      <c r="DO139" s="13">
        <f>IF('Données projet'!$A$166&gt;35,DO138+DN139-DW138,IF(A139&lt;'Données projet'!$A$166,$DL$205^A139,IF(A139='Données projet'!$A$166,'Données projet'!$B$166,DO138+DN139-DW138)))</f>
        <v>325.79999999999984</v>
      </c>
      <c r="DP139" s="18">
        <f>DO139*VLOOKUP('Données projet'!$B$14,Paramètres!$A$1:$I$89,3,0)*VLOOKUP('Données projet'!$B$14,Paramètres!$A$1:$I$89,5,0)</f>
        <v>350.69111999999984</v>
      </c>
      <c r="DQ139" s="14">
        <f t="shared" si="151"/>
        <v>81.704803681089643</v>
      </c>
      <c r="DR139" s="22">
        <f t="shared" si="124"/>
        <v>753.08956707789741</v>
      </c>
      <c r="DS139" s="60">
        <f t="shared" si="125"/>
        <v>1037.9390974727826</v>
      </c>
      <c r="DT139" s="60">
        <f ca="1">AVERAGE(OFFSET($DS$3,0,0,'Données projet'!$E$14+1,1))-AVERAGE(OFFSET($H$3,0,0,'Données projet'!$E$14+1,1))</f>
        <v>661.93515988633499</v>
      </c>
      <c r="DU139" s="60">
        <f t="shared" si="152"/>
        <v>341.9250949809848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>
        <f>EJ139*VLOOKUP('Données projet'!$B$15,Paramètres!$A$1:$I$89,3,0)*VLOOKUP('Données projet'!$B$15,Paramètres!$A$1:$I$89,5,0)</f>
        <v>0</v>
      </c>
      <c r="EL139" s="14" t="e">
        <f t="shared" si="153"/>
        <v>#NUM!</v>
      </c>
      <c r="EM139" s="22" t="e">
        <f t="shared" si="127"/>
        <v>#NUM!</v>
      </c>
      <c r="EN139" s="60" t="e">
        <f t="shared" si="128"/>
        <v>#NUM!</v>
      </c>
      <c r="EO139" s="60">
        <f ca="1">AVERAGE(OFFSET($EN$3,0,0,'Données projet'!$E$15+1,1))-AVERAGE(OFFSET($H$3,0,0,'Données projet'!$E$15+1,1))</f>
        <v>396.0878652679051</v>
      </c>
      <c r="EP139" s="60">
        <f t="shared" si="154"/>
        <v>327.26339199235406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-5.6843418860808015E-14</v>
      </c>
      <c r="FF139" s="18">
        <f>FE139*VLOOKUP('Données projet'!$B$16,Paramètres!$A$1:$I$89,3,0)*VLOOKUP('Données projet'!$B$16,Paramètres!$A$1:$I$89,5,0)</f>
        <v>-4.1677594708744434E-14</v>
      </c>
      <c r="FG139" s="14" t="e">
        <f t="shared" si="155"/>
        <v>#NUM!</v>
      </c>
      <c r="FH139" s="22" t="e">
        <f t="shared" si="130"/>
        <v>#NUM!</v>
      </c>
      <c r="FI139" s="60" t="e">
        <f t="shared" si="131"/>
        <v>#NUM!</v>
      </c>
      <c r="FJ139" s="60">
        <f ca="1">AVERAGE(OFFSET($FI$3,0,0,'Données projet'!$E$16+1,1))-AVERAGE(OFFSET($H$3,0,0,'Données projet'!$E$16+1,1))</f>
        <v>368.35775920359396</v>
      </c>
      <c r="FK139" s="60">
        <f t="shared" si="156"/>
        <v>395.5218438652638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4.9333333333333336</v>
      </c>
      <c r="FZ139" s="13">
        <f>IF('Données projet'!$A$244&gt;35,FZ138+FY139-GH138,IF(A139&lt;'Données projet'!$A$244,$FW$205^A139,IF(A139='Données projet'!$A$244,'Données projet'!$B$244,FZ138+FY139-GH138)))</f>
        <v>501.93333333333271</v>
      </c>
      <c r="GA139" s="18">
        <f>FZ139*VLOOKUP('Données projet'!$B$17,Paramètres!$A$1:$I$89,3,0)*VLOOKUP('Données projet'!$B$17,Paramètres!$A$1:$I$89,5,0)</f>
        <v>430.65879999999947</v>
      </c>
      <c r="GB139" s="14">
        <f t="shared" si="157"/>
        <v>97.965299752381441</v>
      </c>
      <c r="GC139" s="22">
        <f t="shared" si="133"/>
        <v>920.6869737353968</v>
      </c>
      <c r="GD139" s="60">
        <f t="shared" si="134"/>
        <v>1205.5365041302821</v>
      </c>
      <c r="GE139" s="60">
        <f ca="1">AVERAGE(OFFSET($GD$3,0,0,'Données projet'!$E$17+1,1))-AVERAGE(OFFSET($H$3,0,0,'Données projet'!$E$17+1,1))</f>
        <v>701.44583662096022</v>
      </c>
      <c r="GF139" s="60">
        <f t="shared" si="158"/>
        <v>331.25104323342907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-1.1368683772161603E-13</v>
      </c>
      <c r="GV139" s="18">
        <f>GU139*VLOOKUP('Données projet'!$B$18,Paramètres!$A$1:$I$89,3,0)*VLOOKUP('Données projet'!$B$18,Paramètres!$A$1:$I$89,5,0)</f>
        <v>-9.2222762759774927E-14</v>
      </c>
      <c r="GW139" s="14" t="e">
        <f t="shared" si="159"/>
        <v>#NUM!</v>
      </c>
      <c r="GX139" s="22" t="e">
        <f t="shared" si="136"/>
        <v>#NUM!</v>
      </c>
      <c r="GY139" s="60" t="e">
        <f t="shared" si="137"/>
        <v>#NUM!</v>
      </c>
      <c r="GZ139" s="60">
        <f ca="1">AVERAGE(OFFSET($GY$3,0,0,'Données projet'!$E$18+1,1))-AVERAGE(OFFSET($H$3,0,0,'Données projet'!$E$18+1,1))</f>
        <v>272.69564942740931</v>
      </c>
      <c r="HA139" s="60">
        <f t="shared" si="160"/>
        <v>316.57989180609252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25">
      <c r="A140" s="11">
        <f t="shared" si="139"/>
        <v>137</v>
      </c>
      <c r="B140" s="75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8">
        <f t="shared" si="110"/>
        <v>183.33333333333334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3.8</v>
      </c>
      <c r="N140" s="14">
        <f>IF('Données projet'!$A$36&gt;35,N139+M140-V139,IF(A140&lt;'Données projet'!$A$36,$K$205^A140,IF(A140='Données projet'!$A$36,'Données projet'!$B$36,N139+M140-V139)))</f>
        <v>329.59999999999985</v>
      </c>
      <c r="O140" s="14">
        <f>N140*VLOOKUP('Données projet'!$B$9,Paramètres!$A$1:$I$89,3,0)*VLOOKUP('Données projet'!$B$9,Paramètres!$A$1:$I$89,5,0)</f>
        <v>298.22207999999983</v>
      </c>
      <c r="P140" s="14">
        <f t="shared" si="141"/>
        <v>70.803614311231783</v>
      </c>
      <c r="Q140" s="22">
        <f t="shared" si="108"/>
        <v>642.71975092539503</v>
      </c>
      <c r="R140" s="60">
        <f t="shared" si="109"/>
        <v>927.71645633432036</v>
      </c>
      <c r="S140" s="60">
        <f ca="1">AVERAGE(OFFSET($R$3,0,0,'Données projet'!$E$9+1,1))-AVERAGE(OFFSET($H$3,0,0,'Données projet'!$E$9+1,1))</f>
        <v>570.08763950759544</v>
      </c>
      <c r="T140" s="60">
        <f t="shared" si="142"/>
        <v>297.32483725004136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-4.5224624045658861E-14</v>
      </c>
      <c r="AK140" s="14" t="e">
        <f t="shared" si="143"/>
        <v>#NUM!</v>
      </c>
      <c r="AL140" s="22" t="e">
        <f t="shared" si="112"/>
        <v>#NUM!</v>
      </c>
      <c r="AM140" s="60" t="e">
        <f t="shared" si="113"/>
        <v>#NUM!</v>
      </c>
      <c r="AN140" s="60">
        <f ca="1">AVERAGE(OFFSET($AM$3,0,0,'Données projet'!$E$10+1,1))-AVERAGE(OFFSET($H$3,0,0,'Données projet'!$E$10+1,1))</f>
        <v>394.49874384716014</v>
      </c>
      <c r="AO140" s="60">
        <f t="shared" si="144"/>
        <v>423.72519584013378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5.4092197387944907E-14</v>
      </c>
      <c r="BF140" s="14">
        <f t="shared" si="145"/>
        <v>8.7287050538073676E-13</v>
      </c>
      <c r="BG140" s="22">
        <f t="shared" si="115"/>
        <v>1.6144600406554537E-12</v>
      </c>
      <c r="BH140" s="60">
        <f t="shared" si="116"/>
        <v>284.99670540892697</v>
      </c>
      <c r="BI140" s="60">
        <f ca="1">AVERAGE(OFFSET($BH$3,0,0,'Données projet'!$E$11+1,1))-AVERAGE(OFFSET($H$3,0,0,'Données projet'!$E$11+1,1))</f>
        <v>441.15969139782891</v>
      </c>
      <c r="BJ140" s="60">
        <f t="shared" si="146"/>
        <v>315.06466790224783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8.8675733422860506E-14</v>
      </c>
      <c r="CA140" s="14">
        <f t="shared" si="147"/>
        <v>1.3509285393066301E-12</v>
      </c>
      <c r="CB140" s="22">
        <f t="shared" si="118"/>
        <v>2.5073107750038623E-12</v>
      </c>
      <c r="CC140" s="60">
        <f t="shared" si="119"/>
        <v>284.99670540892788</v>
      </c>
      <c r="CD140" s="60">
        <f ca="1">AVERAGE(OFFSET($CC$3,0,0,'Données projet'!$E$12+1,1))-AVERAGE(OFFSET($H$3,0,0,'Données projet'!$E$12+1,1))</f>
        <v>312.59632808777332</v>
      </c>
      <c r="CE140" s="60">
        <f t="shared" si="148"/>
        <v>302.59481222418219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3.8</v>
      </c>
      <c r="CT140" s="13">
        <f>IF('Données projet'!$A$140&gt;35,CT139+CS140-DB139,IF(A140&lt;'Données projet'!$A$140,$CQ$205^A140,IF(A140='Données projet'!$A$140,'Données projet'!$B$140,CT139+CS140-DB139)))</f>
        <v>329.59999999999985</v>
      </c>
      <c r="CU140" s="18">
        <f>CT140*VLOOKUP('Données projet'!$B$13,Paramètres!$A$1:$I$89,3,0)*VLOOKUP('Données projet'!$B$13,Paramètres!$A$1:$I$89,5,0)</f>
        <v>318.78911999999991</v>
      </c>
      <c r="CV140" s="14">
        <f t="shared" si="149"/>
        <v>75.101350965570944</v>
      </c>
      <c r="CW140" s="22">
        <f t="shared" si="121"/>
        <v>686.02590359836915</v>
      </c>
      <c r="CX140" s="60">
        <f t="shared" si="122"/>
        <v>971.02260900729448</v>
      </c>
      <c r="CY140" s="60">
        <f ca="1">AVERAGE(OFFSET($CX$3,0,0,'Données projet'!$E$13+1,1))-AVERAGE(OFFSET($H$3,0,0,'Données projet'!$E$13+1,1))</f>
        <v>603.52431522262032</v>
      </c>
      <c r="CZ140" s="60">
        <f t="shared" si="150"/>
        <v>313.56299786481338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3.8</v>
      </c>
      <c r="DO140" s="13">
        <f>IF('Données projet'!$A$166&gt;35,DO139+DN140-DW139,IF(A140&lt;'Données projet'!$A$166,$DL$205^A140,IF(A140='Données projet'!$A$166,'Données projet'!$B$166,DO139+DN140-DW139)))</f>
        <v>329.59999999999985</v>
      </c>
      <c r="DP140" s="18">
        <f>DO140*VLOOKUP('Données projet'!$B$14,Paramètres!$A$1:$I$89,3,0)*VLOOKUP('Données projet'!$B$14,Paramètres!$A$1:$I$89,5,0)</f>
        <v>354.78143999999986</v>
      </c>
      <c r="DQ140" s="14">
        <f t="shared" si="151"/>
        <v>82.546280543216994</v>
      </c>
      <c r="DR140" s="22">
        <f t="shared" si="124"/>
        <v>761.67911327943602</v>
      </c>
      <c r="DS140" s="60">
        <f t="shared" si="125"/>
        <v>1046.6758186883615</v>
      </c>
      <c r="DT140" s="60">
        <f ca="1">AVERAGE(OFFSET($DS$3,0,0,'Données projet'!$E$14+1,1))-AVERAGE(OFFSET($H$3,0,0,'Données projet'!$E$14+1,1))</f>
        <v>661.93515988633499</v>
      </c>
      <c r="DU140" s="60">
        <f t="shared" si="152"/>
        <v>341.9250949809848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>
        <f>EJ140*VLOOKUP('Données projet'!$B$15,Paramètres!$A$1:$I$89,3,0)*VLOOKUP('Données projet'!$B$15,Paramètres!$A$1:$I$89,5,0)</f>
        <v>0</v>
      </c>
      <c r="EL140" s="14" t="e">
        <f t="shared" si="153"/>
        <v>#NUM!</v>
      </c>
      <c r="EM140" s="22" t="e">
        <f t="shared" si="127"/>
        <v>#NUM!</v>
      </c>
      <c r="EN140" s="60" t="e">
        <f t="shared" si="128"/>
        <v>#NUM!</v>
      </c>
      <c r="EO140" s="60">
        <f ca="1">AVERAGE(OFFSET($EN$3,0,0,'Données projet'!$E$15+1,1))-AVERAGE(OFFSET($H$3,0,0,'Données projet'!$E$15+1,1))</f>
        <v>396.0878652679051</v>
      </c>
      <c r="EP140" s="60">
        <f t="shared" si="154"/>
        <v>327.26339199235406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-5.6843418860808015E-14</v>
      </c>
      <c r="FF140" s="18">
        <f>FE140*VLOOKUP('Données projet'!$B$16,Paramètres!$A$1:$I$89,3,0)*VLOOKUP('Données projet'!$B$16,Paramètres!$A$1:$I$89,5,0)</f>
        <v>-4.1677594708744434E-14</v>
      </c>
      <c r="FG140" s="14" t="e">
        <f t="shared" si="155"/>
        <v>#NUM!</v>
      </c>
      <c r="FH140" s="22" t="e">
        <f t="shared" si="130"/>
        <v>#NUM!</v>
      </c>
      <c r="FI140" s="60" t="e">
        <f t="shared" si="131"/>
        <v>#NUM!</v>
      </c>
      <c r="FJ140" s="60">
        <f ca="1">AVERAGE(OFFSET($FI$3,0,0,'Données projet'!$E$16+1,1))-AVERAGE(OFFSET($H$3,0,0,'Données projet'!$E$16+1,1))</f>
        <v>368.35775920359396</v>
      </c>
      <c r="FK140" s="60">
        <f t="shared" si="156"/>
        <v>395.5218438652638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4.9333333333333336</v>
      </c>
      <c r="FZ140" s="13">
        <f>IF('Données projet'!$A$244&gt;35,FZ139+FY140-GH139,IF(A140&lt;'Données projet'!$A$244,$FW$205^A140,IF(A140='Données projet'!$A$244,'Données projet'!$B$244,FZ139+FY140-GH139)))</f>
        <v>506.86666666666605</v>
      </c>
      <c r="GA140" s="18">
        <f>FZ140*VLOOKUP('Données projet'!$B$17,Paramètres!$A$1:$I$89,3,0)*VLOOKUP('Données projet'!$B$17,Paramètres!$A$1:$I$89,5,0)</f>
        <v>434.89159999999953</v>
      </c>
      <c r="GB140" s="14">
        <f t="shared" si="157"/>
        <v>98.815604895945327</v>
      </c>
      <c r="GC140" s="22">
        <f t="shared" si="133"/>
        <v>929.54004852710386</v>
      </c>
      <c r="GD140" s="60">
        <f t="shared" si="134"/>
        <v>1214.5367539360293</v>
      </c>
      <c r="GE140" s="60">
        <f ca="1">AVERAGE(OFFSET($GD$3,0,0,'Données projet'!$E$17+1,1))-AVERAGE(OFFSET($H$3,0,0,'Données projet'!$E$17+1,1))</f>
        <v>701.44583662096022</v>
      </c>
      <c r="GF140" s="60">
        <f t="shared" si="158"/>
        <v>331.25104323342907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-1.1368683772161603E-13</v>
      </c>
      <c r="GV140" s="18">
        <f>GU140*VLOOKUP('Données projet'!$B$18,Paramètres!$A$1:$I$89,3,0)*VLOOKUP('Données projet'!$B$18,Paramètres!$A$1:$I$89,5,0)</f>
        <v>-9.2222762759774927E-14</v>
      </c>
      <c r="GW140" s="14" t="e">
        <f t="shared" si="159"/>
        <v>#NUM!</v>
      </c>
      <c r="GX140" s="22" t="e">
        <f t="shared" si="136"/>
        <v>#NUM!</v>
      </c>
      <c r="GY140" s="60" t="e">
        <f t="shared" si="137"/>
        <v>#NUM!</v>
      </c>
      <c r="GZ140" s="60">
        <f ca="1">AVERAGE(OFFSET($GY$3,0,0,'Données projet'!$E$18+1,1))-AVERAGE(OFFSET($H$3,0,0,'Données projet'!$E$18+1,1))</f>
        <v>272.69564942740931</v>
      </c>
      <c r="HA140" s="60">
        <f t="shared" si="160"/>
        <v>316.57989180609252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25">
      <c r="A141" s="11">
        <f t="shared" si="139"/>
        <v>138</v>
      </c>
      <c r="B141" s="75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8">
        <f t="shared" si="110"/>
        <v>183.33333333333334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3.8</v>
      </c>
      <c r="N141" s="14">
        <f>IF('Données projet'!$A$36&gt;35,N140+M141-V140,IF(A141&lt;'Données projet'!$A$36,$K$205^A141,IF(A141='Données projet'!$A$36,'Données projet'!$B$36,N140+M141-V140)))</f>
        <v>333.39999999999986</v>
      </c>
      <c r="O141" s="14">
        <f>N141*VLOOKUP('Données projet'!$B$9,Paramètres!$A$1:$I$89,3,0)*VLOOKUP('Données projet'!$B$9,Paramètres!$A$1:$I$89,5,0)</f>
        <v>301.66031999999984</v>
      </c>
      <c r="P141" s="14">
        <f t="shared" si="141"/>
        <v>71.524418438455001</v>
      </c>
      <c r="Q141" s="22">
        <f t="shared" si="108"/>
        <v>649.96341944697554</v>
      </c>
      <c r="R141" s="60">
        <f t="shared" si="109"/>
        <v>935.10474671248153</v>
      </c>
      <c r="S141" s="60">
        <f ca="1">AVERAGE(OFFSET($R$3,0,0,'Données projet'!$E$9+1,1))-AVERAGE(OFFSET($H$3,0,0,'Données projet'!$E$9+1,1))</f>
        <v>570.08763950759544</v>
      </c>
      <c r="T141" s="60">
        <f t="shared" si="142"/>
        <v>297.32483725004136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-4.5224624045658861E-14</v>
      </c>
      <c r="AK141" s="14" t="e">
        <f t="shared" si="143"/>
        <v>#NUM!</v>
      </c>
      <c r="AL141" s="22" t="e">
        <f t="shared" si="112"/>
        <v>#NUM!</v>
      </c>
      <c r="AM141" s="60" t="e">
        <f t="shared" si="113"/>
        <v>#NUM!</v>
      </c>
      <c r="AN141" s="60">
        <f ca="1">AVERAGE(OFFSET($AM$3,0,0,'Données projet'!$E$10+1,1))-AVERAGE(OFFSET($H$3,0,0,'Données projet'!$E$10+1,1))</f>
        <v>394.49874384716014</v>
      </c>
      <c r="AO141" s="60">
        <f t="shared" si="144"/>
        <v>423.72519584013378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5.4092197387944907E-14</v>
      </c>
      <c r="BF141" s="14">
        <f t="shared" si="145"/>
        <v>8.7287050538073676E-13</v>
      </c>
      <c r="BG141" s="22">
        <f t="shared" si="115"/>
        <v>1.6144600406554537E-12</v>
      </c>
      <c r="BH141" s="60">
        <f t="shared" si="116"/>
        <v>285.14132726550753</v>
      </c>
      <c r="BI141" s="60">
        <f ca="1">AVERAGE(OFFSET($BH$3,0,0,'Données projet'!$E$11+1,1))-AVERAGE(OFFSET($H$3,0,0,'Données projet'!$E$11+1,1))</f>
        <v>441.15969139782891</v>
      </c>
      <c r="BJ141" s="60">
        <f t="shared" si="146"/>
        <v>315.06466790224783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8.8675733422860506E-14</v>
      </c>
      <c r="CA141" s="14">
        <f t="shared" si="147"/>
        <v>1.3509285393066301E-12</v>
      </c>
      <c r="CB141" s="22">
        <f t="shared" si="118"/>
        <v>2.5073107750038623E-12</v>
      </c>
      <c r="CC141" s="60">
        <f t="shared" si="119"/>
        <v>285.14132726550844</v>
      </c>
      <c r="CD141" s="60">
        <f ca="1">AVERAGE(OFFSET($CC$3,0,0,'Données projet'!$E$12+1,1))-AVERAGE(OFFSET($H$3,0,0,'Données projet'!$E$12+1,1))</f>
        <v>312.59632808777332</v>
      </c>
      <c r="CE141" s="60">
        <f t="shared" si="148"/>
        <v>302.59481222418219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3.8</v>
      </c>
      <c r="CT141" s="13">
        <f>IF('Données projet'!$A$140&gt;35,CT140+CS141-DB140,IF(A141&lt;'Données projet'!$A$140,$CQ$205^A141,IF(A141='Données projet'!$A$140,'Données projet'!$B$140,CT140+CS141-DB140)))</f>
        <v>333.39999999999986</v>
      </c>
      <c r="CU141" s="18">
        <f>CT141*VLOOKUP('Données projet'!$B$13,Paramètres!$A$1:$I$89,3,0)*VLOOKUP('Données projet'!$B$13,Paramètres!$A$1:$I$89,5,0)</f>
        <v>322.46447999999987</v>
      </c>
      <c r="CV141" s="14">
        <f t="shared" si="149"/>
        <v>75.865907468266684</v>
      </c>
      <c r="CW141" s="22">
        <f t="shared" si="121"/>
        <v>693.7587581738976</v>
      </c>
      <c r="CX141" s="60">
        <f t="shared" si="122"/>
        <v>978.90008543940348</v>
      </c>
      <c r="CY141" s="60">
        <f ca="1">AVERAGE(OFFSET($CX$3,0,0,'Données projet'!$E$13+1,1))-AVERAGE(OFFSET($H$3,0,0,'Données projet'!$E$13+1,1))</f>
        <v>603.52431522262032</v>
      </c>
      <c r="CZ141" s="60">
        <f t="shared" si="150"/>
        <v>313.56299786481338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3.8</v>
      </c>
      <c r="DO141" s="13">
        <f>IF('Données projet'!$A$166&gt;35,DO140+DN141-DW140,IF(A141&lt;'Données projet'!$A$166,$DL$205^A141,IF(A141='Données projet'!$A$166,'Données projet'!$B$166,DO140+DN141-DW140)))</f>
        <v>333.39999999999986</v>
      </c>
      <c r="DP141" s="18">
        <f>DO141*VLOOKUP('Données projet'!$B$14,Paramètres!$A$1:$I$89,3,0)*VLOOKUP('Données projet'!$B$14,Paramètres!$A$1:$I$89,5,0)</f>
        <v>358.87175999999982</v>
      </c>
      <c r="DQ141" s="14">
        <f t="shared" si="151"/>
        <v>83.386628882511204</v>
      </c>
      <c r="DR141" s="22">
        <f t="shared" si="124"/>
        <v>770.26669397037347</v>
      </c>
      <c r="DS141" s="60">
        <f t="shared" si="125"/>
        <v>1055.4080212358795</v>
      </c>
      <c r="DT141" s="60">
        <f ca="1">AVERAGE(OFFSET($DS$3,0,0,'Données projet'!$E$14+1,1))-AVERAGE(OFFSET($H$3,0,0,'Données projet'!$E$14+1,1))</f>
        <v>661.93515988633499</v>
      </c>
      <c r="DU141" s="60">
        <f t="shared" si="152"/>
        <v>341.9250949809848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>
        <f>EJ141*VLOOKUP('Données projet'!$B$15,Paramètres!$A$1:$I$89,3,0)*VLOOKUP('Données projet'!$B$15,Paramètres!$A$1:$I$89,5,0)</f>
        <v>0</v>
      </c>
      <c r="EL141" s="14" t="e">
        <f t="shared" si="153"/>
        <v>#NUM!</v>
      </c>
      <c r="EM141" s="22" t="e">
        <f t="shared" si="127"/>
        <v>#NUM!</v>
      </c>
      <c r="EN141" s="60" t="e">
        <f t="shared" si="128"/>
        <v>#NUM!</v>
      </c>
      <c r="EO141" s="60">
        <f ca="1">AVERAGE(OFFSET($EN$3,0,0,'Données projet'!$E$15+1,1))-AVERAGE(OFFSET($H$3,0,0,'Données projet'!$E$15+1,1))</f>
        <v>396.0878652679051</v>
      </c>
      <c r="EP141" s="60">
        <f t="shared" si="154"/>
        <v>327.26339199235406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-5.6843418860808015E-14</v>
      </c>
      <c r="FF141" s="18">
        <f>FE141*VLOOKUP('Données projet'!$B$16,Paramètres!$A$1:$I$89,3,0)*VLOOKUP('Données projet'!$B$16,Paramètres!$A$1:$I$89,5,0)</f>
        <v>-4.1677594708744434E-14</v>
      </c>
      <c r="FG141" s="14" t="e">
        <f t="shared" si="155"/>
        <v>#NUM!</v>
      </c>
      <c r="FH141" s="22" t="e">
        <f t="shared" si="130"/>
        <v>#NUM!</v>
      </c>
      <c r="FI141" s="60" t="e">
        <f t="shared" si="131"/>
        <v>#NUM!</v>
      </c>
      <c r="FJ141" s="60">
        <f ca="1">AVERAGE(OFFSET($FI$3,0,0,'Données projet'!$E$16+1,1))-AVERAGE(OFFSET($H$3,0,0,'Données projet'!$E$16+1,1))</f>
        <v>368.35775920359396</v>
      </c>
      <c r="FK141" s="60">
        <f t="shared" si="156"/>
        <v>395.5218438652638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4.9333333333333336</v>
      </c>
      <c r="FZ141" s="13">
        <f>IF('Données projet'!$A$244&gt;35,FZ140+FY141-GH140,IF(A141&lt;'Données projet'!$A$244,$FW$205^A141,IF(A141='Données projet'!$A$244,'Données projet'!$B$244,FZ140+FY141-GH140)))</f>
        <v>511.79999999999939</v>
      </c>
      <c r="GA141" s="18">
        <f>FZ141*VLOOKUP('Données projet'!$B$17,Paramètres!$A$1:$I$89,3,0)*VLOOKUP('Données projet'!$B$17,Paramètres!$A$1:$I$89,5,0)</f>
        <v>439.12439999999953</v>
      </c>
      <c r="GB141" s="14">
        <f t="shared" si="157"/>
        <v>99.664947240177099</v>
      </c>
      <c r="GC141" s="22">
        <f t="shared" si="133"/>
        <v>938.39144644330747</v>
      </c>
      <c r="GD141" s="60">
        <f t="shared" si="134"/>
        <v>1223.5327737088135</v>
      </c>
      <c r="GE141" s="60">
        <f ca="1">AVERAGE(OFFSET($GD$3,0,0,'Données projet'!$E$17+1,1))-AVERAGE(OFFSET($H$3,0,0,'Données projet'!$E$17+1,1))</f>
        <v>701.44583662096022</v>
      </c>
      <c r="GF141" s="60">
        <f t="shared" si="158"/>
        <v>331.25104323342907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-1.1368683772161603E-13</v>
      </c>
      <c r="GV141" s="18">
        <f>GU141*VLOOKUP('Données projet'!$B$18,Paramètres!$A$1:$I$89,3,0)*VLOOKUP('Données projet'!$B$18,Paramètres!$A$1:$I$89,5,0)</f>
        <v>-9.2222762759774927E-14</v>
      </c>
      <c r="GW141" s="14" t="e">
        <f t="shared" si="159"/>
        <v>#NUM!</v>
      </c>
      <c r="GX141" s="22" t="e">
        <f t="shared" si="136"/>
        <v>#NUM!</v>
      </c>
      <c r="GY141" s="60" t="e">
        <f t="shared" si="137"/>
        <v>#NUM!</v>
      </c>
      <c r="GZ141" s="60">
        <f ca="1">AVERAGE(OFFSET($GY$3,0,0,'Données projet'!$E$18+1,1))-AVERAGE(OFFSET($H$3,0,0,'Données projet'!$E$18+1,1))</f>
        <v>272.69564942740931</v>
      </c>
      <c r="HA141" s="60">
        <f t="shared" si="160"/>
        <v>316.57989180609252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25">
      <c r="A142" s="11">
        <f t="shared" si="139"/>
        <v>139</v>
      </c>
      <c r="B142" s="75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8">
        <f t="shared" si="110"/>
        <v>183.33333333333334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3.8</v>
      </c>
      <c r="N142" s="14">
        <f>IF('Données projet'!$A$36&gt;35,N141+M142-V141,IF(A142&lt;'Données projet'!$A$36,$K$205^A142,IF(A142='Données projet'!$A$36,'Données projet'!$B$36,N141+M142-V141)))</f>
        <v>337.19999999999987</v>
      </c>
      <c r="O142" s="14">
        <f>N142*VLOOKUP('Données projet'!$B$9,Paramètres!$A$1:$I$89,3,0)*VLOOKUP('Données projet'!$B$9,Paramètres!$A$1:$I$89,5,0)</f>
        <v>305.09855999999985</v>
      </c>
      <c r="P142" s="14">
        <f t="shared" si="141"/>
        <v>72.244266890878791</v>
      </c>
      <c r="Q142" s="22">
        <f t="shared" si="108"/>
        <v>657.20542350161361</v>
      </c>
      <c r="R142" s="60">
        <f t="shared" si="109"/>
        <v>942.48886375781444</v>
      </c>
      <c r="S142" s="60">
        <f ca="1">AVERAGE(OFFSET($R$3,0,0,'Données projet'!$E$9+1,1))-AVERAGE(OFFSET($H$3,0,0,'Données projet'!$E$9+1,1))</f>
        <v>570.08763950759544</v>
      </c>
      <c r="T142" s="60">
        <f t="shared" si="142"/>
        <v>297.32483725004136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-4.5224624045658861E-14</v>
      </c>
      <c r="AK142" s="14" t="e">
        <f t="shared" si="143"/>
        <v>#NUM!</v>
      </c>
      <c r="AL142" s="22" t="e">
        <f t="shared" si="112"/>
        <v>#NUM!</v>
      </c>
      <c r="AM142" s="60" t="e">
        <f t="shared" si="113"/>
        <v>#NUM!</v>
      </c>
      <c r="AN142" s="60">
        <f ca="1">AVERAGE(OFFSET($AM$3,0,0,'Données projet'!$E$10+1,1))-AVERAGE(OFFSET($H$3,0,0,'Données projet'!$E$10+1,1))</f>
        <v>394.49874384716014</v>
      </c>
      <c r="AO142" s="60">
        <f t="shared" si="144"/>
        <v>423.72519584013378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5.4092197387944907E-14</v>
      </c>
      <c r="BF142" s="14">
        <f t="shared" si="145"/>
        <v>8.7287050538073676E-13</v>
      </c>
      <c r="BG142" s="22">
        <f t="shared" si="115"/>
        <v>1.6144600406554537E-12</v>
      </c>
      <c r="BH142" s="60">
        <f t="shared" si="116"/>
        <v>285.28344025620248</v>
      </c>
      <c r="BI142" s="60">
        <f ca="1">AVERAGE(OFFSET($BH$3,0,0,'Données projet'!$E$11+1,1))-AVERAGE(OFFSET($H$3,0,0,'Données projet'!$E$11+1,1))</f>
        <v>441.15969139782891</v>
      </c>
      <c r="BJ142" s="60">
        <f t="shared" si="146"/>
        <v>315.06466790224783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8.8675733422860506E-14</v>
      </c>
      <c r="CA142" s="14">
        <f t="shared" si="147"/>
        <v>1.3509285393066301E-12</v>
      </c>
      <c r="CB142" s="22">
        <f t="shared" si="118"/>
        <v>2.5073107750038623E-12</v>
      </c>
      <c r="CC142" s="60">
        <f t="shared" si="119"/>
        <v>285.28344025620339</v>
      </c>
      <c r="CD142" s="60">
        <f ca="1">AVERAGE(OFFSET($CC$3,0,0,'Données projet'!$E$12+1,1))-AVERAGE(OFFSET($H$3,0,0,'Données projet'!$E$12+1,1))</f>
        <v>312.59632808777332</v>
      </c>
      <c r="CE142" s="60">
        <f t="shared" si="148"/>
        <v>302.59481222418219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3.8</v>
      </c>
      <c r="CT142" s="13">
        <f>IF('Données projet'!$A$140&gt;35,CT141+CS142-DB141,IF(A142&lt;'Données projet'!$A$140,$CQ$205^A142,IF(A142='Données projet'!$A$140,'Données projet'!$B$140,CT141+CS142-DB141)))</f>
        <v>337.19999999999987</v>
      </c>
      <c r="CU142" s="18">
        <f>CT142*VLOOKUP('Données projet'!$B$13,Paramètres!$A$1:$I$89,3,0)*VLOOKUP('Données projet'!$B$13,Paramètres!$A$1:$I$89,5,0)</f>
        <v>326.13983999999988</v>
      </c>
      <c r="CV142" s="14">
        <f t="shared" si="149"/>
        <v>76.62945028727961</v>
      </c>
      <c r="CW142" s="22">
        <f t="shared" si="121"/>
        <v>701.48984725034506</v>
      </c>
      <c r="CX142" s="60">
        <f t="shared" si="122"/>
        <v>986.77328750654601</v>
      </c>
      <c r="CY142" s="60">
        <f ca="1">AVERAGE(OFFSET($CX$3,0,0,'Données projet'!$E$13+1,1))-AVERAGE(OFFSET($H$3,0,0,'Données projet'!$E$13+1,1))</f>
        <v>603.52431522262032</v>
      </c>
      <c r="CZ142" s="60">
        <f t="shared" si="150"/>
        <v>313.56299786481338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3.8</v>
      </c>
      <c r="DO142" s="13">
        <f>IF('Données projet'!$A$166&gt;35,DO141+DN142-DW141,IF(A142&lt;'Données projet'!$A$166,$DL$205^A142,IF(A142='Données projet'!$A$166,'Données projet'!$B$166,DO141+DN142-DW141)))</f>
        <v>337.19999999999987</v>
      </c>
      <c r="DP142" s="18">
        <f>DO142*VLOOKUP('Données projet'!$B$14,Paramètres!$A$1:$I$89,3,0)*VLOOKUP('Données projet'!$B$14,Paramètres!$A$1:$I$89,5,0)</f>
        <v>362.96207999999984</v>
      </c>
      <c r="DQ142" s="14">
        <f t="shared" si="151"/>
        <v>84.225863049868522</v>
      </c>
      <c r="DR142" s="22">
        <f t="shared" si="124"/>
        <v>778.85233414518734</v>
      </c>
      <c r="DS142" s="60">
        <f t="shared" si="125"/>
        <v>1064.1357744013883</v>
      </c>
      <c r="DT142" s="60">
        <f ca="1">AVERAGE(OFFSET($DS$3,0,0,'Données projet'!$E$14+1,1))-AVERAGE(OFFSET($H$3,0,0,'Données projet'!$E$14+1,1))</f>
        <v>661.93515988633499</v>
      </c>
      <c r="DU142" s="60">
        <f t="shared" si="152"/>
        <v>341.9250949809848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>
        <f>EJ142*VLOOKUP('Données projet'!$B$15,Paramètres!$A$1:$I$89,3,0)*VLOOKUP('Données projet'!$B$15,Paramètres!$A$1:$I$89,5,0)</f>
        <v>0</v>
      </c>
      <c r="EL142" s="14" t="e">
        <f t="shared" si="153"/>
        <v>#NUM!</v>
      </c>
      <c r="EM142" s="22" t="e">
        <f t="shared" si="127"/>
        <v>#NUM!</v>
      </c>
      <c r="EN142" s="60" t="e">
        <f t="shared" si="128"/>
        <v>#NUM!</v>
      </c>
      <c r="EO142" s="60">
        <f ca="1">AVERAGE(OFFSET($EN$3,0,0,'Données projet'!$E$15+1,1))-AVERAGE(OFFSET($H$3,0,0,'Données projet'!$E$15+1,1))</f>
        <v>396.0878652679051</v>
      </c>
      <c r="EP142" s="60">
        <f t="shared" si="154"/>
        <v>327.26339199235406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-5.6843418860808015E-14</v>
      </c>
      <c r="FF142" s="18">
        <f>FE142*VLOOKUP('Données projet'!$B$16,Paramètres!$A$1:$I$89,3,0)*VLOOKUP('Données projet'!$B$16,Paramètres!$A$1:$I$89,5,0)</f>
        <v>-4.1677594708744434E-14</v>
      </c>
      <c r="FG142" s="14" t="e">
        <f t="shared" si="155"/>
        <v>#NUM!</v>
      </c>
      <c r="FH142" s="22" t="e">
        <f t="shared" si="130"/>
        <v>#NUM!</v>
      </c>
      <c r="FI142" s="60" t="e">
        <f t="shared" si="131"/>
        <v>#NUM!</v>
      </c>
      <c r="FJ142" s="60">
        <f ca="1">AVERAGE(OFFSET($FI$3,0,0,'Données projet'!$E$16+1,1))-AVERAGE(OFFSET($H$3,0,0,'Données projet'!$E$16+1,1))</f>
        <v>368.35775920359396</v>
      </c>
      <c r="FK142" s="60">
        <f t="shared" si="156"/>
        <v>395.5218438652638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4.9333333333333336</v>
      </c>
      <c r="FZ142" s="13">
        <f>IF('Données projet'!$A$244&gt;35,FZ141+FY142-GH141,IF(A142&lt;'Données projet'!$A$244,$FW$205^A142,IF(A142='Données projet'!$A$244,'Données projet'!$B$244,FZ141+FY142-GH141)))</f>
        <v>516.73333333333267</v>
      </c>
      <c r="GA142" s="18">
        <f>FZ142*VLOOKUP('Données projet'!$B$17,Paramètres!$A$1:$I$89,3,0)*VLOOKUP('Données projet'!$B$17,Paramètres!$A$1:$I$89,5,0)</f>
        <v>443.35719999999947</v>
      </c>
      <c r="GB142" s="14">
        <f t="shared" si="157"/>
        <v>100.51333714044823</v>
      </c>
      <c r="GC142" s="22">
        <f t="shared" si="133"/>
        <v>947.24118551961294</v>
      </c>
      <c r="GD142" s="60">
        <f t="shared" si="134"/>
        <v>1232.5246257758138</v>
      </c>
      <c r="GE142" s="60">
        <f ca="1">AVERAGE(OFFSET($GD$3,0,0,'Données projet'!$E$17+1,1))-AVERAGE(OFFSET($H$3,0,0,'Données projet'!$E$17+1,1))</f>
        <v>701.44583662096022</v>
      </c>
      <c r="GF142" s="60">
        <f t="shared" si="158"/>
        <v>331.25104323342907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-1.1368683772161603E-13</v>
      </c>
      <c r="GV142" s="18">
        <f>GU142*VLOOKUP('Données projet'!$B$18,Paramètres!$A$1:$I$89,3,0)*VLOOKUP('Données projet'!$B$18,Paramètres!$A$1:$I$89,5,0)</f>
        <v>-9.2222762759774927E-14</v>
      </c>
      <c r="GW142" s="14" t="e">
        <f t="shared" si="159"/>
        <v>#NUM!</v>
      </c>
      <c r="GX142" s="22" t="e">
        <f t="shared" si="136"/>
        <v>#NUM!</v>
      </c>
      <c r="GY142" s="60" t="e">
        <f t="shared" si="137"/>
        <v>#NUM!</v>
      </c>
      <c r="GZ142" s="60">
        <f ca="1">AVERAGE(OFFSET($GY$3,0,0,'Données projet'!$E$18+1,1))-AVERAGE(OFFSET($H$3,0,0,'Données projet'!$E$18+1,1))</f>
        <v>272.69564942740931</v>
      </c>
      <c r="HA142" s="60">
        <f t="shared" si="160"/>
        <v>316.57989180609252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25">
      <c r="A143" s="11">
        <f t="shared" si="139"/>
        <v>140</v>
      </c>
      <c r="B143" s="75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8">
        <f t="shared" si="110"/>
        <v>183.33333333333334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341</v>
      </c>
      <c r="L143" s="13">
        <f>VLOOKUP(A143,'Données projet'!$A$35:$I$55,9,0)</f>
        <v>3.8</v>
      </c>
      <c r="M143" s="13">
        <f t="array" ref="M143">INDEX(L:L,MIN(IF(ISNUMBER(L143:L339),ROW(L143:L339),"")))</f>
        <v>3.8</v>
      </c>
      <c r="N143" s="14">
        <f>IF('Données projet'!$A$36&gt;35,N142+M143-V142,IF(A143&lt;'Données projet'!$A$36,$K$205^A143,IF(A143='Données projet'!$A$36,'Données projet'!$B$36,N142+M143-V142)))</f>
        <v>340.99999999999989</v>
      </c>
      <c r="O143" s="14">
        <f>N143*VLOOKUP('Données projet'!$B$9,Paramètres!$A$1:$I$89,3,0)*VLOOKUP('Données projet'!$B$9,Paramètres!$A$1:$I$89,5,0)</f>
        <v>308.53679999999986</v>
      </c>
      <c r="P143" s="14">
        <f t="shared" si="141"/>
        <v>72.963171684496103</v>
      </c>
      <c r="Q143" s="22">
        <f t="shared" si="108"/>
        <v>664.44578401716376</v>
      </c>
      <c r="R143" s="60">
        <f t="shared" si="109"/>
        <v>949.86887192138806</v>
      </c>
      <c r="S143" s="60">
        <f ca="1">AVERAGE(OFFSET($R$3,0,0,'Données projet'!$E$9+1,1))-AVERAGE(OFFSET($H$3,0,0,'Données projet'!$E$9+1,1))</f>
        <v>570.08763950759544</v>
      </c>
      <c r="T143" s="60">
        <f t="shared" si="142"/>
        <v>297.32483725004136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-4.5224624045658861E-14</v>
      </c>
      <c r="AK143" s="14" t="e">
        <f t="shared" si="143"/>
        <v>#NUM!</v>
      </c>
      <c r="AL143" s="22" t="e">
        <f t="shared" si="112"/>
        <v>#NUM!</v>
      </c>
      <c r="AM143" s="60" t="e">
        <f t="shared" si="113"/>
        <v>#NUM!</v>
      </c>
      <c r="AN143" s="60">
        <f ca="1">AVERAGE(OFFSET($AM$3,0,0,'Données projet'!$E$10+1,1))-AVERAGE(OFFSET($H$3,0,0,'Données projet'!$E$10+1,1))</f>
        <v>394.49874384716014</v>
      </c>
      <c r="AO143" s="60">
        <f t="shared" si="144"/>
        <v>423.72519584013378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5.4092197387944907E-14</v>
      </c>
      <c r="BF143" s="14">
        <f t="shared" si="145"/>
        <v>8.7287050538073676E-13</v>
      </c>
      <c r="BG143" s="22">
        <f t="shared" si="115"/>
        <v>1.6144600406554537E-12</v>
      </c>
      <c r="BH143" s="60">
        <f t="shared" si="116"/>
        <v>285.42308790422595</v>
      </c>
      <c r="BI143" s="60">
        <f ca="1">AVERAGE(OFFSET($BH$3,0,0,'Données projet'!$E$11+1,1))-AVERAGE(OFFSET($H$3,0,0,'Données projet'!$E$11+1,1))</f>
        <v>441.15969139782891</v>
      </c>
      <c r="BJ143" s="60">
        <f t="shared" si="146"/>
        <v>315.06466790224783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8.8675733422860506E-14</v>
      </c>
      <c r="CA143" s="14">
        <f t="shared" si="147"/>
        <v>1.3509285393066301E-12</v>
      </c>
      <c r="CB143" s="22">
        <f t="shared" si="118"/>
        <v>2.5073107750038623E-12</v>
      </c>
      <c r="CC143" s="60">
        <f t="shared" si="119"/>
        <v>285.42308790422686</v>
      </c>
      <c r="CD143" s="60">
        <f ca="1">AVERAGE(OFFSET($CC$3,0,0,'Données projet'!$E$12+1,1))-AVERAGE(OFFSET($H$3,0,0,'Données projet'!$E$12+1,1))</f>
        <v>312.59632808777332</v>
      </c>
      <c r="CE143" s="60">
        <f t="shared" si="148"/>
        <v>302.59481222418219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341</v>
      </c>
      <c r="CR143" s="13">
        <f>VLOOKUP(A143,'Données projet'!$A$139:$I$159,9,0)</f>
        <v>3.8</v>
      </c>
      <c r="CS143" s="13">
        <f t="array" ref="CS143">INDEX(CR:CR,MIN(IF(ISNUMBER(CR143:CR339),ROW(CR143:CR339),"")))</f>
        <v>3.8</v>
      </c>
      <c r="CT143" s="13">
        <f>IF('Données projet'!$A$140&gt;35,CT142+CS143-DB142,IF(A143&lt;'Données projet'!$A$140,$CQ$205^A143,IF(A143='Données projet'!$A$140,'Données projet'!$B$140,CT142+CS143-DB142)))</f>
        <v>340.99999999999989</v>
      </c>
      <c r="CU143" s="18">
        <f>CT143*VLOOKUP('Données projet'!$B$13,Paramètres!$A$1:$I$89,3,0)*VLOOKUP('Données projet'!$B$13,Paramètres!$A$1:$I$89,5,0)</f>
        <v>329.81519999999989</v>
      </c>
      <c r="CV143" s="14">
        <f t="shared" si="149"/>
        <v>77.391992167966066</v>
      </c>
      <c r="CW143" s="22">
        <f t="shared" si="121"/>
        <v>709.21919302587401</v>
      </c>
      <c r="CX143" s="60">
        <f t="shared" si="122"/>
        <v>994.64228093009842</v>
      </c>
      <c r="CY143" s="60">
        <f ca="1">AVERAGE(OFFSET($CX$3,0,0,'Données projet'!$E$13+1,1))-AVERAGE(OFFSET($H$3,0,0,'Données projet'!$E$13+1,1))</f>
        <v>603.52431522262032</v>
      </c>
      <c r="CZ143" s="60">
        <f t="shared" si="150"/>
        <v>313.56299786481338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341</v>
      </c>
      <c r="DM143" s="13">
        <f>VLOOKUP(A143,'Données projet'!$A$165:$I$185,9,0)</f>
        <v>3.8</v>
      </c>
      <c r="DN143" s="13">
        <f t="array" ref="DN143">INDEX(DM:DM,MIN(IF(ISNUMBER(DM143:DM339),ROW(DM143:DM339),"")))</f>
        <v>3.8</v>
      </c>
      <c r="DO143" s="13">
        <f>IF('Données projet'!$A$166&gt;35,DO142+DN143-DW142,IF(A143&lt;'Données projet'!$A$166,$DL$205^A143,IF(A143='Données projet'!$A$166,'Données projet'!$B$166,DO142+DN143-DW142)))</f>
        <v>340.99999999999989</v>
      </c>
      <c r="DP143" s="18">
        <f>DO143*VLOOKUP('Données projet'!$B$14,Paramètres!$A$1:$I$89,3,0)*VLOOKUP('Données projet'!$B$14,Paramètres!$A$1:$I$89,5,0)</f>
        <v>367.05239999999986</v>
      </c>
      <c r="DQ143" s="14">
        <f t="shared" si="151"/>
        <v>85.063997054115035</v>
      </c>
      <c r="DR143" s="22">
        <f t="shared" si="124"/>
        <v>787.43605820258335</v>
      </c>
      <c r="DS143" s="60">
        <f t="shared" si="125"/>
        <v>1072.8591461068077</v>
      </c>
      <c r="DT143" s="60">
        <f ca="1">AVERAGE(OFFSET($DS$3,0,0,'Données projet'!$E$14+1,1))-AVERAGE(OFFSET($H$3,0,0,'Données projet'!$E$14+1,1))</f>
        <v>661.93515988633499</v>
      </c>
      <c r="DU143" s="60">
        <f t="shared" si="152"/>
        <v>341.9250949809848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>
        <f>EJ143*VLOOKUP('Données projet'!$B$15,Paramètres!$A$1:$I$89,3,0)*VLOOKUP('Données projet'!$B$15,Paramètres!$A$1:$I$89,5,0)</f>
        <v>0</v>
      </c>
      <c r="EL143" s="14" t="e">
        <f t="shared" si="153"/>
        <v>#NUM!</v>
      </c>
      <c r="EM143" s="22" t="e">
        <f t="shared" si="127"/>
        <v>#NUM!</v>
      </c>
      <c r="EN143" s="60" t="e">
        <f t="shared" si="128"/>
        <v>#NUM!</v>
      </c>
      <c r="EO143" s="60">
        <f ca="1">AVERAGE(OFFSET($EN$3,0,0,'Données projet'!$E$15+1,1))-AVERAGE(OFFSET($H$3,0,0,'Données projet'!$E$15+1,1))</f>
        <v>396.0878652679051</v>
      </c>
      <c r="EP143" s="60">
        <f t="shared" si="154"/>
        <v>327.26339199235406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-5.6843418860808015E-14</v>
      </c>
      <c r="FF143" s="18">
        <f>FE143*VLOOKUP('Données projet'!$B$16,Paramètres!$A$1:$I$89,3,0)*VLOOKUP('Données projet'!$B$16,Paramètres!$A$1:$I$89,5,0)</f>
        <v>-4.1677594708744434E-14</v>
      </c>
      <c r="FG143" s="14" t="e">
        <f t="shared" si="155"/>
        <v>#NUM!</v>
      </c>
      <c r="FH143" s="22" t="e">
        <f t="shared" si="130"/>
        <v>#NUM!</v>
      </c>
      <c r="FI143" s="60" t="e">
        <f t="shared" si="131"/>
        <v>#NUM!</v>
      </c>
      <c r="FJ143" s="60">
        <f ca="1">AVERAGE(OFFSET($FI$3,0,0,'Données projet'!$E$16+1,1))-AVERAGE(OFFSET($H$3,0,0,'Données projet'!$E$16+1,1))</f>
        <v>368.35775920359396</v>
      </c>
      <c r="FK143" s="60">
        <f t="shared" si="156"/>
        <v>395.5218438652638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4.9333333333333336</v>
      </c>
      <c r="FZ143" s="13">
        <f>IF('Données projet'!$A$244&gt;35,FZ142+FY143-GH142,IF(A143&lt;'Données projet'!$A$244,$FW$205^A143,IF(A143='Données projet'!$A$244,'Données projet'!$B$244,FZ142+FY143-GH142)))</f>
        <v>521.66666666666595</v>
      </c>
      <c r="GA143" s="18">
        <f>FZ143*VLOOKUP('Données projet'!$B$17,Paramètres!$A$1:$I$89,3,0)*VLOOKUP('Données projet'!$B$17,Paramètres!$A$1:$I$89,5,0)</f>
        <v>447.58999999999941</v>
      </c>
      <c r="GB143" s="14">
        <f t="shared" si="157"/>
        <v>101.36078474300044</v>
      </c>
      <c r="GC143" s="22">
        <f t="shared" si="133"/>
        <v>956.08928342739136</v>
      </c>
      <c r="GD143" s="60">
        <f t="shared" si="134"/>
        <v>1241.5123713316157</v>
      </c>
      <c r="GE143" s="60">
        <f ca="1">AVERAGE(OFFSET($GD$3,0,0,'Données projet'!$E$17+1,1))-AVERAGE(OFFSET($H$3,0,0,'Données projet'!$E$17+1,1))</f>
        <v>701.44583662096022</v>
      </c>
      <c r="GF143" s="60">
        <f t="shared" si="158"/>
        <v>331.25104323342907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-1.1368683772161603E-13</v>
      </c>
      <c r="GV143" s="18">
        <f>GU143*VLOOKUP('Données projet'!$B$18,Paramètres!$A$1:$I$89,3,0)*VLOOKUP('Données projet'!$B$18,Paramètres!$A$1:$I$89,5,0)</f>
        <v>-9.2222762759774927E-14</v>
      </c>
      <c r="GW143" s="14" t="e">
        <f t="shared" si="159"/>
        <v>#NUM!</v>
      </c>
      <c r="GX143" s="22" t="e">
        <f t="shared" si="136"/>
        <v>#NUM!</v>
      </c>
      <c r="GY143" s="60" t="e">
        <f t="shared" si="137"/>
        <v>#NUM!</v>
      </c>
      <c r="GZ143" s="60">
        <f ca="1">AVERAGE(OFFSET($GY$3,0,0,'Données projet'!$E$18+1,1))-AVERAGE(OFFSET($H$3,0,0,'Données projet'!$E$18+1,1))</f>
        <v>272.69564942740931</v>
      </c>
      <c r="HA143" s="60">
        <f t="shared" si="160"/>
        <v>316.57989180609252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25">
      <c r="A144" s="11">
        <f t="shared" si="139"/>
        <v>141</v>
      </c>
      <c r="B144" s="75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8">
        <f t="shared" si="110"/>
        <v>183.33333333333334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3.5</v>
      </c>
      <c r="N144" s="14">
        <f>IF('Données projet'!$A$36&gt;35,N143+M144-V143,IF(A144&lt;'Données projet'!$A$36,$K$205^A144,IF(A144='Données projet'!$A$36,'Données projet'!$B$36,N143+M144-V143)))</f>
        <v>344.49999999999989</v>
      </c>
      <c r="O144" s="14">
        <f>N144*VLOOKUP('Données projet'!$B$9,Paramètres!$A$1:$I$89,3,0)*VLOOKUP('Données projet'!$B$9,Paramètres!$A$1:$I$89,5,0)</f>
        <v>311.70359999999988</v>
      </c>
      <c r="P144" s="14">
        <f t="shared" si="141"/>
        <v>73.624496097462782</v>
      </c>
      <c r="Q144" s="22">
        <f t="shared" si="108"/>
        <v>671.1131007030807</v>
      </c>
      <c r="R144" s="60">
        <f t="shared" si="109"/>
        <v>956.67341368084067</v>
      </c>
      <c r="S144" s="60">
        <f ca="1">AVERAGE(OFFSET($R$3,0,0,'Données projet'!$E$9+1,1))-AVERAGE(OFFSET($H$3,0,0,'Données projet'!$E$9+1,1))</f>
        <v>570.08763950759544</v>
      </c>
      <c r="T144" s="60">
        <f t="shared" si="142"/>
        <v>297.32483725004136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-4.5224624045658861E-14</v>
      </c>
      <c r="AK144" s="14" t="e">
        <f t="shared" si="143"/>
        <v>#NUM!</v>
      </c>
      <c r="AL144" s="22" t="e">
        <f t="shared" si="112"/>
        <v>#NUM!</v>
      </c>
      <c r="AM144" s="60" t="e">
        <f t="shared" si="113"/>
        <v>#NUM!</v>
      </c>
      <c r="AN144" s="60">
        <f ca="1">AVERAGE(OFFSET($AM$3,0,0,'Données projet'!$E$10+1,1))-AVERAGE(OFFSET($H$3,0,0,'Données projet'!$E$10+1,1))</f>
        <v>394.49874384716014</v>
      </c>
      <c r="AO144" s="60">
        <f t="shared" si="144"/>
        <v>423.72519584013378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5.4092197387944907E-14</v>
      </c>
      <c r="BF144" s="14">
        <f t="shared" si="145"/>
        <v>8.7287050538073676E-13</v>
      </c>
      <c r="BG144" s="22">
        <f t="shared" si="115"/>
        <v>1.6144600406554537E-12</v>
      </c>
      <c r="BH144" s="60">
        <f t="shared" si="116"/>
        <v>285.56031297776161</v>
      </c>
      <c r="BI144" s="60">
        <f ca="1">AVERAGE(OFFSET($BH$3,0,0,'Données projet'!$E$11+1,1))-AVERAGE(OFFSET($H$3,0,0,'Données projet'!$E$11+1,1))</f>
        <v>441.15969139782891</v>
      </c>
      <c r="BJ144" s="60">
        <f t="shared" si="146"/>
        <v>315.06466790224783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8.8675733422860506E-14</v>
      </c>
      <c r="CA144" s="14">
        <f t="shared" si="147"/>
        <v>1.3509285393066301E-12</v>
      </c>
      <c r="CB144" s="22">
        <f t="shared" si="118"/>
        <v>2.5073107750038623E-12</v>
      </c>
      <c r="CC144" s="60">
        <f t="shared" si="119"/>
        <v>285.56031297776252</v>
      </c>
      <c r="CD144" s="60">
        <f ca="1">AVERAGE(OFFSET($CC$3,0,0,'Données projet'!$E$12+1,1))-AVERAGE(OFFSET($H$3,0,0,'Données projet'!$E$12+1,1))</f>
        <v>312.59632808777332</v>
      </c>
      <c r="CE144" s="60">
        <f t="shared" si="148"/>
        <v>302.59481222418219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3.5</v>
      </c>
      <c r="CT144" s="13">
        <f>IF('Données projet'!$A$140&gt;35,CT143+CS144-DB143,IF(A144&lt;'Données projet'!$A$140,$CQ$205^A144,IF(A144='Données projet'!$A$140,'Données projet'!$B$140,CT143+CS144-DB143)))</f>
        <v>344.49999999999989</v>
      </c>
      <c r="CU144" s="18">
        <f>CT144*VLOOKUP('Données projet'!$B$13,Paramètres!$A$1:$I$89,3,0)*VLOOKUP('Données projet'!$B$13,Paramètres!$A$1:$I$89,5,0)</f>
        <v>333.20039999999989</v>
      </c>
      <c r="CV144" s="14">
        <f t="shared" si="149"/>
        <v>78.093458573649713</v>
      </c>
      <c r="CW144" s="22">
        <f t="shared" si="121"/>
        <v>716.33680368243961</v>
      </c>
      <c r="CX144" s="60">
        <f t="shared" si="122"/>
        <v>1001.8971166601996</v>
      </c>
      <c r="CY144" s="60">
        <f ca="1">AVERAGE(OFFSET($CX$3,0,0,'Données projet'!$E$13+1,1))-AVERAGE(OFFSET($H$3,0,0,'Données projet'!$E$13+1,1))</f>
        <v>603.52431522262032</v>
      </c>
      <c r="CZ144" s="60">
        <f t="shared" si="150"/>
        <v>313.56299786481338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3.5</v>
      </c>
      <c r="DO144" s="13">
        <f>IF('Données projet'!$A$166&gt;35,DO143+DN144-DW143,IF(A144&lt;'Données projet'!$A$166,$DL$205^A144,IF(A144='Données projet'!$A$166,'Données projet'!$B$166,DO143+DN144-DW143)))</f>
        <v>344.49999999999989</v>
      </c>
      <c r="DP144" s="18">
        <f>DO144*VLOOKUP('Données projet'!$B$14,Paramètres!$A$1:$I$89,3,0)*VLOOKUP('Données projet'!$B$14,Paramètres!$A$1:$I$89,5,0)</f>
        <v>370.81979999999987</v>
      </c>
      <c r="DQ144" s="14">
        <f t="shared" si="151"/>
        <v>85.835001063640092</v>
      </c>
      <c r="DR144" s="22">
        <f t="shared" si="124"/>
        <v>795.3404451858396</v>
      </c>
      <c r="DS144" s="60">
        <f t="shared" si="125"/>
        <v>1080.9007581635997</v>
      </c>
      <c r="DT144" s="60">
        <f ca="1">AVERAGE(OFFSET($DS$3,0,0,'Données projet'!$E$14+1,1))-AVERAGE(OFFSET($H$3,0,0,'Données projet'!$E$14+1,1))</f>
        <v>661.93515988633499</v>
      </c>
      <c r="DU144" s="60">
        <f t="shared" si="152"/>
        <v>341.9250949809848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>
        <f>EJ144*VLOOKUP('Données projet'!$B$15,Paramètres!$A$1:$I$89,3,0)*VLOOKUP('Données projet'!$B$15,Paramètres!$A$1:$I$89,5,0)</f>
        <v>0</v>
      </c>
      <c r="EL144" s="14" t="e">
        <f t="shared" si="153"/>
        <v>#NUM!</v>
      </c>
      <c r="EM144" s="22" t="e">
        <f t="shared" si="127"/>
        <v>#NUM!</v>
      </c>
      <c r="EN144" s="60" t="e">
        <f t="shared" si="128"/>
        <v>#NUM!</v>
      </c>
      <c r="EO144" s="60">
        <f ca="1">AVERAGE(OFFSET($EN$3,0,0,'Données projet'!$E$15+1,1))-AVERAGE(OFFSET($H$3,0,0,'Données projet'!$E$15+1,1))</f>
        <v>396.0878652679051</v>
      </c>
      <c r="EP144" s="60">
        <f t="shared" si="154"/>
        <v>327.26339199235406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-5.6843418860808015E-14</v>
      </c>
      <c r="FF144" s="18">
        <f>FE144*VLOOKUP('Données projet'!$B$16,Paramètres!$A$1:$I$89,3,0)*VLOOKUP('Données projet'!$B$16,Paramètres!$A$1:$I$89,5,0)</f>
        <v>-4.1677594708744434E-14</v>
      </c>
      <c r="FG144" s="14" t="e">
        <f t="shared" si="155"/>
        <v>#NUM!</v>
      </c>
      <c r="FH144" s="22" t="e">
        <f t="shared" si="130"/>
        <v>#NUM!</v>
      </c>
      <c r="FI144" s="60" t="e">
        <f t="shared" si="131"/>
        <v>#NUM!</v>
      </c>
      <c r="FJ144" s="60">
        <f ca="1">AVERAGE(OFFSET($FI$3,0,0,'Données projet'!$E$16+1,1))-AVERAGE(OFFSET($H$3,0,0,'Données projet'!$E$16+1,1))</f>
        <v>368.35775920359396</v>
      </c>
      <c r="FK144" s="60">
        <f t="shared" si="156"/>
        <v>395.5218438652638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4.9333333333333336</v>
      </c>
      <c r="FZ144" s="13">
        <f>IF('Données projet'!$A$244&gt;35,FZ143+FY144-GH143,IF(A144&lt;'Données projet'!$A$244,$FW$205^A144,IF(A144='Données projet'!$A$244,'Données projet'!$B$244,FZ143+FY144-GH143)))</f>
        <v>526.59999999999923</v>
      </c>
      <c r="GA144" s="18">
        <f>FZ144*VLOOKUP('Données projet'!$B$17,Paramètres!$A$1:$I$89,3,0)*VLOOKUP('Données projet'!$B$17,Paramètres!$A$1:$I$89,5,0)</f>
        <v>451.8227999999994</v>
      </c>
      <c r="GB144" s="14">
        <f t="shared" si="157"/>
        <v>102.20729999110594</v>
      </c>
      <c r="GC144" s="22">
        <f t="shared" si="133"/>
        <v>964.93575748450849</v>
      </c>
      <c r="GD144" s="60">
        <f t="shared" si="134"/>
        <v>1250.4960704622686</v>
      </c>
      <c r="GE144" s="60">
        <f ca="1">AVERAGE(OFFSET($GD$3,0,0,'Données projet'!$E$17+1,1))-AVERAGE(OFFSET($H$3,0,0,'Données projet'!$E$17+1,1))</f>
        <v>701.44583662096022</v>
      </c>
      <c r="GF144" s="60">
        <f t="shared" si="158"/>
        <v>331.25104323342907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-1.1368683772161603E-13</v>
      </c>
      <c r="GV144" s="18">
        <f>GU144*VLOOKUP('Données projet'!$B$18,Paramètres!$A$1:$I$89,3,0)*VLOOKUP('Données projet'!$B$18,Paramètres!$A$1:$I$89,5,0)</f>
        <v>-9.2222762759774927E-14</v>
      </c>
      <c r="GW144" s="14" t="e">
        <f t="shared" si="159"/>
        <v>#NUM!</v>
      </c>
      <c r="GX144" s="22" t="e">
        <f t="shared" si="136"/>
        <v>#NUM!</v>
      </c>
      <c r="GY144" s="60" t="e">
        <f t="shared" si="137"/>
        <v>#NUM!</v>
      </c>
      <c r="GZ144" s="60">
        <f ca="1">AVERAGE(OFFSET($GY$3,0,0,'Données projet'!$E$18+1,1))-AVERAGE(OFFSET($H$3,0,0,'Données projet'!$E$18+1,1))</f>
        <v>272.69564942740931</v>
      </c>
      <c r="HA144" s="60">
        <f t="shared" si="160"/>
        <v>316.57989180609252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25">
      <c r="A145" s="11">
        <f t="shared" si="139"/>
        <v>142</v>
      </c>
      <c r="B145" s="75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8">
        <f t="shared" si="110"/>
        <v>183.33333333333334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3.5</v>
      </c>
      <c r="N145" s="14">
        <f>IF('Données projet'!$A$36&gt;35,N144+M145-V144,IF(A145&lt;'Données projet'!$A$36,$K$205^A145,IF(A145='Données projet'!$A$36,'Données projet'!$B$36,N144+M145-V144)))</f>
        <v>347.99999999999989</v>
      </c>
      <c r="O145" s="14">
        <f>N145*VLOOKUP('Données projet'!$B$9,Paramètres!$A$1:$I$89,3,0)*VLOOKUP('Données projet'!$B$9,Paramètres!$A$1:$I$89,5,0)</f>
        <v>314.8703999999999</v>
      </c>
      <c r="P145" s="14">
        <f t="shared" si="141"/>
        <v>74.285038887149952</v>
      </c>
      <c r="Q145" s="22">
        <f t="shared" si="108"/>
        <v>677.77905606178604</v>
      </c>
      <c r="R145" s="60">
        <f t="shared" si="109"/>
        <v>963.47421356484506</v>
      </c>
      <c r="S145" s="60">
        <f ca="1">AVERAGE(OFFSET($R$3,0,0,'Données projet'!$E$9+1,1))-AVERAGE(OFFSET($H$3,0,0,'Données projet'!$E$9+1,1))</f>
        <v>570.08763950759544</v>
      </c>
      <c r="T145" s="60">
        <f t="shared" si="142"/>
        <v>297.32483725004136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-4.5224624045658861E-14</v>
      </c>
      <c r="AK145" s="14" t="e">
        <f t="shared" si="143"/>
        <v>#NUM!</v>
      </c>
      <c r="AL145" s="22" t="e">
        <f t="shared" si="112"/>
        <v>#NUM!</v>
      </c>
      <c r="AM145" s="60" t="e">
        <f t="shared" si="113"/>
        <v>#NUM!</v>
      </c>
      <c r="AN145" s="60">
        <f ca="1">AVERAGE(OFFSET($AM$3,0,0,'Données projet'!$E$10+1,1))-AVERAGE(OFFSET($H$3,0,0,'Données projet'!$E$10+1,1))</f>
        <v>394.49874384716014</v>
      </c>
      <c r="AO145" s="60">
        <f t="shared" si="144"/>
        <v>423.72519584013378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5.4092197387944907E-14</v>
      </c>
      <c r="BF145" s="14">
        <f t="shared" si="145"/>
        <v>8.7287050538073676E-13</v>
      </c>
      <c r="BG145" s="22">
        <f t="shared" si="115"/>
        <v>1.6144600406554537E-12</v>
      </c>
      <c r="BH145" s="60">
        <f t="shared" si="116"/>
        <v>285.69515750306067</v>
      </c>
      <c r="BI145" s="60">
        <f ca="1">AVERAGE(OFFSET($BH$3,0,0,'Données projet'!$E$11+1,1))-AVERAGE(OFFSET($H$3,0,0,'Données projet'!$E$11+1,1))</f>
        <v>441.15969139782891</v>
      </c>
      <c r="BJ145" s="60">
        <f t="shared" si="146"/>
        <v>315.06466790224783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8.8675733422860506E-14</v>
      </c>
      <c r="CA145" s="14">
        <f t="shared" si="147"/>
        <v>1.3509285393066301E-12</v>
      </c>
      <c r="CB145" s="22">
        <f t="shared" si="118"/>
        <v>2.5073107750038623E-12</v>
      </c>
      <c r="CC145" s="60">
        <f t="shared" si="119"/>
        <v>285.69515750306158</v>
      </c>
      <c r="CD145" s="60">
        <f ca="1">AVERAGE(OFFSET($CC$3,0,0,'Données projet'!$E$12+1,1))-AVERAGE(OFFSET($H$3,0,0,'Données projet'!$E$12+1,1))</f>
        <v>312.59632808777332</v>
      </c>
      <c r="CE145" s="60">
        <f t="shared" si="148"/>
        <v>302.59481222418219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3.5</v>
      </c>
      <c r="CT145" s="13">
        <f>IF('Données projet'!$A$140&gt;35,CT144+CS145-DB144,IF(A145&lt;'Données projet'!$A$140,$CQ$205^A145,IF(A145='Données projet'!$A$140,'Données projet'!$B$140,CT144+CS145-DB144)))</f>
        <v>347.99999999999989</v>
      </c>
      <c r="CU145" s="18">
        <f>CT145*VLOOKUP('Données projet'!$B$13,Paramètres!$A$1:$I$89,3,0)*VLOOKUP('Données projet'!$B$13,Paramètres!$A$1:$I$89,5,0)</f>
        <v>336.58559999999989</v>
      </c>
      <c r="CV145" s="14">
        <f t="shared" si="149"/>
        <v>78.794095911992599</v>
      </c>
      <c r="CW145" s="22">
        <f t="shared" si="121"/>
        <v>723.45297038005356</v>
      </c>
      <c r="CX145" s="60">
        <f t="shared" si="122"/>
        <v>1009.1481278831127</v>
      </c>
      <c r="CY145" s="60">
        <f ca="1">AVERAGE(OFFSET($CX$3,0,0,'Données projet'!$E$13+1,1))-AVERAGE(OFFSET($H$3,0,0,'Données projet'!$E$13+1,1))</f>
        <v>603.52431522262032</v>
      </c>
      <c r="CZ145" s="60">
        <f t="shared" si="150"/>
        <v>313.56299786481338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3.5</v>
      </c>
      <c r="DO145" s="13">
        <f>IF('Données projet'!$A$166&gt;35,DO144+DN145-DW144,IF(A145&lt;'Données projet'!$A$166,$DL$205^A145,IF(A145='Données projet'!$A$166,'Données projet'!$B$166,DO144+DN145-DW144)))</f>
        <v>347.99999999999989</v>
      </c>
      <c r="DP145" s="18">
        <f>DO145*VLOOKUP('Données projet'!$B$14,Paramètres!$A$1:$I$89,3,0)*VLOOKUP('Données projet'!$B$14,Paramètres!$A$1:$I$89,5,0)</f>
        <v>374.58719999999983</v>
      </c>
      <c r="DQ145" s="14">
        <f t="shared" si="151"/>
        <v>86.605093818914398</v>
      </c>
      <c r="DR145" s="22">
        <f t="shared" si="124"/>
        <v>803.24324506794221</v>
      </c>
      <c r="DS145" s="60">
        <f t="shared" si="125"/>
        <v>1088.9384025710012</v>
      </c>
      <c r="DT145" s="60">
        <f ca="1">AVERAGE(OFFSET($DS$3,0,0,'Données projet'!$E$14+1,1))-AVERAGE(OFFSET($H$3,0,0,'Données projet'!$E$14+1,1))</f>
        <v>661.93515988633499</v>
      </c>
      <c r="DU145" s="60">
        <f t="shared" si="152"/>
        <v>341.9250949809848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>
        <f>EJ145*VLOOKUP('Données projet'!$B$15,Paramètres!$A$1:$I$89,3,0)*VLOOKUP('Données projet'!$B$15,Paramètres!$A$1:$I$89,5,0)</f>
        <v>0</v>
      </c>
      <c r="EL145" s="14" t="e">
        <f t="shared" si="153"/>
        <v>#NUM!</v>
      </c>
      <c r="EM145" s="22" t="e">
        <f t="shared" si="127"/>
        <v>#NUM!</v>
      </c>
      <c r="EN145" s="60" t="e">
        <f t="shared" si="128"/>
        <v>#NUM!</v>
      </c>
      <c r="EO145" s="60">
        <f ca="1">AVERAGE(OFFSET($EN$3,0,0,'Données projet'!$E$15+1,1))-AVERAGE(OFFSET($H$3,0,0,'Données projet'!$E$15+1,1))</f>
        <v>396.0878652679051</v>
      </c>
      <c r="EP145" s="60">
        <f t="shared" si="154"/>
        <v>327.26339199235406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-5.6843418860808015E-14</v>
      </c>
      <c r="FF145" s="18">
        <f>FE145*VLOOKUP('Données projet'!$B$16,Paramètres!$A$1:$I$89,3,0)*VLOOKUP('Données projet'!$B$16,Paramètres!$A$1:$I$89,5,0)</f>
        <v>-4.1677594708744434E-14</v>
      </c>
      <c r="FG145" s="14" t="e">
        <f t="shared" si="155"/>
        <v>#NUM!</v>
      </c>
      <c r="FH145" s="22" t="e">
        <f t="shared" si="130"/>
        <v>#NUM!</v>
      </c>
      <c r="FI145" s="60" t="e">
        <f t="shared" si="131"/>
        <v>#NUM!</v>
      </c>
      <c r="FJ145" s="60">
        <f ca="1">AVERAGE(OFFSET($FI$3,0,0,'Données projet'!$E$16+1,1))-AVERAGE(OFFSET($H$3,0,0,'Données projet'!$E$16+1,1))</f>
        <v>368.35775920359396</v>
      </c>
      <c r="FK145" s="60">
        <f t="shared" si="156"/>
        <v>395.5218438652638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4.9333333333333336</v>
      </c>
      <c r="FZ145" s="13">
        <f>IF('Données projet'!$A$244&gt;35,FZ144+FY145-GH144,IF(A145&lt;'Données projet'!$A$244,$FW$205^A145,IF(A145='Données projet'!$A$244,'Données projet'!$B$244,FZ144+FY145-GH144)))</f>
        <v>531.53333333333251</v>
      </c>
      <c r="GA145" s="18">
        <f>FZ145*VLOOKUP('Données projet'!$B$17,Paramètres!$A$1:$I$89,3,0)*VLOOKUP('Données projet'!$B$17,Paramètres!$A$1:$I$89,5,0)</f>
        <v>456.05559999999934</v>
      </c>
      <c r="GB145" s="14">
        <f t="shared" si="157"/>
        <v>103.05289263099067</v>
      </c>
      <c r="GC145" s="22">
        <f t="shared" si="133"/>
        <v>973.78062466564097</v>
      </c>
      <c r="GD145" s="60">
        <f t="shared" si="134"/>
        <v>1259.4757821687001</v>
      </c>
      <c r="GE145" s="60">
        <f ca="1">AVERAGE(OFFSET($GD$3,0,0,'Données projet'!$E$17+1,1))-AVERAGE(OFFSET($H$3,0,0,'Données projet'!$E$17+1,1))</f>
        <v>701.44583662096022</v>
      </c>
      <c r="GF145" s="60">
        <f t="shared" si="158"/>
        <v>331.25104323342907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-1.1368683772161603E-13</v>
      </c>
      <c r="GV145" s="18">
        <f>GU145*VLOOKUP('Données projet'!$B$18,Paramètres!$A$1:$I$89,3,0)*VLOOKUP('Données projet'!$B$18,Paramètres!$A$1:$I$89,5,0)</f>
        <v>-9.2222762759774927E-14</v>
      </c>
      <c r="GW145" s="14" t="e">
        <f t="shared" si="159"/>
        <v>#NUM!</v>
      </c>
      <c r="GX145" s="22" t="e">
        <f t="shared" si="136"/>
        <v>#NUM!</v>
      </c>
      <c r="GY145" s="60" t="e">
        <f t="shared" si="137"/>
        <v>#NUM!</v>
      </c>
      <c r="GZ145" s="60">
        <f ca="1">AVERAGE(OFFSET($GY$3,0,0,'Données projet'!$E$18+1,1))-AVERAGE(OFFSET($H$3,0,0,'Données projet'!$E$18+1,1))</f>
        <v>272.69564942740931</v>
      </c>
      <c r="HA145" s="60">
        <f t="shared" si="160"/>
        <v>316.57989180609252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25">
      <c r="A146" s="11">
        <f t="shared" si="139"/>
        <v>143</v>
      </c>
      <c r="B146" s="75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8">
        <f t="shared" si="110"/>
        <v>183.33333333333334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3.5</v>
      </c>
      <c r="N146" s="14">
        <f>IF('Données projet'!$A$36&gt;35,N145+M146-V145,IF(A146&lt;'Données projet'!$A$36,$K$205^A146,IF(A146='Données projet'!$A$36,'Données projet'!$B$36,N145+M146-V145)))</f>
        <v>351.49999999999989</v>
      </c>
      <c r="O146" s="14">
        <f>N146*VLOOKUP('Données projet'!$B$9,Paramètres!$A$1:$I$89,3,0)*VLOOKUP('Données projet'!$B$9,Paramètres!$A$1:$I$89,5,0)</f>
        <v>318.03719999999987</v>
      </c>
      <c r="P146" s="14">
        <f t="shared" si="141"/>
        <v>74.944808824911618</v>
      </c>
      <c r="Q146" s="22">
        <f t="shared" si="108"/>
        <v>684.44366537005408</v>
      </c>
      <c r="R146" s="60">
        <f t="shared" si="109"/>
        <v>970.27132814736547</v>
      </c>
      <c r="S146" s="60">
        <f ca="1">AVERAGE(OFFSET($R$3,0,0,'Données projet'!$E$9+1,1))-AVERAGE(OFFSET($H$3,0,0,'Données projet'!$E$9+1,1))</f>
        <v>570.08763950759544</v>
      </c>
      <c r="T146" s="60">
        <f t="shared" si="142"/>
        <v>297.32483725004136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-4.5224624045658861E-14</v>
      </c>
      <c r="AK146" s="14" t="e">
        <f t="shared" si="143"/>
        <v>#NUM!</v>
      </c>
      <c r="AL146" s="22" t="e">
        <f t="shared" si="112"/>
        <v>#NUM!</v>
      </c>
      <c r="AM146" s="60" t="e">
        <f t="shared" si="113"/>
        <v>#NUM!</v>
      </c>
      <c r="AN146" s="60">
        <f ca="1">AVERAGE(OFFSET($AM$3,0,0,'Données projet'!$E$10+1,1))-AVERAGE(OFFSET($H$3,0,0,'Données projet'!$E$10+1,1))</f>
        <v>394.49874384716014</v>
      </c>
      <c r="AO146" s="60">
        <f t="shared" si="144"/>
        <v>423.72519584013378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5.4092197387944907E-14</v>
      </c>
      <c r="BF146" s="14">
        <f t="shared" si="145"/>
        <v>8.7287050538073676E-13</v>
      </c>
      <c r="BG146" s="22">
        <f t="shared" si="115"/>
        <v>1.6144600406554537E-12</v>
      </c>
      <c r="BH146" s="60">
        <f t="shared" si="116"/>
        <v>285.82766277731304</v>
      </c>
      <c r="BI146" s="60">
        <f ca="1">AVERAGE(OFFSET($BH$3,0,0,'Données projet'!$E$11+1,1))-AVERAGE(OFFSET($H$3,0,0,'Données projet'!$E$11+1,1))</f>
        <v>441.15969139782891</v>
      </c>
      <c r="BJ146" s="60">
        <f t="shared" si="146"/>
        <v>315.06466790224783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8.8675733422860506E-14</v>
      </c>
      <c r="CA146" s="14">
        <f t="shared" si="147"/>
        <v>1.3509285393066301E-12</v>
      </c>
      <c r="CB146" s="22">
        <f t="shared" si="118"/>
        <v>2.5073107750038623E-12</v>
      </c>
      <c r="CC146" s="60">
        <f t="shared" si="119"/>
        <v>285.82766277731395</v>
      </c>
      <c r="CD146" s="60">
        <f ca="1">AVERAGE(OFFSET($CC$3,0,0,'Données projet'!$E$12+1,1))-AVERAGE(OFFSET($H$3,0,0,'Données projet'!$E$12+1,1))</f>
        <v>312.59632808777332</v>
      </c>
      <c r="CE146" s="60">
        <f t="shared" si="148"/>
        <v>302.59481222418219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3.5</v>
      </c>
      <c r="CT146" s="13">
        <f>IF('Données projet'!$A$140&gt;35,CT145+CS146-DB145,IF(A146&lt;'Données projet'!$A$140,$CQ$205^A146,IF(A146='Données projet'!$A$140,'Données projet'!$B$140,CT145+CS146-DB145)))</f>
        <v>351.49999999999989</v>
      </c>
      <c r="CU146" s="18">
        <f>CT146*VLOOKUP('Données projet'!$B$13,Paramètres!$A$1:$I$89,3,0)*VLOOKUP('Données projet'!$B$13,Paramètres!$A$1:$I$89,5,0)</f>
        <v>339.97079999999988</v>
      </c>
      <c r="CV146" s="14">
        <f t="shared" si="149"/>
        <v>79.493913486764498</v>
      </c>
      <c r="CW146" s="22">
        <f t="shared" si="121"/>
        <v>730.5677093227813</v>
      </c>
      <c r="CX146" s="60">
        <f t="shared" si="122"/>
        <v>1016.3953721000928</v>
      </c>
      <c r="CY146" s="60">
        <f ca="1">AVERAGE(OFFSET($CX$3,0,0,'Données projet'!$E$13+1,1))-AVERAGE(OFFSET($H$3,0,0,'Données projet'!$E$13+1,1))</f>
        <v>603.52431522262032</v>
      </c>
      <c r="CZ146" s="60">
        <f t="shared" si="150"/>
        <v>313.56299786481338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3.5</v>
      </c>
      <c r="DO146" s="13">
        <f>IF('Données projet'!$A$166&gt;35,DO145+DN146-DW145,IF(A146&lt;'Données projet'!$A$166,$DL$205^A146,IF(A146='Données projet'!$A$166,'Données projet'!$B$166,DO145+DN146-DW145)))</f>
        <v>351.49999999999989</v>
      </c>
      <c r="DP146" s="18">
        <f>DO146*VLOOKUP('Données projet'!$B$14,Paramètres!$A$1:$I$89,3,0)*VLOOKUP('Données projet'!$B$14,Paramètres!$A$1:$I$89,5,0)</f>
        <v>378.35459999999989</v>
      </c>
      <c r="DQ146" s="14">
        <f t="shared" si="151"/>
        <v>87.374285546007002</v>
      </c>
      <c r="DR146" s="22">
        <f t="shared" si="124"/>
        <v>811.14447565929538</v>
      </c>
      <c r="DS146" s="60">
        <f t="shared" si="125"/>
        <v>1096.9721384366069</v>
      </c>
      <c r="DT146" s="60">
        <f ca="1">AVERAGE(OFFSET($DS$3,0,0,'Données projet'!$E$14+1,1))-AVERAGE(OFFSET($H$3,0,0,'Données projet'!$E$14+1,1))</f>
        <v>661.93515988633499</v>
      </c>
      <c r="DU146" s="60">
        <f t="shared" si="152"/>
        <v>341.9250949809848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>
        <f>EJ146*VLOOKUP('Données projet'!$B$15,Paramètres!$A$1:$I$89,3,0)*VLOOKUP('Données projet'!$B$15,Paramètres!$A$1:$I$89,5,0)</f>
        <v>0</v>
      </c>
      <c r="EL146" s="14" t="e">
        <f t="shared" si="153"/>
        <v>#NUM!</v>
      </c>
      <c r="EM146" s="22" t="e">
        <f t="shared" si="127"/>
        <v>#NUM!</v>
      </c>
      <c r="EN146" s="60" t="e">
        <f t="shared" si="128"/>
        <v>#NUM!</v>
      </c>
      <c r="EO146" s="60">
        <f ca="1">AVERAGE(OFFSET($EN$3,0,0,'Données projet'!$E$15+1,1))-AVERAGE(OFFSET($H$3,0,0,'Données projet'!$E$15+1,1))</f>
        <v>396.0878652679051</v>
      </c>
      <c r="EP146" s="60">
        <f t="shared" si="154"/>
        <v>327.26339199235406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-5.6843418860808015E-14</v>
      </c>
      <c r="FF146" s="18">
        <f>FE146*VLOOKUP('Données projet'!$B$16,Paramètres!$A$1:$I$89,3,0)*VLOOKUP('Données projet'!$B$16,Paramètres!$A$1:$I$89,5,0)</f>
        <v>-4.1677594708744434E-14</v>
      </c>
      <c r="FG146" s="14" t="e">
        <f t="shared" si="155"/>
        <v>#NUM!</v>
      </c>
      <c r="FH146" s="22" t="e">
        <f t="shared" si="130"/>
        <v>#NUM!</v>
      </c>
      <c r="FI146" s="60" t="e">
        <f t="shared" si="131"/>
        <v>#NUM!</v>
      </c>
      <c r="FJ146" s="60">
        <f ca="1">AVERAGE(OFFSET($FI$3,0,0,'Données projet'!$E$16+1,1))-AVERAGE(OFFSET($H$3,0,0,'Données projet'!$E$16+1,1))</f>
        <v>368.35775920359396</v>
      </c>
      <c r="FK146" s="60">
        <f t="shared" si="156"/>
        <v>395.5218438652638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4.9333333333333336</v>
      </c>
      <c r="FZ146" s="13">
        <f>IF('Données projet'!$A$244&gt;35,FZ145+FY146-GH145,IF(A146&lt;'Données projet'!$A$244,$FW$205^A146,IF(A146='Données projet'!$A$244,'Données projet'!$B$244,FZ145+FY146-GH145)))</f>
        <v>536.46666666666579</v>
      </c>
      <c r="GA146" s="18">
        <f>FZ146*VLOOKUP('Données projet'!$B$17,Paramètres!$A$1:$I$89,3,0)*VLOOKUP('Données projet'!$B$17,Paramètres!$A$1:$I$89,5,0)</f>
        <v>460.28839999999934</v>
      </c>
      <c r="GB146" s="14">
        <f t="shared" si="157"/>
        <v>103.89757221753055</v>
      </c>
      <c r="GC146" s="22">
        <f t="shared" si="133"/>
        <v>982.62390161219776</v>
      </c>
      <c r="GD146" s="60">
        <f t="shared" si="134"/>
        <v>1268.4515643895093</v>
      </c>
      <c r="GE146" s="60">
        <f ca="1">AVERAGE(OFFSET($GD$3,0,0,'Données projet'!$E$17+1,1))-AVERAGE(OFFSET($H$3,0,0,'Données projet'!$E$17+1,1))</f>
        <v>701.44583662096022</v>
      </c>
      <c r="GF146" s="60">
        <f t="shared" si="158"/>
        <v>331.25104323342907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-1.1368683772161603E-13</v>
      </c>
      <c r="GV146" s="18">
        <f>GU146*VLOOKUP('Données projet'!$B$18,Paramètres!$A$1:$I$89,3,0)*VLOOKUP('Données projet'!$B$18,Paramètres!$A$1:$I$89,5,0)</f>
        <v>-9.2222762759774927E-14</v>
      </c>
      <c r="GW146" s="14" t="e">
        <f t="shared" si="159"/>
        <v>#NUM!</v>
      </c>
      <c r="GX146" s="22" t="e">
        <f t="shared" si="136"/>
        <v>#NUM!</v>
      </c>
      <c r="GY146" s="60" t="e">
        <f t="shared" si="137"/>
        <v>#NUM!</v>
      </c>
      <c r="GZ146" s="60">
        <f ca="1">AVERAGE(OFFSET($GY$3,0,0,'Données projet'!$E$18+1,1))-AVERAGE(OFFSET($H$3,0,0,'Données projet'!$E$18+1,1))</f>
        <v>272.69564942740931</v>
      </c>
      <c r="HA146" s="60">
        <f t="shared" si="160"/>
        <v>316.57989180609252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25">
      <c r="A147" s="11">
        <f t="shared" si="139"/>
        <v>144</v>
      </c>
      <c r="B147" s="75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8">
        <f t="shared" si="110"/>
        <v>183.33333333333334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3.5</v>
      </c>
      <c r="N147" s="14">
        <f>IF('Données projet'!$A$36&gt;35,N146+M147-V146,IF(A147&lt;'Données projet'!$A$36,$K$205^A147,IF(A147='Données projet'!$A$36,'Données projet'!$B$36,N146+M147-V146)))</f>
        <v>354.99999999999989</v>
      </c>
      <c r="O147" s="14">
        <f>N147*VLOOKUP('Données projet'!$B$9,Paramètres!$A$1:$I$89,3,0)*VLOOKUP('Données projet'!$B$9,Paramètres!$A$1:$I$89,5,0)</f>
        <v>321.20399999999989</v>
      </c>
      <c r="P147" s="14">
        <f t="shared" si="141"/>
        <v>75.603814497354989</v>
      </c>
      <c r="Q147" s="22">
        <f t="shared" si="108"/>
        <v>691.10694358289311</v>
      </c>
      <c r="R147" s="60">
        <f t="shared" si="109"/>
        <v>977.06481296418599</v>
      </c>
      <c r="S147" s="60">
        <f ca="1">AVERAGE(OFFSET($R$3,0,0,'Données projet'!$E$9+1,1))-AVERAGE(OFFSET($H$3,0,0,'Données projet'!$E$9+1,1))</f>
        <v>570.08763950759544</v>
      </c>
      <c r="T147" s="60">
        <f t="shared" si="142"/>
        <v>297.32483725004136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-4.5224624045658861E-14</v>
      </c>
      <c r="AK147" s="14" t="e">
        <f t="shared" si="143"/>
        <v>#NUM!</v>
      </c>
      <c r="AL147" s="22" t="e">
        <f t="shared" si="112"/>
        <v>#NUM!</v>
      </c>
      <c r="AM147" s="60" t="e">
        <f t="shared" si="113"/>
        <v>#NUM!</v>
      </c>
      <c r="AN147" s="60">
        <f ca="1">AVERAGE(OFFSET($AM$3,0,0,'Données projet'!$E$10+1,1))-AVERAGE(OFFSET($H$3,0,0,'Données projet'!$E$10+1,1))</f>
        <v>394.49874384716014</v>
      </c>
      <c r="AO147" s="60">
        <f t="shared" si="144"/>
        <v>423.72519584013378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5.4092197387944907E-14</v>
      </c>
      <c r="BF147" s="14">
        <f t="shared" si="145"/>
        <v>8.7287050538073676E-13</v>
      </c>
      <c r="BG147" s="22">
        <f t="shared" si="115"/>
        <v>1.6144600406554537E-12</v>
      </c>
      <c r="BH147" s="60">
        <f t="shared" si="116"/>
        <v>285.95786938129447</v>
      </c>
      <c r="BI147" s="60">
        <f ca="1">AVERAGE(OFFSET($BH$3,0,0,'Données projet'!$E$11+1,1))-AVERAGE(OFFSET($H$3,0,0,'Données projet'!$E$11+1,1))</f>
        <v>441.15969139782891</v>
      </c>
      <c r="BJ147" s="60">
        <f t="shared" si="146"/>
        <v>315.06466790224783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8.8675733422860506E-14</v>
      </c>
      <c r="CA147" s="14">
        <f t="shared" si="147"/>
        <v>1.3509285393066301E-12</v>
      </c>
      <c r="CB147" s="22">
        <f t="shared" si="118"/>
        <v>2.5073107750038623E-12</v>
      </c>
      <c r="CC147" s="60">
        <f t="shared" si="119"/>
        <v>285.95786938129538</v>
      </c>
      <c r="CD147" s="60">
        <f ca="1">AVERAGE(OFFSET($CC$3,0,0,'Données projet'!$E$12+1,1))-AVERAGE(OFFSET($H$3,0,0,'Données projet'!$E$12+1,1))</f>
        <v>312.59632808777332</v>
      </c>
      <c r="CE147" s="60">
        <f t="shared" si="148"/>
        <v>302.59481222418219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3.5</v>
      </c>
      <c r="CT147" s="13">
        <f>IF('Données projet'!$A$140&gt;35,CT146+CS147-DB146,IF(A147&lt;'Données projet'!$A$140,$CQ$205^A147,IF(A147='Données projet'!$A$140,'Données projet'!$B$140,CT146+CS147-DB146)))</f>
        <v>354.99999999999989</v>
      </c>
      <c r="CU147" s="18">
        <f>CT147*VLOOKUP('Données projet'!$B$13,Paramètres!$A$1:$I$89,3,0)*VLOOKUP('Données projet'!$B$13,Paramètres!$A$1:$I$89,5,0)</f>
        <v>343.35599999999994</v>
      </c>
      <c r="CV147" s="14">
        <f t="shared" si="149"/>
        <v>80.192920405774515</v>
      </c>
      <c r="CW147" s="22">
        <f t="shared" si="121"/>
        <v>737.68103637339038</v>
      </c>
      <c r="CX147" s="60">
        <f t="shared" si="122"/>
        <v>1023.6389057546833</v>
      </c>
      <c r="CY147" s="60">
        <f ca="1">AVERAGE(OFFSET($CX$3,0,0,'Données projet'!$E$13+1,1))-AVERAGE(OFFSET($H$3,0,0,'Données projet'!$E$13+1,1))</f>
        <v>603.52431522262032</v>
      </c>
      <c r="CZ147" s="60">
        <f t="shared" si="150"/>
        <v>313.56299786481338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3.5</v>
      </c>
      <c r="DO147" s="13">
        <f>IF('Données projet'!$A$166&gt;35,DO146+DN147-DW146,IF(A147&lt;'Données projet'!$A$166,$DL$205^A147,IF(A147='Données projet'!$A$166,'Données projet'!$B$166,DO146+DN147-DW146)))</f>
        <v>354.99999999999989</v>
      </c>
      <c r="DP147" s="18">
        <f>DO147*VLOOKUP('Données projet'!$B$14,Paramètres!$A$1:$I$89,3,0)*VLOOKUP('Données projet'!$B$14,Paramètres!$A$1:$I$89,5,0)</f>
        <v>382.12199999999984</v>
      </c>
      <c r="DQ147" s="14">
        <f t="shared" si="151"/>
        <v>88.142586255600193</v>
      </c>
      <c r="DR147" s="22">
        <f t="shared" si="124"/>
        <v>819.04415439517004</v>
      </c>
      <c r="DS147" s="60">
        <f t="shared" si="125"/>
        <v>1105.0020237764629</v>
      </c>
      <c r="DT147" s="60">
        <f ca="1">AVERAGE(OFFSET($DS$3,0,0,'Données projet'!$E$14+1,1))-AVERAGE(OFFSET($H$3,0,0,'Données projet'!$E$14+1,1))</f>
        <v>661.93515988633499</v>
      </c>
      <c r="DU147" s="60">
        <f t="shared" si="152"/>
        <v>341.9250949809848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>
        <f>EJ147*VLOOKUP('Données projet'!$B$15,Paramètres!$A$1:$I$89,3,0)*VLOOKUP('Données projet'!$B$15,Paramètres!$A$1:$I$89,5,0)</f>
        <v>0</v>
      </c>
      <c r="EL147" s="14" t="e">
        <f t="shared" si="153"/>
        <v>#NUM!</v>
      </c>
      <c r="EM147" s="22" t="e">
        <f t="shared" si="127"/>
        <v>#NUM!</v>
      </c>
      <c r="EN147" s="60" t="e">
        <f t="shared" si="128"/>
        <v>#NUM!</v>
      </c>
      <c r="EO147" s="60">
        <f ca="1">AVERAGE(OFFSET($EN$3,0,0,'Données projet'!$E$15+1,1))-AVERAGE(OFFSET($H$3,0,0,'Données projet'!$E$15+1,1))</f>
        <v>396.0878652679051</v>
      </c>
      <c r="EP147" s="60">
        <f t="shared" si="154"/>
        <v>327.26339199235406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-5.6843418860808015E-14</v>
      </c>
      <c r="FF147" s="18">
        <f>FE147*VLOOKUP('Données projet'!$B$16,Paramètres!$A$1:$I$89,3,0)*VLOOKUP('Données projet'!$B$16,Paramètres!$A$1:$I$89,5,0)</f>
        <v>-4.1677594708744434E-14</v>
      </c>
      <c r="FG147" s="14" t="e">
        <f t="shared" si="155"/>
        <v>#NUM!</v>
      </c>
      <c r="FH147" s="22" t="e">
        <f t="shared" si="130"/>
        <v>#NUM!</v>
      </c>
      <c r="FI147" s="60" t="e">
        <f t="shared" si="131"/>
        <v>#NUM!</v>
      </c>
      <c r="FJ147" s="60">
        <f ca="1">AVERAGE(OFFSET($FI$3,0,0,'Données projet'!$E$16+1,1))-AVERAGE(OFFSET($H$3,0,0,'Données projet'!$E$16+1,1))</f>
        <v>368.35775920359396</v>
      </c>
      <c r="FK147" s="60">
        <f t="shared" si="156"/>
        <v>395.5218438652638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4.9333333333333336</v>
      </c>
      <c r="FZ147" s="13">
        <f>IF('Données projet'!$A$244&gt;35,FZ146+FY147-GH146,IF(A147&lt;'Données projet'!$A$244,$FW$205^A147,IF(A147='Données projet'!$A$244,'Données projet'!$B$244,FZ146+FY147-GH146)))</f>
        <v>541.39999999999907</v>
      </c>
      <c r="GA147" s="18">
        <f>FZ147*VLOOKUP('Données projet'!$B$17,Paramètres!$A$1:$I$89,3,0)*VLOOKUP('Données projet'!$B$17,Paramètres!$A$1:$I$89,5,0)</f>
        <v>464.52119999999928</v>
      </c>
      <c r="GB147" s="14">
        <f t="shared" si="157"/>
        <v>104.74134811973262</v>
      </c>
      <c r="GC147" s="22">
        <f t="shared" si="133"/>
        <v>991.46560464186643</v>
      </c>
      <c r="GD147" s="60">
        <f t="shared" si="134"/>
        <v>1277.4234740231593</v>
      </c>
      <c r="GE147" s="60">
        <f ca="1">AVERAGE(OFFSET($GD$3,0,0,'Données projet'!$E$17+1,1))-AVERAGE(OFFSET($H$3,0,0,'Données projet'!$E$17+1,1))</f>
        <v>701.44583662096022</v>
      </c>
      <c r="GF147" s="60">
        <f t="shared" si="158"/>
        <v>331.25104323342907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-1.1368683772161603E-13</v>
      </c>
      <c r="GV147" s="18">
        <f>GU147*VLOOKUP('Données projet'!$B$18,Paramètres!$A$1:$I$89,3,0)*VLOOKUP('Données projet'!$B$18,Paramètres!$A$1:$I$89,5,0)</f>
        <v>-9.2222762759774927E-14</v>
      </c>
      <c r="GW147" s="14" t="e">
        <f t="shared" si="159"/>
        <v>#NUM!</v>
      </c>
      <c r="GX147" s="22" t="e">
        <f t="shared" si="136"/>
        <v>#NUM!</v>
      </c>
      <c r="GY147" s="60" t="e">
        <f t="shared" si="137"/>
        <v>#NUM!</v>
      </c>
      <c r="GZ147" s="60">
        <f ca="1">AVERAGE(OFFSET($GY$3,0,0,'Données projet'!$E$18+1,1))-AVERAGE(OFFSET($H$3,0,0,'Données projet'!$E$18+1,1))</f>
        <v>272.69564942740931</v>
      </c>
      <c r="HA147" s="60">
        <f t="shared" si="160"/>
        <v>316.57989180609252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25">
      <c r="A148" s="11">
        <f t="shared" si="139"/>
        <v>145</v>
      </c>
      <c r="B148" s="75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8">
        <f t="shared" si="110"/>
        <v>183.33333333333334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3.5</v>
      </c>
      <c r="N148" s="14">
        <f>IF('Données projet'!$A$36&gt;35,N147+M148-V147,IF(A148&lt;'Données projet'!$A$36,$K$205^A148,IF(A148='Données projet'!$A$36,'Données projet'!$B$36,N147+M148-V147)))</f>
        <v>358.49999999999989</v>
      </c>
      <c r="O148" s="14">
        <f>N148*VLOOKUP('Données projet'!$B$9,Paramètres!$A$1:$I$89,3,0)*VLOOKUP('Données projet'!$B$9,Paramètres!$A$1:$I$89,5,0)</f>
        <v>324.37079999999986</v>
      </c>
      <c r="P148" s="14">
        <f t="shared" si="141"/>
        <v>76.262064312013905</v>
      </c>
      <c r="Q148" s="22">
        <f t="shared" si="108"/>
        <v>697.76890534342408</v>
      </c>
      <c r="R148" s="60">
        <f t="shared" si="109"/>
        <v>983.85472253521766</v>
      </c>
      <c r="S148" s="60">
        <f ca="1">AVERAGE(OFFSET($R$3,0,0,'Données projet'!$E$9+1,1))-AVERAGE(OFFSET($H$3,0,0,'Données projet'!$E$9+1,1))</f>
        <v>570.08763950759544</v>
      </c>
      <c r="T148" s="60">
        <f t="shared" si="142"/>
        <v>297.32483725004136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-4.5224624045658861E-14</v>
      </c>
      <c r="AK148" s="14" t="e">
        <f t="shared" si="143"/>
        <v>#NUM!</v>
      </c>
      <c r="AL148" s="22" t="e">
        <f t="shared" si="112"/>
        <v>#NUM!</v>
      </c>
      <c r="AM148" s="60" t="e">
        <f t="shared" si="113"/>
        <v>#NUM!</v>
      </c>
      <c r="AN148" s="60">
        <f ca="1">AVERAGE(OFFSET($AM$3,0,0,'Données projet'!$E$10+1,1))-AVERAGE(OFFSET($H$3,0,0,'Données projet'!$E$10+1,1))</f>
        <v>394.49874384716014</v>
      </c>
      <c r="AO148" s="60">
        <f t="shared" si="144"/>
        <v>423.72519584013378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5.4092197387944907E-14</v>
      </c>
      <c r="BF148" s="14">
        <f t="shared" si="145"/>
        <v>8.7287050538073676E-13</v>
      </c>
      <c r="BG148" s="22">
        <f t="shared" si="115"/>
        <v>1.6144600406554537E-12</v>
      </c>
      <c r="BH148" s="60">
        <f t="shared" si="116"/>
        <v>286.08581719179517</v>
      </c>
      <c r="BI148" s="60">
        <f ca="1">AVERAGE(OFFSET($BH$3,0,0,'Données projet'!$E$11+1,1))-AVERAGE(OFFSET($H$3,0,0,'Données projet'!$E$11+1,1))</f>
        <v>441.15969139782891</v>
      </c>
      <c r="BJ148" s="60">
        <f t="shared" si="146"/>
        <v>315.06466790224783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8.8675733422860506E-14</v>
      </c>
      <c r="CA148" s="14">
        <f t="shared" si="147"/>
        <v>1.3509285393066301E-12</v>
      </c>
      <c r="CB148" s="22">
        <f t="shared" si="118"/>
        <v>2.5073107750038623E-12</v>
      </c>
      <c r="CC148" s="60">
        <f t="shared" si="119"/>
        <v>286.08581719179608</v>
      </c>
      <c r="CD148" s="60">
        <f ca="1">AVERAGE(OFFSET($CC$3,0,0,'Données projet'!$E$12+1,1))-AVERAGE(OFFSET($H$3,0,0,'Données projet'!$E$12+1,1))</f>
        <v>312.59632808777332</v>
      </c>
      <c r="CE148" s="60">
        <f t="shared" si="148"/>
        <v>302.59481222418219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3.5</v>
      </c>
      <c r="CT148" s="13">
        <f>IF('Données projet'!$A$140&gt;35,CT147+CS148-DB147,IF(A148&lt;'Données projet'!$A$140,$CQ$205^A148,IF(A148='Données projet'!$A$140,'Données projet'!$B$140,CT147+CS148-DB147)))</f>
        <v>358.49999999999989</v>
      </c>
      <c r="CU148" s="18">
        <f>CT148*VLOOKUP('Données projet'!$B$13,Paramètres!$A$1:$I$89,3,0)*VLOOKUP('Données projet'!$B$13,Paramètres!$A$1:$I$89,5,0)</f>
        <v>346.74119999999988</v>
      </c>
      <c r="CV148" s="14">
        <f t="shared" si="149"/>
        <v>80.891125586888961</v>
      </c>
      <c r="CW148" s="22">
        <f t="shared" si="121"/>
        <v>744.79296706383138</v>
      </c>
      <c r="CX148" s="60">
        <f t="shared" si="122"/>
        <v>1030.8787842556249</v>
      </c>
      <c r="CY148" s="60">
        <f ca="1">AVERAGE(OFFSET($CX$3,0,0,'Données projet'!$E$13+1,1))-AVERAGE(OFFSET($H$3,0,0,'Données projet'!$E$13+1,1))</f>
        <v>603.52431522262032</v>
      </c>
      <c r="CZ148" s="60">
        <f t="shared" si="150"/>
        <v>313.56299786481338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3.5</v>
      </c>
      <c r="DO148" s="13">
        <f>IF('Données projet'!$A$166&gt;35,DO147+DN148-DW147,IF(A148&lt;'Données projet'!$A$166,$DL$205^A148,IF(A148='Données projet'!$A$166,'Données projet'!$B$166,DO147+DN148-DW147)))</f>
        <v>358.49999999999989</v>
      </c>
      <c r="DP148" s="18">
        <f>DO148*VLOOKUP('Données projet'!$B$14,Paramètres!$A$1:$I$89,3,0)*VLOOKUP('Données projet'!$B$14,Paramètres!$A$1:$I$89,5,0)</f>
        <v>385.88939999999985</v>
      </c>
      <c r="DQ148" s="14">
        <f t="shared" si="151"/>
        <v>88.91000574960394</v>
      </c>
      <c r="DR148" s="22">
        <f t="shared" si="124"/>
        <v>826.94229834722648</v>
      </c>
      <c r="DS148" s="60">
        <f t="shared" si="125"/>
        <v>1113.0281155390201</v>
      </c>
      <c r="DT148" s="60">
        <f ca="1">AVERAGE(OFFSET($DS$3,0,0,'Données projet'!$E$14+1,1))-AVERAGE(OFFSET($H$3,0,0,'Données projet'!$E$14+1,1))</f>
        <v>661.93515988633499</v>
      </c>
      <c r="DU148" s="60">
        <f t="shared" si="152"/>
        <v>341.9250949809848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>
        <f>EJ148*VLOOKUP('Données projet'!$B$15,Paramètres!$A$1:$I$89,3,0)*VLOOKUP('Données projet'!$B$15,Paramètres!$A$1:$I$89,5,0)</f>
        <v>0</v>
      </c>
      <c r="EL148" s="14" t="e">
        <f t="shared" si="153"/>
        <v>#NUM!</v>
      </c>
      <c r="EM148" s="22" t="e">
        <f t="shared" si="127"/>
        <v>#NUM!</v>
      </c>
      <c r="EN148" s="60" t="e">
        <f t="shared" si="128"/>
        <v>#NUM!</v>
      </c>
      <c r="EO148" s="60">
        <f ca="1">AVERAGE(OFFSET($EN$3,0,0,'Données projet'!$E$15+1,1))-AVERAGE(OFFSET($H$3,0,0,'Données projet'!$E$15+1,1))</f>
        <v>396.0878652679051</v>
      </c>
      <c r="EP148" s="60">
        <f t="shared" si="154"/>
        <v>327.26339199235406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-5.6843418860808015E-14</v>
      </c>
      <c r="FF148" s="18">
        <f>FE148*VLOOKUP('Données projet'!$B$16,Paramètres!$A$1:$I$89,3,0)*VLOOKUP('Données projet'!$B$16,Paramètres!$A$1:$I$89,5,0)</f>
        <v>-4.1677594708744434E-14</v>
      </c>
      <c r="FG148" s="14" t="e">
        <f t="shared" si="155"/>
        <v>#NUM!</v>
      </c>
      <c r="FH148" s="22" t="e">
        <f t="shared" si="130"/>
        <v>#NUM!</v>
      </c>
      <c r="FI148" s="60" t="e">
        <f t="shared" si="131"/>
        <v>#NUM!</v>
      </c>
      <c r="FJ148" s="60">
        <f ca="1">AVERAGE(OFFSET($FI$3,0,0,'Données projet'!$E$16+1,1))-AVERAGE(OFFSET($H$3,0,0,'Données projet'!$E$16+1,1))</f>
        <v>368.35775920359396</v>
      </c>
      <c r="FK148" s="60">
        <f t="shared" si="156"/>
        <v>395.5218438652638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4.9333333333333336</v>
      </c>
      <c r="FZ148" s="13">
        <f>IF('Données projet'!$A$244&gt;35,FZ147+FY148-GH147,IF(A148&lt;'Données projet'!$A$244,$FW$205^A148,IF(A148='Données projet'!$A$244,'Données projet'!$B$244,FZ147+FY148-GH147)))</f>
        <v>546.33333333333235</v>
      </c>
      <c r="GA148" s="18">
        <f>FZ148*VLOOKUP('Données projet'!$B$17,Paramètres!$A$1:$I$89,3,0)*VLOOKUP('Données projet'!$B$17,Paramètres!$A$1:$I$89,5,0)</f>
        <v>468.75399999999922</v>
      </c>
      <c r="GB148" s="14">
        <f t="shared" si="157"/>
        <v>105.58422952601143</v>
      </c>
      <c r="GC148" s="22">
        <f t="shared" si="133"/>
        <v>1000.3057497578019</v>
      </c>
      <c r="GD148" s="60">
        <f t="shared" si="134"/>
        <v>1286.3915669495955</v>
      </c>
      <c r="GE148" s="60">
        <f ca="1">AVERAGE(OFFSET($GD$3,0,0,'Données projet'!$E$17+1,1))-AVERAGE(OFFSET($H$3,0,0,'Données projet'!$E$17+1,1))</f>
        <v>701.44583662096022</v>
      </c>
      <c r="GF148" s="60">
        <f t="shared" si="158"/>
        <v>331.25104323342907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-1.1368683772161603E-13</v>
      </c>
      <c r="GV148" s="18">
        <f>GU148*VLOOKUP('Données projet'!$B$18,Paramètres!$A$1:$I$89,3,0)*VLOOKUP('Données projet'!$B$18,Paramètres!$A$1:$I$89,5,0)</f>
        <v>-9.2222762759774927E-14</v>
      </c>
      <c r="GW148" s="14" t="e">
        <f t="shared" si="159"/>
        <v>#NUM!</v>
      </c>
      <c r="GX148" s="22" t="e">
        <f t="shared" si="136"/>
        <v>#NUM!</v>
      </c>
      <c r="GY148" s="60" t="e">
        <f t="shared" si="137"/>
        <v>#NUM!</v>
      </c>
      <c r="GZ148" s="60">
        <f ca="1">AVERAGE(OFFSET($GY$3,0,0,'Données projet'!$E$18+1,1))-AVERAGE(OFFSET($H$3,0,0,'Données projet'!$E$18+1,1))</f>
        <v>272.69564942740931</v>
      </c>
      <c r="HA148" s="60">
        <f t="shared" si="160"/>
        <v>316.57989180609252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25">
      <c r="A149" s="11">
        <f t="shared" si="139"/>
        <v>146</v>
      </c>
      <c r="B149" s="75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8">
        <f t="shared" si="110"/>
        <v>183.33333333333334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3.5</v>
      </c>
      <c r="N149" s="14">
        <f>IF('Données projet'!$A$36&gt;35,N148+M149-V148,IF(A149&lt;'Données projet'!$A$36,$K$205^A149,IF(A149='Données projet'!$A$36,'Données projet'!$B$36,N148+M149-V148)))</f>
        <v>361.99999999999989</v>
      </c>
      <c r="O149" s="14">
        <f>N149*VLOOKUP('Données projet'!$B$9,Paramètres!$A$1:$I$89,3,0)*VLOOKUP('Données projet'!$B$9,Paramètres!$A$1:$I$89,5,0)</f>
        <v>327.53759999999988</v>
      </c>
      <c r="P149" s="14">
        <f t="shared" si="141"/>
        <v>76.919566502794808</v>
      </c>
      <c r="Q149" s="22">
        <f t="shared" si="108"/>
        <v>704.42956499236743</v>
      </c>
      <c r="R149" s="60">
        <f t="shared" si="109"/>
        <v>990.64111038619808</v>
      </c>
      <c r="S149" s="60">
        <f ca="1">AVERAGE(OFFSET($R$3,0,0,'Données projet'!$E$9+1,1))-AVERAGE(OFFSET($H$3,0,0,'Données projet'!$E$9+1,1))</f>
        <v>570.08763950759544</v>
      </c>
      <c r="T149" s="60">
        <f t="shared" si="142"/>
        <v>297.32483725004136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-4.5224624045658861E-14</v>
      </c>
      <c r="AK149" s="14" t="e">
        <f t="shared" si="143"/>
        <v>#NUM!</v>
      </c>
      <c r="AL149" s="22" t="e">
        <f t="shared" si="112"/>
        <v>#NUM!</v>
      </c>
      <c r="AM149" s="60" t="e">
        <f t="shared" si="113"/>
        <v>#NUM!</v>
      </c>
      <c r="AN149" s="60">
        <f ca="1">AVERAGE(OFFSET($AM$3,0,0,'Données projet'!$E$10+1,1))-AVERAGE(OFFSET($H$3,0,0,'Données projet'!$E$10+1,1))</f>
        <v>394.49874384716014</v>
      </c>
      <c r="AO149" s="60">
        <f t="shared" si="144"/>
        <v>423.72519584013378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5.4092197387944907E-14</v>
      </c>
      <c r="BF149" s="14">
        <f t="shared" si="145"/>
        <v>8.7287050538073676E-13</v>
      </c>
      <c r="BG149" s="22">
        <f t="shared" si="115"/>
        <v>1.6144600406554537E-12</v>
      </c>
      <c r="BH149" s="60">
        <f t="shared" si="116"/>
        <v>286.21154539383224</v>
      </c>
      <c r="BI149" s="60">
        <f ca="1">AVERAGE(OFFSET($BH$3,0,0,'Données projet'!$E$11+1,1))-AVERAGE(OFFSET($H$3,0,0,'Données projet'!$E$11+1,1))</f>
        <v>441.15969139782891</v>
      </c>
      <c r="BJ149" s="60">
        <f t="shared" si="146"/>
        <v>315.06466790224783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8.8675733422860506E-14</v>
      </c>
      <c r="CA149" s="14">
        <f t="shared" si="147"/>
        <v>1.3509285393066301E-12</v>
      </c>
      <c r="CB149" s="22">
        <f t="shared" si="118"/>
        <v>2.5073107750038623E-12</v>
      </c>
      <c r="CC149" s="60">
        <f t="shared" si="119"/>
        <v>286.21154539383315</v>
      </c>
      <c r="CD149" s="60">
        <f ca="1">AVERAGE(OFFSET($CC$3,0,0,'Données projet'!$E$12+1,1))-AVERAGE(OFFSET($H$3,0,0,'Données projet'!$E$12+1,1))</f>
        <v>312.59632808777332</v>
      </c>
      <c r="CE149" s="60">
        <f t="shared" si="148"/>
        <v>302.59481222418219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3.5</v>
      </c>
      <c r="CT149" s="13">
        <f>IF('Données projet'!$A$140&gt;35,CT148+CS149-DB148,IF(A149&lt;'Données projet'!$A$140,$CQ$205^A149,IF(A149='Données projet'!$A$140,'Données projet'!$B$140,CT148+CS149-DB148)))</f>
        <v>361.99999999999989</v>
      </c>
      <c r="CU149" s="18">
        <f>CT149*VLOOKUP('Données projet'!$B$13,Paramètres!$A$1:$I$89,3,0)*VLOOKUP('Données projet'!$B$13,Paramètres!$A$1:$I$89,5,0)</f>
        <v>350.12639999999993</v>
      </c>
      <c r="CV149" s="14">
        <f t="shared" si="149"/>
        <v>81.588537763807025</v>
      </c>
      <c r="CW149" s="22">
        <f t="shared" si="121"/>
        <v>751.90351660529711</v>
      </c>
      <c r="CX149" s="60">
        <f t="shared" si="122"/>
        <v>1038.1150619991276</v>
      </c>
      <c r="CY149" s="60">
        <f ca="1">AVERAGE(OFFSET($CX$3,0,0,'Données projet'!$E$13+1,1))-AVERAGE(OFFSET($H$3,0,0,'Données projet'!$E$13+1,1))</f>
        <v>603.52431522262032</v>
      </c>
      <c r="CZ149" s="60">
        <f t="shared" si="150"/>
        <v>313.56299786481338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3.5</v>
      </c>
      <c r="DO149" s="13">
        <f>IF('Données projet'!$A$166&gt;35,DO148+DN149-DW148,IF(A149&lt;'Données projet'!$A$166,$DL$205^A149,IF(A149='Données projet'!$A$166,'Données projet'!$B$166,DO148+DN149-DW148)))</f>
        <v>361.99999999999989</v>
      </c>
      <c r="DP149" s="18">
        <f>DO149*VLOOKUP('Données projet'!$B$14,Paramètres!$A$1:$I$89,3,0)*VLOOKUP('Données projet'!$B$14,Paramètres!$A$1:$I$89,5,0)</f>
        <v>389.65679999999986</v>
      </c>
      <c r="DQ149" s="14">
        <f t="shared" si="151"/>
        <v>89.676553627504703</v>
      </c>
      <c r="DR149" s="22">
        <f t="shared" si="124"/>
        <v>834.8389242345703</v>
      </c>
      <c r="DS149" s="60">
        <f t="shared" si="125"/>
        <v>1121.0504696284011</v>
      </c>
      <c r="DT149" s="60">
        <f ca="1">AVERAGE(OFFSET($DS$3,0,0,'Données projet'!$E$14+1,1))-AVERAGE(OFFSET($H$3,0,0,'Données projet'!$E$14+1,1))</f>
        <v>661.93515988633499</v>
      </c>
      <c r="DU149" s="60">
        <f t="shared" si="152"/>
        <v>341.9250949809848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>
        <f>EJ149*VLOOKUP('Données projet'!$B$15,Paramètres!$A$1:$I$89,3,0)*VLOOKUP('Données projet'!$B$15,Paramètres!$A$1:$I$89,5,0)</f>
        <v>0</v>
      </c>
      <c r="EL149" s="14" t="e">
        <f t="shared" si="153"/>
        <v>#NUM!</v>
      </c>
      <c r="EM149" s="22" t="e">
        <f t="shared" si="127"/>
        <v>#NUM!</v>
      </c>
      <c r="EN149" s="60" t="e">
        <f t="shared" si="128"/>
        <v>#NUM!</v>
      </c>
      <c r="EO149" s="60">
        <f ca="1">AVERAGE(OFFSET($EN$3,0,0,'Données projet'!$E$15+1,1))-AVERAGE(OFFSET($H$3,0,0,'Données projet'!$E$15+1,1))</f>
        <v>396.0878652679051</v>
      </c>
      <c r="EP149" s="60">
        <f t="shared" si="154"/>
        <v>327.26339199235406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-5.6843418860808015E-14</v>
      </c>
      <c r="FF149" s="18">
        <f>FE149*VLOOKUP('Données projet'!$B$16,Paramètres!$A$1:$I$89,3,0)*VLOOKUP('Données projet'!$B$16,Paramètres!$A$1:$I$89,5,0)</f>
        <v>-4.1677594708744434E-14</v>
      </c>
      <c r="FG149" s="14" t="e">
        <f t="shared" si="155"/>
        <v>#NUM!</v>
      </c>
      <c r="FH149" s="22" t="e">
        <f t="shared" si="130"/>
        <v>#NUM!</v>
      </c>
      <c r="FI149" s="60" t="e">
        <f t="shared" si="131"/>
        <v>#NUM!</v>
      </c>
      <c r="FJ149" s="60">
        <f ca="1">AVERAGE(OFFSET($FI$3,0,0,'Données projet'!$E$16+1,1))-AVERAGE(OFFSET($H$3,0,0,'Données projet'!$E$16+1,1))</f>
        <v>368.35775920359396</v>
      </c>
      <c r="FK149" s="60">
        <f t="shared" si="156"/>
        <v>395.5218438652638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4.9333333333333336</v>
      </c>
      <c r="FZ149" s="13">
        <f>IF('Données projet'!$A$244&gt;35,FZ148+FY149-GH148,IF(A149&lt;'Données projet'!$A$244,$FW$205^A149,IF(A149='Données projet'!$A$244,'Données projet'!$B$244,FZ148+FY149-GH148)))</f>
        <v>551.26666666666563</v>
      </c>
      <c r="GA149" s="18">
        <f>FZ149*VLOOKUP('Données projet'!$B$17,Paramètres!$A$1:$I$89,3,0)*VLOOKUP('Données projet'!$B$17,Paramètres!$A$1:$I$89,5,0)</f>
        <v>472.98679999999922</v>
      </c>
      <c r="GB149" s="14">
        <f t="shared" si="157"/>
        <v>106.42622544926738</v>
      </c>
      <c r="GC149" s="22">
        <f t="shared" si="133"/>
        <v>1009.1443526574726</v>
      </c>
      <c r="GD149" s="60">
        <f t="shared" si="134"/>
        <v>1295.3558980513033</v>
      </c>
      <c r="GE149" s="60">
        <f ca="1">AVERAGE(OFFSET($GD$3,0,0,'Données projet'!$E$17+1,1))-AVERAGE(OFFSET($H$3,0,0,'Données projet'!$E$17+1,1))</f>
        <v>701.44583662096022</v>
      </c>
      <c r="GF149" s="60">
        <f t="shared" si="158"/>
        <v>331.25104323342907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-1.1368683772161603E-13</v>
      </c>
      <c r="GV149" s="18">
        <f>GU149*VLOOKUP('Données projet'!$B$18,Paramètres!$A$1:$I$89,3,0)*VLOOKUP('Données projet'!$B$18,Paramètres!$A$1:$I$89,5,0)</f>
        <v>-9.2222762759774927E-14</v>
      </c>
      <c r="GW149" s="14" t="e">
        <f t="shared" si="159"/>
        <v>#NUM!</v>
      </c>
      <c r="GX149" s="22" t="e">
        <f t="shared" si="136"/>
        <v>#NUM!</v>
      </c>
      <c r="GY149" s="60" t="e">
        <f t="shared" si="137"/>
        <v>#NUM!</v>
      </c>
      <c r="GZ149" s="60">
        <f ca="1">AVERAGE(OFFSET($GY$3,0,0,'Données projet'!$E$18+1,1))-AVERAGE(OFFSET($H$3,0,0,'Données projet'!$E$18+1,1))</f>
        <v>272.69564942740931</v>
      </c>
      <c r="HA149" s="60">
        <f t="shared" si="160"/>
        <v>316.57989180609252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25">
      <c r="A150" s="11">
        <f t="shared" si="139"/>
        <v>147</v>
      </c>
      <c r="B150" s="75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8">
        <f t="shared" si="110"/>
        <v>183.33333333333334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3.5</v>
      </c>
      <c r="N150" s="14">
        <f>IF('Données projet'!$A$36&gt;35,N149+M150-V149,IF(A150&lt;'Données projet'!$A$36,$K$205^A150,IF(A150='Données projet'!$A$36,'Données projet'!$B$36,N149+M150-V149)))</f>
        <v>365.49999999999989</v>
      </c>
      <c r="O150" s="14">
        <f>N150*VLOOKUP('Données projet'!$B$9,Paramètres!$A$1:$I$89,3,0)*VLOOKUP('Données projet'!$B$9,Paramètres!$A$1:$I$89,5,0)</f>
        <v>330.70439999999991</v>
      </c>
      <c r="P150" s="14">
        <f t="shared" si="141"/>
        <v>77.576329135205029</v>
      </c>
      <c r="Q150" s="22">
        <f t="shared" si="108"/>
        <v>711.08893657714862</v>
      </c>
      <c r="R150" s="60">
        <f t="shared" si="109"/>
        <v>997.42402906979703</v>
      </c>
      <c r="S150" s="60">
        <f ca="1">AVERAGE(OFFSET($R$3,0,0,'Données projet'!$E$9+1,1))-AVERAGE(OFFSET($H$3,0,0,'Données projet'!$E$9+1,1))</f>
        <v>570.08763950759544</v>
      </c>
      <c r="T150" s="60">
        <f t="shared" si="142"/>
        <v>297.32483725004136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-4.5224624045658861E-14</v>
      </c>
      <c r="AK150" s="14" t="e">
        <f t="shared" si="143"/>
        <v>#NUM!</v>
      </c>
      <c r="AL150" s="22" t="e">
        <f t="shared" si="112"/>
        <v>#NUM!</v>
      </c>
      <c r="AM150" s="60" t="e">
        <f t="shared" si="113"/>
        <v>#NUM!</v>
      </c>
      <c r="AN150" s="60">
        <f ca="1">AVERAGE(OFFSET($AM$3,0,0,'Données projet'!$E$10+1,1))-AVERAGE(OFFSET($H$3,0,0,'Données projet'!$E$10+1,1))</f>
        <v>394.49874384716014</v>
      </c>
      <c r="AO150" s="60">
        <f t="shared" si="144"/>
        <v>423.72519584013378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5.4092197387944907E-14</v>
      </c>
      <c r="BF150" s="14">
        <f t="shared" si="145"/>
        <v>8.7287050538073676E-13</v>
      </c>
      <c r="BG150" s="22">
        <f t="shared" si="115"/>
        <v>1.6144600406554537E-12</v>
      </c>
      <c r="BH150" s="60">
        <f t="shared" si="116"/>
        <v>286.33509249265001</v>
      </c>
      <c r="BI150" s="60">
        <f ca="1">AVERAGE(OFFSET($BH$3,0,0,'Données projet'!$E$11+1,1))-AVERAGE(OFFSET($H$3,0,0,'Données projet'!$E$11+1,1))</f>
        <v>441.15969139782891</v>
      </c>
      <c r="BJ150" s="60">
        <f t="shared" si="146"/>
        <v>315.06466790224783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8.8675733422860506E-14</v>
      </c>
      <c r="CA150" s="14">
        <f t="shared" si="147"/>
        <v>1.3509285393066301E-12</v>
      </c>
      <c r="CB150" s="22">
        <f t="shared" si="118"/>
        <v>2.5073107750038623E-12</v>
      </c>
      <c r="CC150" s="60">
        <f t="shared" si="119"/>
        <v>286.33509249265092</v>
      </c>
      <c r="CD150" s="60">
        <f ca="1">AVERAGE(OFFSET($CC$3,0,0,'Données projet'!$E$12+1,1))-AVERAGE(OFFSET($H$3,0,0,'Données projet'!$E$12+1,1))</f>
        <v>312.59632808777332</v>
      </c>
      <c r="CE150" s="60">
        <f t="shared" si="148"/>
        <v>302.59481222418219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3.5</v>
      </c>
      <c r="CT150" s="13">
        <f>IF('Données projet'!$A$140&gt;35,CT149+CS150-DB149,IF(A150&lt;'Données projet'!$A$140,$CQ$205^A150,IF(A150='Données projet'!$A$140,'Données projet'!$B$140,CT149+CS150-DB149)))</f>
        <v>365.49999999999989</v>
      </c>
      <c r="CU150" s="18">
        <f>CT150*VLOOKUP('Données projet'!$B$13,Paramètres!$A$1:$I$89,3,0)*VLOOKUP('Données projet'!$B$13,Paramètres!$A$1:$I$89,5,0)</f>
        <v>353.51159999999987</v>
      </c>
      <c r="CV150" s="14">
        <f t="shared" si="149"/>
        <v>82.285165491607756</v>
      </c>
      <c r="CW150" s="22">
        <f t="shared" si="121"/>
        <v>759.01269989788318</v>
      </c>
      <c r="CX150" s="60">
        <f t="shared" si="122"/>
        <v>1045.3477923905316</v>
      </c>
      <c r="CY150" s="60">
        <f ca="1">AVERAGE(OFFSET($CX$3,0,0,'Données projet'!$E$13+1,1))-AVERAGE(OFFSET($H$3,0,0,'Données projet'!$E$13+1,1))</f>
        <v>603.52431522262032</v>
      </c>
      <c r="CZ150" s="60">
        <f t="shared" si="150"/>
        <v>313.56299786481338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3.5</v>
      </c>
      <c r="DO150" s="13">
        <f>IF('Données projet'!$A$166&gt;35,DO149+DN150-DW149,IF(A150&lt;'Données projet'!$A$166,$DL$205^A150,IF(A150='Données projet'!$A$166,'Données projet'!$B$166,DO149+DN150-DW149)))</f>
        <v>365.49999999999989</v>
      </c>
      <c r="DP150" s="18">
        <f>DO150*VLOOKUP('Données projet'!$B$14,Paramètres!$A$1:$I$89,3,0)*VLOOKUP('Données projet'!$B$14,Paramètres!$A$1:$I$89,5,0)</f>
        <v>393.42419999999987</v>
      </c>
      <c r="DQ150" s="14">
        <f t="shared" si="151"/>
        <v>90.442239292461451</v>
      </c>
      <c r="DR150" s="22">
        <f t="shared" si="124"/>
        <v>842.73404843437027</v>
      </c>
      <c r="DS150" s="60">
        <f t="shared" si="125"/>
        <v>1129.0691409270187</v>
      </c>
      <c r="DT150" s="60">
        <f ca="1">AVERAGE(OFFSET($DS$3,0,0,'Données projet'!$E$14+1,1))-AVERAGE(OFFSET($H$3,0,0,'Données projet'!$E$14+1,1))</f>
        <v>661.93515988633499</v>
      </c>
      <c r="DU150" s="60">
        <f t="shared" si="152"/>
        <v>341.9250949809848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>
        <f>EJ150*VLOOKUP('Données projet'!$B$15,Paramètres!$A$1:$I$89,3,0)*VLOOKUP('Données projet'!$B$15,Paramètres!$A$1:$I$89,5,0)</f>
        <v>0</v>
      </c>
      <c r="EL150" s="14" t="e">
        <f t="shared" si="153"/>
        <v>#NUM!</v>
      </c>
      <c r="EM150" s="22" t="e">
        <f t="shared" si="127"/>
        <v>#NUM!</v>
      </c>
      <c r="EN150" s="60" t="e">
        <f t="shared" si="128"/>
        <v>#NUM!</v>
      </c>
      <c r="EO150" s="60">
        <f ca="1">AVERAGE(OFFSET($EN$3,0,0,'Données projet'!$E$15+1,1))-AVERAGE(OFFSET($H$3,0,0,'Données projet'!$E$15+1,1))</f>
        <v>396.0878652679051</v>
      </c>
      <c r="EP150" s="60">
        <f t="shared" si="154"/>
        <v>327.26339199235406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-5.6843418860808015E-14</v>
      </c>
      <c r="FF150" s="18">
        <f>FE150*VLOOKUP('Données projet'!$B$16,Paramètres!$A$1:$I$89,3,0)*VLOOKUP('Données projet'!$B$16,Paramètres!$A$1:$I$89,5,0)</f>
        <v>-4.1677594708744434E-14</v>
      </c>
      <c r="FG150" s="14" t="e">
        <f t="shared" si="155"/>
        <v>#NUM!</v>
      </c>
      <c r="FH150" s="22" t="e">
        <f t="shared" si="130"/>
        <v>#NUM!</v>
      </c>
      <c r="FI150" s="60" t="e">
        <f t="shared" si="131"/>
        <v>#NUM!</v>
      </c>
      <c r="FJ150" s="60">
        <f ca="1">AVERAGE(OFFSET($FI$3,0,0,'Données projet'!$E$16+1,1))-AVERAGE(OFFSET($H$3,0,0,'Données projet'!$E$16+1,1))</f>
        <v>368.35775920359396</v>
      </c>
      <c r="FK150" s="60">
        <f t="shared" si="156"/>
        <v>395.5218438652638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4.9333333333333336</v>
      </c>
      <c r="FZ150" s="13">
        <f>IF('Données projet'!$A$244&gt;35,FZ149+FY150-GH149,IF(A150&lt;'Données projet'!$A$244,$FW$205^A150,IF(A150='Données projet'!$A$244,'Données projet'!$B$244,FZ149+FY150-GH149)))</f>
        <v>556.19999999999891</v>
      </c>
      <c r="GA150" s="18">
        <f>FZ150*VLOOKUP('Données projet'!$B$17,Paramètres!$A$1:$I$89,3,0)*VLOOKUP('Données projet'!$B$17,Paramètres!$A$1:$I$89,5,0)</f>
        <v>477.2195999999991</v>
      </c>
      <c r="GB150" s="14">
        <f t="shared" si="157"/>
        <v>107.26734473178054</v>
      </c>
      <c r="GC150" s="22">
        <f t="shared" si="133"/>
        <v>1017.9814287411829</v>
      </c>
      <c r="GD150" s="60">
        <f t="shared" si="134"/>
        <v>1304.3165212338313</v>
      </c>
      <c r="GE150" s="60">
        <f ca="1">AVERAGE(OFFSET($GD$3,0,0,'Données projet'!$E$17+1,1))-AVERAGE(OFFSET($H$3,0,0,'Données projet'!$E$17+1,1))</f>
        <v>701.44583662096022</v>
      </c>
      <c r="GF150" s="60">
        <f t="shared" si="158"/>
        <v>331.25104323342907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-1.1368683772161603E-13</v>
      </c>
      <c r="GV150" s="18">
        <f>GU150*VLOOKUP('Données projet'!$B$18,Paramètres!$A$1:$I$89,3,0)*VLOOKUP('Données projet'!$B$18,Paramètres!$A$1:$I$89,5,0)</f>
        <v>-9.2222762759774927E-14</v>
      </c>
      <c r="GW150" s="14" t="e">
        <f t="shared" si="159"/>
        <v>#NUM!</v>
      </c>
      <c r="GX150" s="22" t="e">
        <f t="shared" si="136"/>
        <v>#NUM!</v>
      </c>
      <c r="GY150" s="60" t="e">
        <f t="shared" si="137"/>
        <v>#NUM!</v>
      </c>
      <c r="GZ150" s="60">
        <f ca="1">AVERAGE(OFFSET($GY$3,0,0,'Données projet'!$E$18+1,1))-AVERAGE(OFFSET($H$3,0,0,'Données projet'!$E$18+1,1))</f>
        <v>272.69564942740931</v>
      </c>
      <c r="HA150" s="60">
        <f t="shared" si="160"/>
        <v>316.57989180609252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25">
      <c r="A151" s="11">
        <f t="shared" si="139"/>
        <v>148</v>
      </c>
      <c r="B151" s="75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8">
        <f t="shared" si="110"/>
        <v>183.33333333333334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3.5</v>
      </c>
      <c r="N151" s="14">
        <f>IF('Données projet'!$A$36&gt;35,N150+M151-V150,IF(A151&lt;'Données projet'!$A$36,$K$205^A151,IF(A151='Données projet'!$A$36,'Données projet'!$B$36,N150+M151-V150)))</f>
        <v>368.99999999999989</v>
      </c>
      <c r="O151" s="14">
        <f>N151*VLOOKUP('Données projet'!$B$9,Paramètres!$A$1:$I$89,3,0)*VLOOKUP('Données projet'!$B$9,Paramètres!$A$1:$I$89,5,0)</f>
        <v>333.87119999999987</v>
      </c>
      <c r="P151" s="14">
        <f t="shared" si="141"/>
        <v>78.232360111376309</v>
      </c>
      <c r="Q151" s="22">
        <f t="shared" si="108"/>
        <v>717.74703386064687</v>
      </c>
      <c r="R151" s="60">
        <f t="shared" si="109"/>
        <v>1004.2035301861586</v>
      </c>
      <c r="S151" s="60">
        <f ca="1">AVERAGE(OFFSET($R$3,0,0,'Données projet'!$E$9+1,1))-AVERAGE(OFFSET($H$3,0,0,'Données projet'!$E$9+1,1))</f>
        <v>570.08763950759544</v>
      </c>
      <c r="T151" s="60">
        <f t="shared" si="142"/>
        <v>297.32483725004136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-4.5224624045658861E-14</v>
      </c>
      <c r="AK151" s="14" t="e">
        <f t="shared" si="143"/>
        <v>#NUM!</v>
      </c>
      <c r="AL151" s="22" t="e">
        <f t="shared" si="112"/>
        <v>#NUM!</v>
      </c>
      <c r="AM151" s="60" t="e">
        <f t="shared" si="113"/>
        <v>#NUM!</v>
      </c>
      <c r="AN151" s="60">
        <f ca="1">AVERAGE(OFFSET($AM$3,0,0,'Données projet'!$E$10+1,1))-AVERAGE(OFFSET($H$3,0,0,'Données projet'!$E$10+1,1))</f>
        <v>394.49874384716014</v>
      </c>
      <c r="AO151" s="60">
        <f t="shared" si="144"/>
        <v>423.72519584013378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5.4092197387944907E-14</v>
      </c>
      <c r="BF151" s="14">
        <f t="shared" si="145"/>
        <v>8.7287050538073676E-13</v>
      </c>
      <c r="BG151" s="22">
        <f t="shared" si="115"/>
        <v>1.6144600406554537E-12</v>
      </c>
      <c r="BH151" s="60">
        <f t="shared" si="116"/>
        <v>286.45649632551329</v>
      </c>
      <c r="BI151" s="60">
        <f ca="1">AVERAGE(OFFSET($BH$3,0,0,'Données projet'!$E$11+1,1))-AVERAGE(OFFSET($H$3,0,0,'Données projet'!$E$11+1,1))</f>
        <v>441.15969139782891</v>
      </c>
      <c r="BJ151" s="60">
        <f t="shared" si="146"/>
        <v>315.06466790224783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8.8675733422860506E-14</v>
      </c>
      <c r="CA151" s="14">
        <f t="shared" si="147"/>
        <v>1.3509285393066301E-12</v>
      </c>
      <c r="CB151" s="22">
        <f t="shared" si="118"/>
        <v>2.5073107750038623E-12</v>
      </c>
      <c r="CC151" s="60">
        <f t="shared" si="119"/>
        <v>286.45649632551419</v>
      </c>
      <c r="CD151" s="60">
        <f ca="1">AVERAGE(OFFSET($CC$3,0,0,'Données projet'!$E$12+1,1))-AVERAGE(OFFSET($H$3,0,0,'Données projet'!$E$12+1,1))</f>
        <v>312.59632808777332</v>
      </c>
      <c r="CE151" s="60">
        <f t="shared" si="148"/>
        <v>302.59481222418219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3.5</v>
      </c>
      <c r="CT151" s="13">
        <f>IF('Données projet'!$A$140&gt;35,CT150+CS151-DB150,IF(A151&lt;'Données projet'!$A$140,$CQ$205^A151,IF(A151='Données projet'!$A$140,'Données projet'!$B$140,CT150+CS151-DB150)))</f>
        <v>368.99999999999989</v>
      </c>
      <c r="CU151" s="18">
        <f>CT151*VLOOKUP('Données projet'!$B$13,Paramètres!$A$1:$I$89,3,0)*VLOOKUP('Données projet'!$B$13,Paramètres!$A$1:$I$89,5,0)</f>
        <v>356.89679999999987</v>
      </c>
      <c r="CV151" s="14">
        <f t="shared" si="149"/>
        <v>82.981017152077499</v>
      </c>
      <c r="CW151" s="22">
        <f t="shared" si="121"/>
        <v>766.12053153986801</v>
      </c>
      <c r="CX151" s="60">
        <f t="shared" si="122"/>
        <v>1052.5770278653797</v>
      </c>
      <c r="CY151" s="60">
        <f ca="1">AVERAGE(OFFSET($CX$3,0,0,'Données projet'!$E$13+1,1))-AVERAGE(OFFSET($H$3,0,0,'Données projet'!$E$13+1,1))</f>
        <v>603.52431522262032</v>
      </c>
      <c r="CZ151" s="60">
        <f t="shared" si="150"/>
        <v>313.56299786481338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3.5</v>
      </c>
      <c r="DO151" s="13">
        <f>IF('Données projet'!$A$166&gt;35,DO150+DN151-DW150,IF(A151&lt;'Données projet'!$A$166,$DL$205^A151,IF(A151='Données projet'!$A$166,'Données projet'!$B$166,DO150+DN151-DW150)))</f>
        <v>368.99999999999989</v>
      </c>
      <c r="DP151" s="18">
        <f>DO151*VLOOKUP('Données projet'!$B$14,Paramètres!$A$1:$I$89,3,0)*VLOOKUP('Données projet'!$B$14,Paramètres!$A$1:$I$89,5,0)</f>
        <v>397.19159999999988</v>
      </c>
      <c r="DQ151" s="14">
        <f t="shared" si="151"/>
        <v>91.207071957161716</v>
      </c>
      <c r="DR151" s="22">
        <f t="shared" si="124"/>
        <v>850.62768699205628</v>
      </c>
      <c r="DS151" s="60">
        <f t="shared" si="125"/>
        <v>1137.084183317568</v>
      </c>
      <c r="DT151" s="60">
        <f ca="1">AVERAGE(OFFSET($DS$3,0,0,'Données projet'!$E$14+1,1))-AVERAGE(OFFSET($H$3,0,0,'Données projet'!$E$14+1,1))</f>
        <v>661.93515988633499</v>
      </c>
      <c r="DU151" s="60">
        <f t="shared" si="152"/>
        <v>341.9250949809848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>
        <f>EJ151*VLOOKUP('Données projet'!$B$15,Paramètres!$A$1:$I$89,3,0)*VLOOKUP('Données projet'!$B$15,Paramètres!$A$1:$I$89,5,0)</f>
        <v>0</v>
      </c>
      <c r="EL151" s="14" t="e">
        <f t="shared" si="153"/>
        <v>#NUM!</v>
      </c>
      <c r="EM151" s="22" t="e">
        <f t="shared" si="127"/>
        <v>#NUM!</v>
      </c>
      <c r="EN151" s="60" t="e">
        <f t="shared" si="128"/>
        <v>#NUM!</v>
      </c>
      <c r="EO151" s="60">
        <f ca="1">AVERAGE(OFFSET($EN$3,0,0,'Données projet'!$E$15+1,1))-AVERAGE(OFFSET($H$3,0,0,'Données projet'!$E$15+1,1))</f>
        <v>396.0878652679051</v>
      </c>
      <c r="EP151" s="60">
        <f t="shared" si="154"/>
        <v>327.26339199235406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-5.6843418860808015E-14</v>
      </c>
      <c r="FF151" s="18">
        <f>FE151*VLOOKUP('Données projet'!$B$16,Paramètres!$A$1:$I$89,3,0)*VLOOKUP('Données projet'!$B$16,Paramètres!$A$1:$I$89,5,0)</f>
        <v>-4.1677594708744434E-14</v>
      </c>
      <c r="FG151" s="14" t="e">
        <f t="shared" si="155"/>
        <v>#NUM!</v>
      </c>
      <c r="FH151" s="22" t="e">
        <f t="shared" si="130"/>
        <v>#NUM!</v>
      </c>
      <c r="FI151" s="60" t="e">
        <f t="shared" si="131"/>
        <v>#NUM!</v>
      </c>
      <c r="FJ151" s="60">
        <f ca="1">AVERAGE(OFFSET($FI$3,0,0,'Données projet'!$E$16+1,1))-AVERAGE(OFFSET($H$3,0,0,'Données projet'!$E$16+1,1))</f>
        <v>368.35775920359396</v>
      </c>
      <c r="FK151" s="60">
        <f t="shared" si="156"/>
        <v>395.5218438652638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4.9333333333333336</v>
      </c>
      <c r="FZ151" s="13">
        <f>IF('Données projet'!$A$244&gt;35,FZ150+FY151-GH150,IF(A151&lt;'Données projet'!$A$244,$FW$205^A151,IF(A151='Données projet'!$A$244,'Données projet'!$B$244,FZ150+FY151-GH150)))</f>
        <v>561.13333333333219</v>
      </c>
      <c r="GA151" s="18">
        <f>FZ151*VLOOKUP('Données projet'!$B$17,Paramètres!$A$1:$I$89,3,0)*VLOOKUP('Données projet'!$B$17,Paramètres!$A$1:$I$89,5,0)</f>
        <v>481.45239999999905</v>
      </c>
      <c r="GB151" s="14">
        <f t="shared" si="157"/>
        <v>108.10759604992388</v>
      </c>
      <c r="GC151" s="22">
        <f t="shared" si="133"/>
        <v>1026.8169931202824</v>
      </c>
      <c r="GD151" s="60">
        <f t="shared" si="134"/>
        <v>1313.273489445794</v>
      </c>
      <c r="GE151" s="60">
        <f ca="1">AVERAGE(OFFSET($GD$3,0,0,'Données projet'!$E$17+1,1))-AVERAGE(OFFSET($H$3,0,0,'Données projet'!$E$17+1,1))</f>
        <v>701.44583662096022</v>
      </c>
      <c r="GF151" s="60">
        <f t="shared" si="158"/>
        <v>331.25104323342907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-1.1368683772161603E-13</v>
      </c>
      <c r="GV151" s="18">
        <f>GU151*VLOOKUP('Données projet'!$B$18,Paramètres!$A$1:$I$89,3,0)*VLOOKUP('Données projet'!$B$18,Paramètres!$A$1:$I$89,5,0)</f>
        <v>-9.2222762759774927E-14</v>
      </c>
      <c r="GW151" s="14" t="e">
        <f t="shared" si="159"/>
        <v>#NUM!</v>
      </c>
      <c r="GX151" s="22" t="e">
        <f t="shared" si="136"/>
        <v>#NUM!</v>
      </c>
      <c r="GY151" s="60" t="e">
        <f t="shared" si="137"/>
        <v>#NUM!</v>
      </c>
      <c r="GZ151" s="60">
        <f ca="1">AVERAGE(OFFSET($GY$3,0,0,'Données projet'!$E$18+1,1))-AVERAGE(OFFSET($H$3,0,0,'Données projet'!$E$18+1,1))</f>
        <v>272.69564942740931</v>
      </c>
      <c r="HA151" s="60">
        <f t="shared" si="160"/>
        <v>316.57989180609252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25">
      <c r="A152" s="11">
        <f t="shared" si="139"/>
        <v>149</v>
      </c>
      <c r="B152" s="75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8">
        <f t="shared" si="110"/>
        <v>183.33333333333334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3.5</v>
      </c>
      <c r="N152" s="14">
        <f>IF('Données projet'!$A$36&gt;35,N151+M152-V151,IF(A152&lt;'Données projet'!$A$36,$K$205^A152,IF(A152='Données projet'!$A$36,'Données projet'!$B$36,N151+M152-V151)))</f>
        <v>372.49999999999989</v>
      </c>
      <c r="O152" s="14">
        <f>N152*VLOOKUP('Données projet'!$B$9,Paramètres!$A$1:$I$89,3,0)*VLOOKUP('Données projet'!$B$9,Paramètres!$A$1:$I$89,5,0)</f>
        <v>337.0379999999999</v>
      </c>
      <c r="P152" s="14">
        <f t="shared" si="141"/>
        <v>78.887667174891362</v>
      </c>
      <c r="Q152" s="22">
        <f t="shared" si="108"/>
        <v>724.40387032960223</v>
      </c>
      <c r="R152" s="60">
        <f t="shared" si="109"/>
        <v>1010.9796644028953</v>
      </c>
      <c r="S152" s="60">
        <f ca="1">AVERAGE(OFFSET($R$3,0,0,'Données projet'!$E$9+1,1))-AVERAGE(OFFSET($H$3,0,0,'Données projet'!$E$9+1,1))</f>
        <v>570.08763950759544</v>
      </c>
      <c r="T152" s="60">
        <f t="shared" si="142"/>
        <v>297.32483725004136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-4.5224624045658861E-14</v>
      </c>
      <c r="AK152" s="14" t="e">
        <f t="shared" si="143"/>
        <v>#NUM!</v>
      </c>
      <c r="AL152" s="22" t="e">
        <f t="shared" si="112"/>
        <v>#NUM!</v>
      </c>
      <c r="AM152" s="60" t="e">
        <f t="shared" si="113"/>
        <v>#NUM!</v>
      </c>
      <c r="AN152" s="60">
        <f ca="1">AVERAGE(OFFSET($AM$3,0,0,'Données projet'!$E$10+1,1))-AVERAGE(OFFSET($H$3,0,0,'Données projet'!$E$10+1,1))</f>
        <v>394.49874384716014</v>
      </c>
      <c r="AO152" s="60">
        <f t="shared" si="144"/>
        <v>423.72519584013378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5.4092197387944907E-14</v>
      </c>
      <c r="BF152" s="14">
        <f t="shared" si="145"/>
        <v>8.7287050538073676E-13</v>
      </c>
      <c r="BG152" s="22">
        <f t="shared" si="115"/>
        <v>1.6144600406554537E-12</v>
      </c>
      <c r="BH152" s="60">
        <f t="shared" si="116"/>
        <v>286.57579407329467</v>
      </c>
      <c r="BI152" s="60">
        <f ca="1">AVERAGE(OFFSET($BH$3,0,0,'Données projet'!$E$11+1,1))-AVERAGE(OFFSET($H$3,0,0,'Données projet'!$E$11+1,1))</f>
        <v>441.15969139782891</v>
      </c>
      <c r="BJ152" s="60">
        <f t="shared" si="146"/>
        <v>315.06466790224783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8.8675733422860506E-14</v>
      </c>
      <c r="CA152" s="14">
        <f t="shared" si="147"/>
        <v>1.3509285393066301E-12</v>
      </c>
      <c r="CB152" s="22">
        <f t="shared" si="118"/>
        <v>2.5073107750038623E-12</v>
      </c>
      <c r="CC152" s="60">
        <f t="shared" si="119"/>
        <v>286.57579407329558</v>
      </c>
      <c r="CD152" s="60">
        <f ca="1">AVERAGE(OFFSET($CC$3,0,0,'Données projet'!$E$12+1,1))-AVERAGE(OFFSET($H$3,0,0,'Données projet'!$E$12+1,1))</f>
        <v>312.59632808777332</v>
      </c>
      <c r="CE152" s="60">
        <f t="shared" si="148"/>
        <v>302.59481222418219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3.5</v>
      </c>
      <c r="CT152" s="13">
        <f>IF('Données projet'!$A$140&gt;35,CT151+CS152-DB151,IF(A152&lt;'Données projet'!$A$140,$CQ$205^A152,IF(A152='Données projet'!$A$140,'Données projet'!$B$140,CT151+CS152-DB151)))</f>
        <v>372.49999999999989</v>
      </c>
      <c r="CU152" s="18">
        <f>CT152*VLOOKUP('Données projet'!$B$13,Paramètres!$A$1:$I$89,3,0)*VLOOKUP('Données projet'!$B$13,Paramètres!$A$1:$I$89,5,0)</f>
        <v>360.28199999999993</v>
      </c>
      <c r="CV152" s="14">
        <f t="shared" si="149"/>
        <v>83.676100958829579</v>
      </c>
      <c r="CW152" s="22">
        <f t="shared" si="121"/>
        <v>773.22702583662794</v>
      </c>
      <c r="CX152" s="60">
        <f t="shared" si="122"/>
        <v>1059.802819909921</v>
      </c>
      <c r="CY152" s="60">
        <f ca="1">AVERAGE(OFFSET($CX$3,0,0,'Données projet'!$E$13+1,1))-AVERAGE(OFFSET($H$3,0,0,'Données projet'!$E$13+1,1))</f>
        <v>603.52431522262032</v>
      </c>
      <c r="CZ152" s="60">
        <f t="shared" si="150"/>
        <v>313.56299786481338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3.5</v>
      </c>
      <c r="DO152" s="13">
        <f>IF('Données projet'!$A$166&gt;35,DO151+DN152-DW151,IF(A152&lt;'Données projet'!$A$166,$DL$205^A152,IF(A152='Données projet'!$A$166,'Données projet'!$B$166,DO151+DN152-DW151)))</f>
        <v>372.49999999999989</v>
      </c>
      <c r="DP152" s="18">
        <f>DO152*VLOOKUP('Données projet'!$B$14,Paramètres!$A$1:$I$89,3,0)*VLOOKUP('Données projet'!$B$14,Paramètres!$A$1:$I$89,5,0)</f>
        <v>400.95899999999989</v>
      </c>
      <c r="DQ152" s="14">
        <f t="shared" si="151"/>
        <v>91.971060649449285</v>
      </c>
      <c r="DR152" s="22">
        <f t="shared" si="124"/>
        <v>858.51985563112385</v>
      </c>
      <c r="DS152" s="60">
        <f t="shared" si="125"/>
        <v>1145.0956497044169</v>
      </c>
      <c r="DT152" s="60">
        <f ca="1">AVERAGE(OFFSET($DS$3,0,0,'Données projet'!$E$14+1,1))-AVERAGE(OFFSET($H$3,0,0,'Données projet'!$E$14+1,1))</f>
        <v>661.93515988633499</v>
      </c>
      <c r="DU152" s="60">
        <f t="shared" si="152"/>
        <v>341.9250949809848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>
        <f>EJ152*VLOOKUP('Données projet'!$B$15,Paramètres!$A$1:$I$89,3,0)*VLOOKUP('Données projet'!$B$15,Paramètres!$A$1:$I$89,5,0)</f>
        <v>0</v>
      </c>
      <c r="EL152" s="14" t="e">
        <f t="shared" si="153"/>
        <v>#NUM!</v>
      </c>
      <c r="EM152" s="22" t="e">
        <f t="shared" si="127"/>
        <v>#NUM!</v>
      </c>
      <c r="EN152" s="60" t="e">
        <f t="shared" si="128"/>
        <v>#NUM!</v>
      </c>
      <c r="EO152" s="60">
        <f ca="1">AVERAGE(OFFSET($EN$3,0,0,'Données projet'!$E$15+1,1))-AVERAGE(OFFSET($H$3,0,0,'Données projet'!$E$15+1,1))</f>
        <v>396.0878652679051</v>
      </c>
      <c r="EP152" s="60">
        <f t="shared" si="154"/>
        <v>327.26339199235406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-5.6843418860808015E-14</v>
      </c>
      <c r="FF152" s="18">
        <f>FE152*VLOOKUP('Données projet'!$B$16,Paramètres!$A$1:$I$89,3,0)*VLOOKUP('Données projet'!$B$16,Paramètres!$A$1:$I$89,5,0)</f>
        <v>-4.1677594708744434E-14</v>
      </c>
      <c r="FG152" s="14" t="e">
        <f t="shared" si="155"/>
        <v>#NUM!</v>
      </c>
      <c r="FH152" s="22" t="e">
        <f t="shared" si="130"/>
        <v>#NUM!</v>
      </c>
      <c r="FI152" s="60" t="e">
        <f t="shared" si="131"/>
        <v>#NUM!</v>
      </c>
      <c r="FJ152" s="60">
        <f ca="1">AVERAGE(OFFSET($FI$3,0,0,'Données projet'!$E$16+1,1))-AVERAGE(OFFSET($H$3,0,0,'Données projet'!$E$16+1,1))</f>
        <v>368.35775920359396</v>
      </c>
      <c r="FK152" s="60">
        <f t="shared" si="156"/>
        <v>395.5218438652638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4.9333333333333336</v>
      </c>
      <c r="FZ152" s="13">
        <f>IF('Données projet'!$A$244&gt;35,FZ151+FY152-GH151,IF(A152&lt;'Données projet'!$A$244,$FW$205^A152,IF(A152='Données projet'!$A$244,'Données projet'!$B$244,FZ151+FY152-GH151)))</f>
        <v>566.06666666666547</v>
      </c>
      <c r="GA152" s="18">
        <f>FZ152*VLOOKUP('Données projet'!$B$17,Paramètres!$A$1:$I$89,3,0)*VLOOKUP('Données projet'!$B$17,Paramètres!$A$1:$I$89,5,0)</f>
        <v>485.68519999999899</v>
      </c>
      <c r="GB152" s="14">
        <f t="shared" si="157"/>
        <v>108.94698791870719</v>
      </c>
      <c r="GC152" s="22">
        <f t="shared" si="133"/>
        <v>1035.6510606250799</v>
      </c>
      <c r="GD152" s="60">
        <f t="shared" si="134"/>
        <v>1322.226854698373</v>
      </c>
      <c r="GE152" s="60">
        <f ca="1">AVERAGE(OFFSET($GD$3,0,0,'Données projet'!$E$17+1,1))-AVERAGE(OFFSET($H$3,0,0,'Données projet'!$E$17+1,1))</f>
        <v>701.44583662096022</v>
      </c>
      <c r="GF152" s="60">
        <f t="shared" si="158"/>
        <v>331.25104323342907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-1.1368683772161603E-13</v>
      </c>
      <c r="GV152" s="18">
        <f>GU152*VLOOKUP('Données projet'!$B$18,Paramètres!$A$1:$I$89,3,0)*VLOOKUP('Données projet'!$B$18,Paramètres!$A$1:$I$89,5,0)</f>
        <v>-9.2222762759774927E-14</v>
      </c>
      <c r="GW152" s="14" t="e">
        <f t="shared" si="159"/>
        <v>#NUM!</v>
      </c>
      <c r="GX152" s="22" t="e">
        <f t="shared" si="136"/>
        <v>#NUM!</v>
      </c>
      <c r="GY152" s="60" t="e">
        <f t="shared" si="137"/>
        <v>#NUM!</v>
      </c>
      <c r="GZ152" s="60">
        <f ca="1">AVERAGE(OFFSET($GY$3,0,0,'Données projet'!$E$18+1,1))-AVERAGE(OFFSET($H$3,0,0,'Données projet'!$E$18+1,1))</f>
        <v>272.69564942740931</v>
      </c>
      <c r="HA152" s="60">
        <f t="shared" si="160"/>
        <v>316.57989180609252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25">
      <c r="A153" s="11">
        <f>A152+1</f>
        <v>150</v>
      </c>
      <c r="B153" s="75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8">
        <f t="shared" si="110"/>
        <v>183.33333333333334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376</v>
      </c>
      <c r="L153" s="13">
        <f>VLOOKUP(A153,'Données projet'!$A$35:$I$55,9,0)</f>
        <v>3.5</v>
      </c>
      <c r="M153" s="13">
        <f t="array" ref="M153">INDEX(L:L,MIN(IF(ISNUMBER(L153:L349),ROW(L153:L349),"")))</f>
        <v>3.5</v>
      </c>
      <c r="N153" s="14">
        <f>IF('Données projet'!$A$36&gt;35,N152+M153-V152,IF(A153&lt;'Données projet'!$A$36,$K$205^A153,IF(A153='Données projet'!$A$36,'Données projet'!$B$36,N152+M153-V152)))</f>
        <v>375.99999999999989</v>
      </c>
      <c r="O153" s="14">
        <f>N153*VLOOKUP('Données projet'!$B$9,Paramètres!$A$1:$I$89,3,0)*VLOOKUP('Données projet'!$B$9,Paramètres!$A$1:$I$89,5,0)</f>
        <v>340.20479999999992</v>
      </c>
      <c r="P153" s="14">
        <f t="shared" si="141"/>
        <v>79.542257915424329</v>
      </c>
      <c r="Q153" s="22">
        <f t="shared" si="108"/>
        <v>731.05945920269721</v>
      </c>
      <c r="R153" s="60">
        <f t="shared" si="109"/>
        <v>1017.7524814745575</v>
      </c>
      <c r="S153" s="60">
        <f ca="1">AVERAGE(OFFSET($R$3,0,0,'Données projet'!$E$9+1,1))-AVERAGE(OFFSET($H$3,0,0,'Données projet'!$E$9+1,1))</f>
        <v>570.08763950759544</v>
      </c>
      <c r="T153" s="60">
        <f t="shared" si="142"/>
        <v>297.32483725004136</v>
      </c>
      <c r="U153" s="16">
        <f>IF(ISNA(VLOOKUP(A153,'Données projet'!$A$35:$I$55,3,0)),0,VLOOKUP(A153,'Données projet'!$A$35:$I$55,3,0))</f>
        <v>10</v>
      </c>
      <c r="V153" s="16">
        <f>IF(ISNA(VLOOKUP(A153,'Données projet'!$A$35:$I$55,4,0)),0,VLOOKUP(A153,'Données projet'!$A$35:$I$55,4,0))</f>
        <v>376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-4.5224624045658861E-14</v>
      </c>
      <c r="AK153" s="14" t="e">
        <f t="shared" si="143"/>
        <v>#NUM!</v>
      </c>
      <c r="AL153" s="22" t="e">
        <f t="shared" si="112"/>
        <v>#NUM!</v>
      </c>
      <c r="AM153" s="60" t="e">
        <f t="shared" si="113"/>
        <v>#NUM!</v>
      </c>
      <c r="AN153" s="60">
        <f ca="1">AVERAGE(OFFSET($AM$3,0,0,'Données projet'!$E$10+1,1))-AVERAGE(OFFSET($H$3,0,0,'Données projet'!$E$10+1,1))</f>
        <v>394.49874384716014</v>
      </c>
      <c r="AO153" s="60">
        <f t="shared" si="144"/>
        <v>423.72519584013378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5.4092197387944907E-14</v>
      </c>
      <c r="BF153" s="14">
        <f t="shared" si="145"/>
        <v>8.7287050538073676E-13</v>
      </c>
      <c r="BG153" s="22">
        <f t="shared" si="115"/>
        <v>1.6144600406554537E-12</v>
      </c>
      <c r="BH153" s="60">
        <f t="shared" si="116"/>
        <v>286.69302227186193</v>
      </c>
      <c r="BI153" s="60">
        <f ca="1">AVERAGE(OFFSET($BH$3,0,0,'Données projet'!$E$11+1,1))-AVERAGE(OFFSET($H$3,0,0,'Données projet'!$E$11+1,1))</f>
        <v>441.15969139782891</v>
      </c>
      <c r="BJ153" s="60">
        <f t="shared" si="146"/>
        <v>315.06466790224783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8.8675733422860506E-14</v>
      </c>
      <c r="CA153" s="14">
        <f t="shared" si="147"/>
        <v>1.3509285393066301E-12</v>
      </c>
      <c r="CB153" s="22">
        <f t="shared" si="118"/>
        <v>2.5073107750038623E-12</v>
      </c>
      <c r="CC153" s="60">
        <f t="shared" si="119"/>
        <v>286.69302227186284</v>
      </c>
      <c r="CD153" s="60">
        <f ca="1">AVERAGE(OFFSET($CC$3,0,0,'Données projet'!$E$12+1,1))-AVERAGE(OFFSET($H$3,0,0,'Données projet'!$E$12+1,1))</f>
        <v>312.59632808777332</v>
      </c>
      <c r="CE153" s="60">
        <f t="shared" si="148"/>
        <v>302.59481222418219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376</v>
      </c>
      <c r="CR153" s="13">
        <f>VLOOKUP(A153,'Données projet'!$A$139:$I$159,9,0)</f>
        <v>3.5</v>
      </c>
      <c r="CS153" s="13">
        <f t="array" ref="CS153">INDEX(CR:CR,MIN(IF(ISNUMBER(CR153:CR349),ROW(CR153:CR349),"")))</f>
        <v>3.5</v>
      </c>
      <c r="CT153" s="13">
        <f>IF('Données projet'!$A$140&gt;35,CT152+CS153-DB152,IF(A153&lt;'Données projet'!$A$140,$CQ$205^A153,IF(A153='Données projet'!$A$140,'Données projet'!$B$140,CT152+CS153-DB152)))</f>
        <v>375.99999999999989</v>
      </c>
      <c r="CU153" s="18">
        <f>CT153*VLOOKUP('Données projet'!$B$13,Paramètres!$A$1:$I$89,3,0)*VLOOKUP('Données projet'!$B$13,Paramètres!$A$1:$I$89,5,0)</f>
        <v>363.66719999999987</v>
      </c>
      <c r="CV153" s="14">
        <f t="shared" si="149"/>
        <v>84.370424962226963</v>
      </c>
      <c r="CW153" s="22">
        <f t="shared" si="121"/>
        <v>780.33219680921172</v>
      </c>
      <c r="CX153" s="60">
        <f t="shared" si="122"/>
        <v>1067.025219081072</v>
      </c>
      <c r="CY153" s="60">
        <f ca="1">AVERAGE(OFFSET($CX$3,0,0,'Données projet'!$E$13+1,1))-AVERAGE(OFFSET($H$3,0,0,'Données projet'!$E$13+1,1))</f>
        <v>603.52431522262032</v>
      </c>
      <c r="CZ153" s="60">
        <f t="shared" si="150"/>
        <v>313.56299786481338</v>
      </c>
      <c r="DA153" s="16">
        <f>IF(ISNA(VLOOKUP(A153,'Données projet'!$A$139:$I$159,3,0)),0,VLOOKUP(A153,'Données projet'!$A$139:$I$159,3,0))</f>
        <v>10</v>
      </c>
      <c r="DB153" s="16">
        <f>IF(ISNA(VLOOKUP(A153,'Données projet'!$A$139:$I$159,4,0)),0,VLOOKUP(A153,'Données projet'!$A$139:$I$159,4,0))</f>
        <v>376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376</v>
      </c>
      <c r="DM153" s="13">
        <f>VLOOKUP(A153,'Données projet'!$A$165:$I$185,9,0)</f>
        <v>3.5</v>
      </c>
      <c r="DN153" s="13">
        <f t="array" ref="DN153">INDEX(DM:DM,MIN(IF(ISNUMBER(DM153:DM349),ROW(DM153:DM349),"")))</f>
        <v>3.5</v>
      </c>
      <c r="DO153" s="13">
        <f>IF('Données projet'!$A$166&gt;35,DO152+DN153-DW152,IF(A153&lt;'Données projet'!$A$166,$DL$205^A153,IF(A153='Données projet'!$A$166,'Données projet'!$B$166,DO152+DN153-DW152)))</f>
        <v>375.99999999999989</v>
      </c>
      <c r="DP153" s="18">
        <f>DO153*VLOOKUP('Données projet'!$B$14,Paramètres!$A$1:$I$89,3,0)*VLOOKUP('Données projet'!$B$14,Paramètres!$A$1:$I$89,5,0)</f>
        <v>404.72639999999984</v>
      </c>
      <c r="DQ153" s="14">
        <f t="shared" si="151"/>
        <v>92.734214217733282</v>
      </c>
      <c r="DR153" s="22">
        <f t="shared" si="124"/>
        <v>866.41056976255186</v>
      </c>
      <c r="DS153" s="60">
        <f t="shared" si="125"/>
        <v>1153.1035920344123</v>
      </c>
      <c r="DT153" s="60">
        <f ca="1">AVERAGE(OFFSET($DS$3,0,0,'Données projet'!$E$14+1,1))-AVERAGE(OFFSET($H$3,0,0,'Données projet'!$E$14+1,1))</f>
        <v>661.93515988633499</v>
      </c>
      <c r="DU153" s="60">
        <f t="shared" si="152"/>
        <v>341.9250949809848</v>
      </c>
      <c r="DV153" s="16">
        <f>IF(ISNA(VLOOKUP(A153,'Données projet'!$A$165:$I$185,3,0)),0,VLOOKUP(A153,'Données projet'!$A$165:$I$185,3,0))</f>
        <v>10</v>
      </c>
      <c r="DW153" s="16">
        <f>IF(ISNA(VLOOKUP(A153,'Données projet'!$A$165:$I$185,4,0)),0,VLOOKUP(A153,'Données projet'!$A$165:$I$185,4,0))</f>
        <v>376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>
        <f>EJ153*VLOOKUP('Données projet'!$B$15,Paramètres!$A$1:$I$89,3,0)*VLOOKUP('Données projet'!$B$15,Paramètres!$A$1:$I$89,5,0)</f>
        <v>0</v>
      </c>
      <c r="EL153" s="14" t="e">
        <f t="shared" si="153"/>
        <v>#NUM!</v>
      </c>
      <c r="EM153" s="22" t="e">
        <f t="shared" si="127"/>
        <v>#NUM!</v>
      </c>
      <c r="EN153" s="60" t="e">
        <f t="shared" si="128"/>
        <v>#NUM!</v>
      </c>
      <c r="EO153" s="60">
        <f ca="1">AVERAGE(OFFSET($EN$3,0,0,'Données projet'!$E$15+1,1))-AVERAGE(OFFSET($H$3,0,0,'Données projet'!$E$15+1,1))</f>
        <v>396.0878652679051</v>
      </c>
      <c r="EP153" s="60">
        <f t="shared" si="154"/>
        <v>327.26339199235406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-5.6843418860808015E-14</v>
      </c>
      <c r="FF153" s="18">
        <f>FE153*VLOOKUP('Données projet'!$B$16,Paramètres!$A$1:$I$89,3,0)*VLOOKUP('Données projet'!$B$16,Paramètres!$A$1:$I$89,5,0)</f>
        <v>-4.1677594708744434E-14</v>
      </c>
      <c r="FG153" s="14" t="e">
        <f t="shared" si="155"/>
        <v>#NUM!</v>
      </c>
      <c r="FH153" s="22" t="e">
        <f t="shared" si="130"/>
        <v>#NUM!</v>
      </c>
      <c r="FI153" s="60" t="e">
        <f t="shared" si="131"/>
        <v>#NUM!</v>
      </c>
      <c r="FJ153" s="60">
        <f ca="1">AVERAGE(OFFSET($FI$3,0,0,'Données projet'!$E$16+1,1))-AVERAGE(OFFSET($H$3,0,0,'Données projet'!$E$16+1,1))</f>
        <v>368.35775920359396</v>
      </c>
      <c r="FK153" s="60">
        <f t="shared" si="156"/>
        <v>395.5218438652638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>
        <f>VLOOKUP(A153,'Données projet'!$A$243:$I$263,2,0)</f>
        <v>571</v>
      </c>
      <c r="FX153" s="13">
        <f>VLOOKUP(A153,'Données projet'!$A$243:$I$263,9,0)</f>
        <v>4.9333333333333336</v>
      </c>
      <c r="FY153" s="13">
        <f t="array" ref="FY153">INDEX(FX:FX,MIN(IF(ISNUMBER(FX153:FX349),ROW(FX153:FX349),"")))</f>
        <v>4.9333333333333336</v>
      </c>
      <c r="FZ153" s="13">
        <f>IF('Données projet'!$A$244&gt;35,FZ152+FY153-GH152,IF(A153&lt;'Données projet'!$A$244,$FW$205^A153,IF(A153='Données projet'!$A$244,'Données projet'!$B$244,FZ152+FY153-GH152)))</f>
        <v>570.99999999999875</v>
      </c>
      <c r="GA153" s="18">
        <f>FZ153*VLOOKUP('Données projet'!$B$17,Paramètres!$A$1:$I$89,3,0)*VLOOKUP('Données projet'!$B$17,Paramètres!$A$1:$I$89,5,0)</f>
        <v>489.91799999999898</v>
      </c>
      <c r="GB153" s="14">
        <f t="shared" si="157"/>
        <v>109.78552869615774</v>
      </c>
      <c r="GC153" s="22">
        <f t="shared" si="133"/>
        <v>1044.483645812473</v>
      </c>
      <c r="GD153" s="60">
        <f t="shared" si="134"/>
        <v>1331.1766680843334</v>
      </c>
      <c r="GE153" s="60">
        <f ca="1">AVERAGE(OFFSET($GD$3,0,0,'Données projet'!$E$17+1,1))-AVERAGE(OFFSET($H$3,0,0,'Données projet'!$E$17+1,1))</f>
        <v>701.44583662096022</v>
      </c>
      <c r="GF153" s="60">
        <f t="shared" si="158"/>
        <v>331.25104323342907</v>
      </c>
      <c r="GG153" s="16">
        <f>IF(ISNA(VLOOKUP(A153,'Données projet'!$A$243:$I$263,3,0)),0,VLOOKUP(A153,'Données projet'!$A$243:$I$263,3,0))</f>
        <v>13</v>
      </c>
      <c r="GH153" s="16">
        <f>IF(ISNA(VLOOKUP(A153,'Données projet'!$A$243:$I$263,4,0)),0,VLOOKUP(A153,'Données projet'!$A$243:$I$263,4,0))</f>
        <v>571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-1.1368683772161603E-13</v>
      </c>
      <c r="GV153" s="18">
        <f>GU153*VLOOKUP('Données projet'!$B$18,Paramètres!$A$1:$I$89,3,0)*VLOOKUP('Données projet'!$B$18,Paramètres!$A$1:$I$89,5,0)</f>
        <v>-9.2222762759774927E-14</v>
      </c>
      <c r="GW153" s="14" t="e">
        <f t="shared" si="159"/>
        <v>#NUM!</v>
      </c>
      <c r="GX153" s="22" t="e">
        <f t="shared" si="136"/>
        <v>#NUM!</v>
      </c>
      <c r="GY153" s="60" t="e">
        <f t="shared" si="137"/>
        <v>#NUM!</v>
      </c>
      <c r="GZ153" s="60">
        <f ca="1">AVERAGE(OFFSET($GY$3,0,0,'Données projet'!$E$18+1,1))-AVERAGE(OFFSET($H$3,0,0,'Données projet'!$E$18+1,1))</f>
        <v>272.69564942740931</v>
      </c>
      <c r="HA153" s="60">
        <f t="shared" si="160"/>
        <v>316.57989180609252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25">
      <c r="A154" s="11">
        <f t="shared" ref="A154:A202" si="161">A153+1</f>
        <v>151</v>
      </c>
      <c r="B154" s="75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8">
        <f t="shared" si="110"/>
        <v>183.33333333333334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-1.0286385077051818E-13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570.08763950759544</v>
      </c>
      <c r="T154" s="60">
        <f t="shared" si="142"/>
        <v>297.32483725004136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-4.5224624045658861E-14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394.49874384716014</v>
      </c>
      <c r="AO154" s="60">
        <f t="shared" si="144"/>
        <v>423.72519584013378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5.4092197387944907E-14</v>
      </c>
      <c r="BF154" s="14">
        <f t="shared" ref="BF154:BF203" si="167">EXP(-1.0587+0.8836*LN(BE154)+0.284)</f>
        <v>8.7287050538073676E-13</v>
      </c>
      <c r="BG154" s="22">
        <f t="shared" ref="BG154:BG203" si="168">(BE154+BF154)*0.475*44/12</f>
        <v>1.6144600406554537E-12</v>
      </c>
      <c r="BH154" s="60">
        <f t="shared" si="116"/>
        <v>286.80821682326695</v>
      </c>
      <c r="BI154" s="60">
        <f ca="1">AVERAGE(OFFSET($BH$3,0,0,'Données projet'!$E$11+1,1))-AVERAGE(OFFSET($H$3,0,0,'Données projet'!$E$11+1,1))</f>
        <v>441.15969139782891</v>
      </c>
      <c r="BJ154" s="60">
        <f t="shared" si="146"/>
        <v>315.06466790224783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8.8675733422860506E-14</v>
      </c>
      <c r="CA154" s="14">
        <f t="shared" ref="CA154:CA203" si="170">EXP(-1.0587+0.8836*LN(BZ154)+0.284)</f>
        <v>1.3509285393066301E-12</v>
      </c>
      <c r="CB154" s="22">
        <f t="shared" ref="CB154:CB203" si="171">(BZ154+CA154)*0.475*44/12</f>
        <v>2.5073107750038623E-12</v>
      </c>
      <c r="CC154" s="60">
        <f t="shared" si="119"/>
        <v>286.80821682326786</v>
      </c>
      <c r="CD154" s="60">
        <f ca="1">AVERAGE(OFFSET($CC$3,0,0,'Données projet'!$E$12+1,1))-AVERAGE(OFFSET($H$3,0,0,'Données projet'!$E$12+1,1))</f>
        <v>312.59632808777332</v>
      </c>
      <c r="CE154" s="60">
        <f t="shared" si="148"/>
        <v>302.59481222418219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-1.1368683772161603E-13</v>
      </c>
      <c r="CU154" s="18">
        <f>CT154*VLOOKUP('Données projet'!$B$13,Paramètres!$A$1:$I$89,3,0)*VLOOKUP('Données projet'!$B$13,Paramètres!$A$1:$I$89,5,0)</f>
        <v>-1.0995790944434703E-13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603.52431522262032</v>
      </c>
      <c r="CZ154" s="60">
        <f t="shared" si="150"/>
        <v>313.56299786481338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-1.1368683772161603E-13</v>
      </c>
      <c r="DP154" s="18">
        <f>DO154*VLOOKUP('Données projet'!$B$14,Paramètres!$A$1:$I$89,3,0)*VLOOKUP('Données projet'!$B$14,Paramètres!$A$1:$I$89,5,0)</f>
        <v>-1.223725121235475E-13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661.93515988633499</v>
      </c>
      <c r="DU154" s="60">
        <f t="shared" si="152"/>
        <v>341.9250949809848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>
        <f>EJ154*VLOOKUP('Données projet'!$B$15,Paramètres!$A$1:$I$89,3,0)*VLOOKUP('Données projet'!$B$15,Paramètres!$A$1:$I$89,5,0)</f>
        <v>0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396.0878652679051</v>
      </c>
      <c r="EP154" s="60">
        <f t="shared" si="154"/>
        <v>327.26339199235406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-5.6843418860808015E-14</v>
      </c>
      <c r="FF154" s="18">
        <f>FE154*VLOOKUP('Données projet'!$B$16,Paramètres!$A$1:$I$89,3,0)*VLOOKUP('Données projet'!$B$16,Paramètres!$A$1:$I$89,5,0)</f>
        <v>-4.1677594708744434E-14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0" t="e">
        <f t="shared" si="131"/>
        <v>#NUM!</v>
      </c>
      <c r="FJ154" s="60">
        <f ca="1">AVERAGE(OFFSET($FI$3,0,0,'Données projet'!$E$16+1,1))-AVERAGE(OFFSET($H$3,0,0,'Données projet'!$E$16+1,1))</f>
        <v>368.35775920359396</v>
      </c>
      <c r="FK154" s="60">
        <f t="shared" si="156"/>
        <v>395.5218438652638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-1.2505552149377763E-12</v>
      </c>
      <c r="GA154" s="18">
        <f>FZ154*VLOOKUP('Données projet'!$B$17,Paramètres!$A$1:$I$89,3,0)*VLOOKUP('Données projet'!$B$17,Paramètres!$A$1:$I$89,5,0)</f>
        <v>-1.0729763744166122E-12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0" t="e">
        <f t="shared" si="134"/>
        <v>#NUM!</v>
      </c>
      <c r="GE154" s="60">
        <f ca="1">AVERAGE(OFFSET($GD$3,0,0,'Données projet'!$E$17+1,1))-AVERAGE(OFFSET($H$3,0,0,'Données projet'!$E$17+1,1))</f>
        <v>701.44583662096022</v>
      </c>
      <c r="GF154" s="60">
        <f t="shared" si="158"/>
        <v>331.25104323342907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-1.1368683772161603E-13</v>
      </c>
      <c r="GV154" s="18">
        <f>GU154*VLOOKUP('Données projet'!$B$18,Paramètres!$A$1:$I$89,3,0)*VLOOKUP('Données projet'!$B$18,Paramètres!$A$1:$I$89,5,0)</f>
        <v>-9.2222762759774927E-14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0" t="e">
        <f t="shared" si="137"/>
        <v>#NUM!</v>
      </c>
      <c r="GZ154" s="60">
        <f ca="1">AVERAGE(OFFSET($GY$3,0,0,'Données projet'!$E$18+1,1))-AVERAGE(OFFSET($H$3,0,0,'Données projet'!$E$18+1,1))</f>
        <v>272.69564942740931</v>
      </c>
      <c r="HA154" s="60">
        <f t="shared" si="160"/>
        <v>316.57989180609252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25">
      <c r="A155" s="11">
        <f t="shared" si="161"/>
        <v>152</v>
      </c>
      <c r="B155" s="75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8">
        <f t="shared" si="110"/>
        <v>183.33333333333334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-1.0286385077051818E-13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570.08763950759544</v>
      </c>
      <c r="T155" s="60">
        <f t="shared" si="142"/>
        <v>297.32483725004136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-4.5224624045658861E-14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394.49874384716014</v>
      </c>
      <c r="AO155" s="60">
        <f t="shared" si="144"/>
        <v>423.72519584013378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5.4092197387944907E-14</v>
      </c>
      <c r="BF155" s="14">
        <f t="shared" si="167"/>
        <v>8.7287050538073676E-13</v>
      </c>
      <c r="BG155" s="22">
        <f t="shared" si="168"/>
        <v>1.6144600406554537E-12</v>
      </c>
      <c r="BH155" s="60">
        <f t="shared" si="116"/>
        <v>286.92141300674149</v>
      </c>
      <c r="BI155" s="60">
        <f ca="1">AVERAGE(OFFSET($BH$3,0,0,'Données projet'!$E$11+1,1))-AVERAGE(OFFSET($H$3,0,0,'Données projet'!$E$11+1,1))</f>
        <v>441.15969139782891</v>
      </c>
      <c r="BJ155" s="60">
        <f t="shared" si="146"/>
        <v>315.06466790224783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8.8675733422860506E-14</v>
      </c>
      <c r="CA155" s="14">
        <f t="shared" si="170"/>
        <v>1.3509285393066301E-12</v>
      </c>
      <c r="CB155" s="22">
        <f t="shared" si="171"/>
        <v>2.5073107750038623E-12</v>
      </c>
      <c r="CC155" s="60">
        <f t="shared" si="119"/>
        <v>286.9214130067424</v>
      </c>
      <c r="CD155" s="60">
        <f ca="1">AVERAGE(OFFSET($CC$3,0,0,'Données projet'!$E$12+1,1))-AVERAGE(OFFSET($H$3,0,0,'Données projet'!$E$12+1,1))</f>
        <v>312.59632808777332</v>
      </c>
      <c r="CE155" s="60">
        <f t="shared" si="148"/>
        <v>302.59481222418219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-1.1368683772161603E-13</v>
      </c>
      <c r="CU155" s="18">
        <f>CT155*VLOOKUP('Données projet'!$B$13,Paramètres!$A$1:$I$89,3,0)*VLOOKUP('Données projet'!$B$13,Paramètres!$A$1:$I$89,5,0)</f>
        <v>-1.0995790944434703E-13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603.52431522262032</v>
      </c>
      <c r="CZ155" s="60">
        <f t="shared" si="150"/>
        <v>313.56299786481338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-1.1368683772161603E-13</v>
      </c>
      <c r="DP155" s="18">
        <f>DO155*VLOOKUP('Données projet'!$B$14,Paramètres!$A$1:$I$89,3,0)*VLOOKUP('Données projet'!$B$14,Paramètres!$A$1:$I$89,5,0)</f>
        <v>-1.223725121235475E-13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661.93515988633499</v>
      </c>
      <c r="DU155" s="60">
        <f t="shared" si="152"/>
        <v>341.9250949809848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>
        <f>EJ155*VLOOKUP('Données projet'!$B$15,Paramètres!$A$1:$I$89,3,0)*VLOOKUP('Données projet'!$B$15,Paramètres!$A$1:$I$89,5,0)</f>
        <v>0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396.0878652679051</v>
      </c>
      <c r="EP155" s="60">
        <f t="shared" si="154"/>
        <v>327.26339199235406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-5.6843418860808015E-14</v>
      </c>
      <c r="FF155" s="18">
        <f>FE155*VLOOKUP('Données projet'!$B$16,Paramètres!$A$1:$I$89,3,0)*VLOOKUP('Données projet'!$B$16,Paramètres!$A$1:$I$89,5,0)</f>
        <v>-4.1677594708744434E-14</v>
      </c>
      <c r="FG155" s="14" t="e">
        <f t="shared" si="182"/>
        <v>#NUM!</v>
      </c>
      <c r="FH155" s="22" t="e">
        <f t="shared" si="183"/>
        <v>#NUM!</v>
      </c>
      <c r="FI155" s="60" t="e">
        <f t="shared" si="131"/>
        <v>#NUM!</v>
      </c>
      <c r="FJ155" s="60">
        <f ca="1">AVERAGE(OFFSET($FI$3,0,0,'Données projet'!$E$16+1,1))-AVERAGE(OFFSET($H$3,0,0,'Données projet'!$E$16+1,1))</f>
        <v>368.35775920359396</v>
      </c>
      <c r="FK155" s="60">
        <f t="shared" si="156"/>
        <v>395.5218438652638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-1.2505552149377763E-12</v>
      </c>
      <c r="GA155" s="18">
        <f>FZ155*VLOOKUP('Données projet'!$B$17,Paramètres!$A$1:$I$89,3,0)*VLOOKUP('Données projet'!$B$17,Paramètres!$A$1:$I$89,5,0)</f>
        <v>-1.0729763744166122E-12</v>
      </c>
      <c r="GB155" s="14" t="e">
        <f t="shared" si="185"/>
        <v>#NUM!</v>
      </c>
      <c r="GC155" s="22" t="e">
        <f t="shared" si="186"/>
        <v>#NUM!</v>
      </c>
      <c r="GD155" s="60" t="e">
        <f t="shared" si="134"/>
        <v>#NUM!</v>
      </c>
      <c r="GE155" s="60">
        <f ca="1">AVERAGE(OFFSET($GD$3,0,0,'Données projet'!$E$17+1,1))-AVERAGE(OFFSET($H$3,0,0,'Données projet'!$E$17+1,1))</f>
        <v>701.44583662096022</v>
      </c>
      <c r="GF155" s="60">
        <f t="shared" si="158"/>
        <v>331.25104323342907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-1.1368683772161603E-13</v>
      </c>
      <c r="GV155" s="18">
        <f>GU155*VLOOKUP('Données projet'!$B$18,Paramètres!$A$1:$I$89,3,0)*VLOOKUP('Données projet'!$B$18,Paramètres!$A$1:$I$89,5,0)</f>
        <v>-9.2222762759774927E-14</v>
      </c>
      <c r="GW155" s="14" t="e">
        <f t="shared" si="188"/>
        <v>#NUM!</v>
      </c>
      <c r="GX155" s="22" t="e">
        <f t="shared" si="189"/>
        <v>#NUM!</v>
      </c>
      <c r="GY155" s="60" t="e">
        <f t="shared" si="137"/>
        <v>#NUM!</v>
      </c>
      <c r="GZ155" s="60">
        <f ca="1">AVERAGE(OFFSET($GY$3,0,0,'Données projet'!$E$18+1,1))-AVERAGE(OFFSET($H$3,0,0,'Données projet'!$E$18+1,1))</f>
        <v>272.69564942740931</v>
      </c>
      <c r="HA155" s="60">
        <f t="shared" si="160"/>
        <v>316.57989180609252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25">
      <c r="A156" s="11">
        <f t="shared" si="161"/>
        <v>153</v>
      </c>
      <c r="B156" s="75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8">
        <f t="shared" si="110"/>
        <v>183.33333333333334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-1.0286385077051818E-13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570.08763950759544</v>
      </c>
      <c r="T156" s="60">
        <f t="shared" si="142"/>
        <v>297.32483725004136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-4.5224624045658861E-14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394.49874384716014</v>
      </c>
      <c r="AO156" s="60">
        <f t="shared" si="144"/>
        <v>423.72519584013378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5.4092197387944907E-14</v>
      </c>
      <c r="BF156" s="14">
        <f t="shared" si="167"/>
        <v>8.7287050538073676E-13</v>
      </c>
      <c r="BG156" s="22">
        <f t="shared" si="168"/>
        <v>1.6144600406554537E-12</v>
      </c>
      <c r="BH156" s="60">
        <f t="shared" si="116"/>
        <v>287.03264548950159</v>
      </c>
      <c r="BI156" s="60">
        <f ca="1">AVERAGE(OFFSET($BH$3,0,0,'Données projet'!$E$11+1,1))-AVERAGE(OFFSET($H$3,0,0,'Données projet'!$E$11+1,1))</f>
        <v>441.15969139782891</v>
      </c>
      <c r="BJ156" s="60">
        <f t="shared" si="146"/>
        <v>315.06466790224783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8.8675733422860506E-14</v>
      </c>
      <c r="CA156" s="14">
        <f t="shared" si="170"/>
        <v>1.3509285393066301E-12</v>
      </c>
      <c r="CB156" s="22">
        <f t="shared" si="171"/>
        <v>2.5073107750038623E-12</v>
      </c>
      <c r="CC156" s="60">
        <f t="shared" si="119"/>
        <v>287.0326454895025</v>
      </c>
      <c r="CD156" s="60">
        <f ca="1">AVERAGE(OFFSET($CC$3,0,0,'Données projet'!$E$12+1,1))-AVERAGE(OFFSET($H$3,0,0,'Données projet'!$E$12+1,1))</f>
        <v>312.59632808777332</v>
      </c>
      <c r="CE156" s="60">
        <f t="shared" si="148"/>
        <v>302.59481222418219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-1.1368683772161603E-13</v>
      </c>
      <c r="CU156" s="18">
        <f>CT156*VLOOKUP('Données projet'!$B$13,Paramètres!$A$1:$I$89,3,0)*VLOOKUP('Données projet'!$B$13,Paramètres!$A$1:$I$89,5,0)</f>
        <v>-1.0995790944434703E-13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603.52431522262032</v>
      </c>
      <c r="CZ156" s="60">
        <f t="shared" si="150"/>
        <v>313.56299786481338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-1.1368683772161603E-13</v>
      </c>
      <c r="DP156" s="18">
        <f>DO156*VLOOKUP('Données projet'!$B$14,Paramètres!$A$1:$I$89,3,0)*VLOOKUP('Données projet'!$B$14,Paramètres!$A$1:$I$89,5,0)</f>
        <v>-1.223725121235475E-13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661.93515988633499</v>
      </c>
      <c r="DU156" s="60">
        <f t="shared" si="152"/>
        <v>341.9250949809848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>
        <f>EJ156*VLOOKUP('Données projet'!$B$15,Paramètres!$A$1:$I$89,3,0)*VLOOKUP('Données projet'!$B$15,Paramètres!$A$1:$I$89,5,0)</f>
        <v>0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396.0878652679051</v>
      </c>
      <c r="EP156" s="60">
        <f t="shared" si="154"/>
        <v>327.26339199235406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-5.6843418860808015E-14</v>
      </c>
      <c r="FF156" s="18">
        <f>FE156*VLOOKUP('Données projet'!$B$16,Paramètres!$A$1:$I$89,3,0)*VLOOKUP('Données projet'!$B$16,Paramètres!$A$1:$I$89,5,0)</f>
        <v>-4.1677594708744434E-14</v>
      </c>
      <c r="FG156" s="14" t="e">
        <f t="shared" si="182"/>
        <v>#NUM!</v>
      </c>
      <c r="FH156" s="22" t="e">
        <f t="shared" si="183"/>
        <v>#NUM!</v>
      </c>
      <c r="FI156" s="60" t="e">
        <f t="shared" si="131"/>
        <v>#NUM!</v>
      </c>
      <c r="FJ156" s="60">
        <f ca="1">AVERAGE(OFFSET($FI$3,0,0,'Données projet'!$E$16+1,1))-AVERAGE(OFFSET($H$3,0,0,'Données projet'!$E$16+1,1))</f>
        <v>368.35775920359396</v>
      </c>
      <c r="FK156" s="60">
        <f t="shared" si="156"/>
        <v>395.5218438652638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-1.2505552149377763E-12</v>
      </c>
      <c r="GA156" s="18">
        <f>FZ156*VLOOKUP('Données projet'!$B$17,Paramètres!$A$1:$I$89,3,0)*VLOOKUP('Données projet'!$B$17,Paramètres!$A$1:$I$89,5,0)</f>
        <v>-1.0729763744166122E-12</v>
      </c>
      <c r="GB156" s="14" t="e">
        <f t="shared" si="185"/>
        <v>#NUM!</v>
      </c>
      <c r="GC156" s="22" t="e">
        <f t="shared" si="186"/>
        <v>#NUM!</v>
      </c>
      <c r="GD156" s="60" t="e">
        <f t="shared" si="134"/>
        <v>#NUM!</v>
      </c>
      <c r="GE156" s="60">
        <f ca="1">AVERAGE(OFFSET($GD$3,0,0,'Données projet'!$E$17+1,1))-AVERAGE(OFFSET($H$3,0,0,'Données projet'!$E$17+1,1))</f>
        <v>701.44583662096022</v>
      </c>
      <c r="GF156" s="60">
        <f t="shared" si="158"/>
        <v>331.25104323342907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-1.1368683772161603E-13</v>
      </c>
      <c r="GV156" s="18">
        <f>GU156*VLOOKUP('Données projet'!$B$18,Paramètres!$A$1:$I$89,3,0)*VLOOKUP('Données projet'!$B$18,Paramètres!$A$1:$I$89,5,0)</f>
        <v>-9.2222762759774927E-14</v>
      </c>
      <c r="GW156" s="14" t="e">
        <f t="shared" si="188"/>
        <v>#NUM!</v>
      </c>
      <c r="GX156" s="22" t="e">
        <f t="shared" si="189"/>
        <v>#NUM!</v>
      </c>
      <c r="GY156" s="60" t="e">
        <f t="shared" si="137"/>
        <v>#NUM!</v>
      </c>
      <c r="GZ156" s="60">
        <f ca="1">AVERAGE(OFFSET($GY$3,0,0,'Données projet'!$E$18+1,1))-AVERAGE(OFFSET($H$3,0,0,'Données projet'!$E$18+1,1))</f>
        <v>272.69564942740931</v>
      </c>
      <c r="HA156" s="60">
        <f t="shared" si="160"/>
        <v>316.57989180609252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25">
      <c r="A157" s="11">
        <f t="shared" si="161"/>
        <v>154</v>
      </c>
      <c r="B157" s="75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8">
        <f t="shared" si="110"/>
        <v>183.33333333333334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-1.0286385077051818E-13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570.08763950759544</v>
      </c>
      <c r="T157" s="60">
        <f t="shared" si="142"/>
        <v>297.32483725004136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-4.5224624045658861E-14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394.49874384716014</v>
      </c>
      <c r="AO157" s="60">
        <f t="shared" si="144"/>
        <v>423.72519584013378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5.4092197387944907E-14</v>
      </c>
      <c r="BF157" s="14">
        <f t="shared" si="167"/>
        <v>8.7287050538073676E-13</v>
      </c>
      <c r="BG157" s="22">
        <f t="shared" si="168"/>
        <v>1.6144600406554537E-12</v>
      </c>
      <c r="BH157" s="60">
        <f t="shared" si="116"/>
        <v>287.14194833736434</v>
      </c>
      <c r="BI157" s="60">
        <f ca="1">AVERAGE(OFFSET($BH$3,0,0,'Données projet'!$E$11+1,1))-AVERAGE(OFFSET($H$3,0,0,'Données projet'!$E$11+1,1))</f>
        <v>441.15969139782891</v>
      </c>
      <c r="BJ157" s="60">
        <f t="shared" si="146"/>
        <v>315.06466790224783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8.8675733422860506E-14</v>
      </c>
      <c r="CA157" s="14">
        <f t="shared" si="170"/>
        <v>1.3509285393066301E-12</v>
      </c>
      <c r="CB157" s="22">
        <f t="shared" si="171"/>
        <v>2.5073107750038623E-12</v>
      </c>
      <c r="CC157" s="60">
        <f t="shared" si="119"/>
        <v>287.14194833736525</v>
      </c>
      <c r="CD157" s="60">
        <f ca="1">AVERAGE(OFFSET($CC$3,0,0,'Données projet'!$E$12+1,1))-AVERAGE(OFFSET($H$3,0,0,'Données projet'!$E$12+1,1))</f>
        <v>312.59632808777332</v>
      </c>
      <c r="CE157" s="60">
        <f t="shared" si="148"/>
        <v>302.59481222418219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-1.1368683772161603E-13</v>
      </c>
      <c r="CU157" s="18">
        <f>CT157*VLOOKUP('Données projet'!$B$13,Paramètres!$A$1:$I$89,3,0)*VLOOKUP('Données projet'!$B$13,Paramètres!$A$1:$I$89,5,0)</f>
        <v>-1.0995790944434703E-13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603.52431522262032</v>
      </c>
      <c r="CZ157" s="60">
        <f t="shared" si="150"/>
        <v>313.56299786481338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-1.1368683772161603E-13</v>
      </c>
      <c r="DP157" s="18">
        <f>DO157*VLOOKUP('Données projet'!$B$14,Paramètres!$A$1:$I$89,3,0)*VLOOKUP('Données projet'!$B$14,Paramètres!$A$1:$I$89,5,0)</f>
        <v>-1.223725121235475E-13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661.93515988633499</v>
      </c>
      <c r="DU157" s="60">
        <f t="shared" si="152"/>
        <v>341.9250949809848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>
        <f>EJ157*VLOOKUP('Données projet'!$B$15,Paramètres!$A$1:$I$89,3,0)*VLOOKUP('Données projet'!$B$15,Paramètres!$A$1:$I$89,5,0)</f>
        <v>0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396.0878652679051</v>
      </c>
      <c r="EP157" s="60">
        <f t="shared" si="154"/>
        <v>327.26339199235406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-5.6843418860808015E-14</v>
      </c>
      <c r="FF157" s="18">
        <f>FE157*VLOOKUP('Données projet'!$B$16,Paramètres!$A$1:$I$89,3,0)*VLOOKUP('Données projet'!$B$16,Paramètres!$A$1:$I$89,5,0)</f>
        <v>-4.1677594708744434E-14</v>
      </c>
      <c r="FG157" s="14" t="e">
        <f t="shared" si="182"/>
        <v>#NUM!</v>
      </c>
      <c r="FH157" s="22" t="e">
        <f t="shared" si="183"/>
        <v>#NUM!</v>
      </c>
      <c r="FI157" s="60" t="e">
        <f t="shared" si="131"/>
        <v>#NUM!</v>
      </c>
      <c r="FJ157" s="60">
        <f ca="1">AVERAGE(OFFSET($FI$3,0,0,'Données projet'!$E$16+1,1))-AVERAGE(OFFSET($H$3,0,0,'Données projet'!$E$16+1,1))</f>
        <v>368.35775920359396</v>
      </c>
      <c r="FK157" s="60">
        <f t="shared" si="156"/>
        <v>395.5218438652638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-1.2505552149377763E-12</v>
      </c>
      <c r="GA157" s="18">
        <f>FZ157*VLOOKUP('Données projet'!$B$17,Paramètres!$A$1:$I$89,3,0)*VLOOKUP('Données projet'!$B$17,Paramètres!$A$1:$I$89,5,0)</f>
        <v>-1.0729763744166122E-12</v>
      </c>
      <c r="GB157" s="14" t="e">
        <f t="shared" si="185"/>
        <v>#NUM!</v>
      </c>
      <c r="GC157" s="22" t="e">
        <f t="shared" si="186"/>
        <v>#NUM!</v>
      </c>
      <c r="GD157" s="60" t="e">
        <f t="shared" si="134"/>
        <v>#NUM!</v>
      </c>
      <c r="GE157" s="60">
        <f ca="1">AVERAGE(OFFSET($GD$3,0,0,'Données projet'!$E$17+1,1))-AVERAGE(OFFSET($H$3,0,0,'Données projet'!$E$17+1,1))</f>
        <v>701.44583662096022</v>
      </c>
      <c r="GF157" s="60">
        <f t="shared" si="158"/>
        <v>331.25104323342907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-1.1368683772161603E-13</v>
      </c>
      <c r="GV157" s="18">
        <f>GU157*VLOOKUP('Données projet'!$B$18,Paramètres!$A$1:$I$89,3,0)*VLOOKUP('Données projet'!$B$18,Paramètres!$A$1:$I$89,5,0)</f>
        <v>-9.2222762759774927E-14</v>
      </c>
      <c r="GW157" s="14" t="e">
        <f t="shared" si="188"/>
        <v>#NUM!</v>
      </c>
      <c r="GX157" s="22" t="e">
        <f t="shared" si="189"/>
        <v>#NUM!</v>
      </c>
      <c r="GY157" s="60" t="e">
        <f t="shared" si="137"/>
        <v>#NUM!</v>
      </c>
      <c r="GZ157" s="60">
        <f ca="1">AVERAGE(OFFSET($GY$3,0,0,'Données projet'!$E$18+1,1))-AVERAGE(OFFSET($H$3,0,0,'Données projet'!$E$18+1,1))</f>
        <v>272.69564942740931</v>
      </c>
      <c r="HA157" s="60">
        <f t="shared" si="160"/>
        <v>316.57989180609252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25">
      <c r="A158" s="11">
        <f t="shared" si="161"/>
        <v>155</v>
      </c>
      <c r="B158" s="75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8">
        <f t="shared" si="110"/>
        <v>183.33333333333334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-1.0286385077051818E-13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570.08763950759544</v>
      </c>
      <c r="T158" s="60">
        <f t="shared" si="142"/>
        <v>297.32483725004136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-4.5224624045658861E-14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394.49874384716014</v>
      </c>
      <c r="AO158" s="60">
        <f t="shared" si="144"/>
        <v>423.72519584013378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5.4092197387944907E-14</v>
      </c>
      <c r="BF158" s="14">
        <f t="shared" si="167"/>
        <v>8.7287050538073676E-13</v>
      </c>
      <c r="BG158" s="22">
        <f t="shared" si="168"/>
        <v>1.6144600406554537E-12</v>
      </c>
      <c r="BH158" s="60">
        <f t="shared" si="116"/>
        <v>287.24935502518127</v>
      </c>
      <c r="BI158" s="60">
        <f ca="1">AVERAGE(OFFSET($BH$3,0,0,'Données projet'!$E$11+1,1))-AVERAGE(OFFSET($H$3,0,0,'Données projet'!$E$11+1,1))</f>
        <v>441.15969139782891</v>
      </c>
      <c r="BJ158" s="60">
        <f t="shared" si="146"/>
        <v>315.06466790224783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8.8675733422860506E-14</v>
      </c>
      <c r="CA158" s="14">
        <f t="shared" si="170"/>
        <v>1.3509285393066301E-12</v>
      </c>
      <c r="CB158" s="22">
        <f t="shared" si="171"/>
        <v>2.5073107750038623E-12</v>
      </c>
      <c r="CC158" s="60">
        <f t="shared" si="119"/>
        <v>287.24935502518218</v>
      </c>
      <c r="CD158" s="60">
        <f ca="1">AVERAGE(OFFSET($CC$3,0,0,'Données projet'!$E$12+1,1))-AVERAGE(OFFSET($H$3,0,0,'Données projet'!$E$12+1,1))</f>
        <v>312.59632808777332</v>
      </c>
      <c r="CE158" s="60">
        <f t="shared" si="148"/>
        <v>302.59481222418219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-1.1368683772161603E-13</v>
      </c>
      <c r="CU158" s="18">
        <f>CT158*VLOOKUP('Données projet'!$B$13,Paramètres!$A$1:$I$89,3,0)*VLOOKUP('Données projet'!$B$13,Paramètres!$A$1:$I$89,5,0)</f>
        <v>-1.0995790944434703E-13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603.52431522262032</v>
      </c>
      <c r="CZ158" s="60">
        <f t="shared" si="150"/>
        <v>313.56299786481338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-1.1368683772161603E-13</v>
      </c>
      <c r="DP158" s="18">
        <f>DO158*VLOOKUP('Données projet'!$B$14,Paramètres!$A$1:$I$89,3,0)*VLOOKUP('Données projet'!$B$14,Paramètres!$A$1:$I$89,5,0)</f>
        <v>-1.223725121235475E-13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661.93515988633499</v>
      </c>
      <c r="DU158" s="60">
        <f t="shared" si="152"/>
        <v>341.9250949809848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>
        <f>EJ158*VLOOKUP('Données projet'!$B$15,Paramètres!$A$1:$I$89,3,0)*VLOOKUP('Données projet'!$B$15,Paramètres!$A$1:$I$89,5,0)</f>
        <v>0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396.0878652679051</v>
      </c>
      <c r="EP158" s="60">
        <f t="shared" si="154"/>
        <v>327.26339199235406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-5.6843418860808015E-14</v>
      </c>
      <c r="FF158" s="18">
        <f>FE158*VLOOKUP('Données projet'!$B$16,Paramètres!$A$1:$I$89,3,0)*VLOOKUP('Données projet'!$B$16,Paramètres!$A$1:$I$89,5,0)</f>
        <v>-4.1677594708744434E-14</v>
      </c>
      <c r="FG158" s="14" t="e">
        <f t="shared" si="182"/>
        <v>#NUM!</v>
      </c>
      <c r="FH158" s="22" t="e">
        <f t="shared" si="183"/>
        <v>#NUM!</v>
      </c>
      <c r="FI158" s="60" t="e">
        <f t="shared" si="131"/>
        <v>#NUM!</v>
      </c>
      <c r="FJ158" s="60">
        <f ca="1">AVERAGE(OFFSET($FI$3,0,0,'Données projet'!$E$16+1,1))-AVERAGE(OFFSET($H$3,0,0,'Données projet'!$E$16+1,1))</f>
        <v>368.35775920359396</v>
      </c>
      <c r="FK158" s="60">
        <f t="shared" si="156"/>
        <v>395.5218438652638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-1.2505552149377763E-12</v>
      </c>
      <c r="GA158" s="18">
        <f>FZ158*VLOOKUP('Données projet'!$B$17,Paramètres!$A$1:$I$89,3,0)*VLOOKUP('Données projet'!$B$17,Paramètres!$A$1:$I$89,5,0)</f>
        <v>-1.0729763744166122E-12</v>
      </c>
      <c r="GB158" s="14" t="e">
        <f t="shared" si="185"/>
        <v>#NUM!</v>
      </c>
      <c r="GC158" s="22" t="e">
        <f t="shared" si="186"/>
        <v>#NUM!</v>
      </c>
      <c r="GD158" s="60" t="e">
        <f t="shared" si="134"/>
        <v>#NUM!</v>
      </c>
      <c r="GE158" s="60">
        <f ca="1">AVERAGE(OFFSET($GD$3,0,0,'Données projet'!$E$17+1,1))-AVERAGE(OFFSET($H$3,0,0,'Données projet'!$E$17+1,1))</f>
        <v>701.44583662096022</v>
      </c>
      <c r="GF158" s="60">
        <f t="shared" si="158"/>
        <v>331.25104323342907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-1.1368683772161603E-13</v>
      </c>
      <c r="GV158" s="18">
        <f>GU158*VLOOKUP('Données projet'!$B$18,Paramètres!$A$1:$I$89,3,0)*VLOOKUP('Données projet'!$B$18,Paramètres!$A$1:$I$89,5,0)</f>
        <v>-9.2222762759774927E-14</v>
      </c>
      <c r="GW158" s="14" t="e">
        <f t="shared" si="188"/>
        <v>#NUM!</v>
      </c>
      <c r="GX158" s="22" t="e">
        <f t="shared" si="189"/>
        <v>#NUM!</v>
      </c>
      <c r="GY158" s="60" t="e">
        <f t="shared" si="137"/>
        <v>#NUM!</v>
      </c>
      <c r="GZ158" s="60">
        <f ca="1">AVERAGE(OFFSET($GY$3,0,0,'Données projet'!$E$18+1,1))-AVERAGE(OFFSET($H$3,0,0,'Données projet'!$E$18+1,1))</f>
        <v>272.69564942740931</v>
      </c>
      <c r="HA158" s="60">
        <f t="shared" si="160"/>
        <v>316.57989180609252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25">
      <c r="A159" s="11">
        <f t="shared" si="161"/>
        <v>156</v>
      </c>
      <c r="B159" s="75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8">
        <f t="shared" si="110"/>
        <v>183.33333333333334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-1.0286385077051818E-13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570.08763950759544</v>
      </c>
      <c r="T159" s="60">
        <f t="shared" si="142"/>
        <v>297.32483725004136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-4.5224624045658861E-14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394.49874384716014</v>
      </c>
      <c r="AO159" s="60">
        <f t="shared" si="144"/>
        <v>423.72519584013378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5.4092197387944907E-14</v>
      </c>
      <c r="BF159" s="14">
        <f t="shared" si="167"/>
        <v>8.7287050538073676E-13</v>
      </c>
      <c r="BG159" s="22">
        <f t="shared" si="168"/>
        <v>1.6144600406554537E-12</v>
      </c>
      <c r="BH159" s="60">
        <f t="shared" si="116"/>
        <v>287.35489844708991</v>
      </c>
      <c r="BI159" s="60">
        <f ca="1">AVERAGE(OFFSET($BH$3,0,0,'Données projet'!$E$11+1,1))-AVERAGE(OFFSET($H$3,0,0,'Données projet'!$E$11+1,1))</f>
        <v>441.15969139782891</v>
      </c>
      <c r="BJ159" s="60">
        <f t="shared" si="146"/>
        <v>315.06466790224783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8.8675733422860506E-14</v>
      </c>
      <c r="CA159" s="14">
        <f t="shared" si="170"/>
        <v>1.3509285393066301E-12</v>
      </c>
      <c r="CB159" s="22">
        <f t="shared" si="171"/>
        <v>2.5073107750038623E-12</v>
      </c>
      <c r="CC159" s="60">
        <f t="shared" si="119"/>
        <v>287.35489844709082</v>
      </c>
      <c r="CD159" s="60">
        <f ca="1">AVERAGE(OFFSET($CC$3,0,0,'Données projet'!$E$12+1,1))-AVERAGE(OFFSET($H$3,0,0,'Données projet'!$E$12+1,1))</f>
        <v>312.59632808777332</v>
      </c>
      <c r="CE159" s="60">
        <f t="shared" si="148"/>
        <v>302.59481222418219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-1.1368683772161603E-13</v>
      </c>
      <c r="CU159" s="18">
        <f>CT159*VLOOKUP('Données projet'!$B$13,Paramètres!$A$1:$I$89,3,0)*VLOOKUP('Données projet'!$B$13,Paramètres!$A$1:$I$89,5,0)</f>
        <v>-1.0995790944434703E-13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603.52431522262032</v>
      </c>
      <c r="CZ159" s="60">
        <f t="shared" si="150"/>
        <v>313.56299786481338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-1.1368683772161603E-13</v>
      </c>
      <c r="DP159" s="18">
        <f>DO159*VLOOKUP('Données projet'!$B$14,Paramètres!$A$1:$I$89,3,0)*VLOOKUP('Données projet'!$B$14,Paramètres!$A$1:$I$89,5,0)</f>
        <v>-1.223725121235475E-13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661.93515988633499</v>
      </c>
      <c r="DU159" s="60">
        <f t="shared" si="152"/>
        <v>341.9250949809848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>
        <f>EJ159*VLOOKUP('Données projet'!$B$15,Paramètres!$A$1:$I$89,3,0)*VLOOKUP('Données projet'!$B$15,Paramètres!$A$1:$I$89,5,0)</f>
        <v>0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396.0878652679051</v>
      </c>
      <c r="EP159" s="60">
        <f t="shared" si="154"/>
        <v>327.26339199235406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-5.6843418860808015E-14</v>
      </c>
      <c r="FF159" s="18">
        <f>FE159*VLOOKUP('Données projet'!$B$16,Paramètres!$A$1:$I$89,3,0)*VLOOKUP('Données projet'!$B$16,Paramètres!$A$1:$I$89,5,0)</f>
        <v>-4.1677594708744434E-14</v>
      </c>
      <c r="FG159" s="14" t="e">
        <f t="shared" si="182"/>
        <v>#NUM!</v>
      </c>
      <c r="FH159" s="22" t="e">
        <f t="shared" si="183"/>
        <v>#NUM!</v>
      </c>
      <c r="FI159" s="60" t="e">
        <f t="shared" si="131"/>
        <v>#NUM!</v>
      </c>
      <c r="FJ159" s="60">
        <f ca="1">AVERAGE(OFFSET($FI$3,0,0,'Données projet'!$E$16+1,1))-AVERAGE(OFFSET($H$3,0,0,'Données projet'!$E$16+1,1))</f>
        <v>368.35775920359396</v>
      </c>
      <c r="FK159" s="60">
        <f t="shared" si="156"/>
        <v>395.5218438652638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-1.2505552149377763E-12</v>
      </c>
      <c r="GA159" s="18">
        <f>FZ159*VLOOKUP('Données projet'!$B$17,Paramètres!$A$1:$I$89,3,0)*VLOOKUP('Données projet'!$B$17,Paramètres!$A$1:$I$89,5,0)</f>
        <v>-1.0729763744166122E-12</v>
      </c>
      <c r="GB159" s="14" t="e">
        <f t="shared" si="185"/>
        <v>#NUM!</v>
      </c>
      <c r="GC159" s="22" t="e">
        <f t="shared" si="186"/>
        <v>#NUM!</v>
      </c>
      <c r="GD159" s="60" t="e">
        <f t="shared" si="134"/>
        <v>#NUM!</v>
      </c>
      <c r="GE159" s="60">
        <f ca="1">AVERAGE(OFFSET($GD$3,0,0,'Données projet'!$E$17+1,1))-AVERAGE(OFFSET($H$3,0,0,'Données projet'!$E$17+1,1))</f>
        <v>701.44583662096022</v>
      </c>
      <c r="GF159" s="60">
        <f t="shared" si="158"/>
        <v>331.25104323342907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-1.1368683772161603E-13</v>
      </c>
      <c r="GV159" s="18">
        <f>GU159*VLOOKUP('Données projet'!$B$18,Paramètres!$A$1:$I$89,3,0)*VLOOKUP('Données projet'!$B$18,Paramètres!$A$1:$I$89,5,0)</f>
        <v>-9.2222762759774927E-14</v>
      </c>
      <c r="GW159" s="14" t="e">
        <f t="shared" si="188"/>
        <v>#NUM!</v>
      </c>
      <c r="GX159" s="22" t="e">
        <f t="shared" si="189"/>
        <v>#NUM!</v>
      </c>
      <c r="GY159" s="60" t="e">
        <f t="shared" si="137"/>
        <v>#NUM!</v>
      </c>
      <c r="GZ159" s="60">
        <f ca="1">AVERAGE(OFFSET($GY$3,0,0,'Données projet'!$E$18+1,1))-AVERAGE(OFFSET($H$3,0,0,'Données projet'!$E$18+1,1))</f>
        <v>272.69564942740931</v>
      </c>
      <c r="HA159" s="60">
        <f t="shared" si="160"/>
        <v>316.57989180609252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25">
      <c r="A160" s="11">
        <f t="shared" si="161"/>
        <v>157</v>
      </c>
      <c r="B160" s="75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8">
        <f t="shared" si="110"/>
        <v>183.33333333333334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-1.0286385077051818E-13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570.08763950759544</v>
      </c>
      <c r="T160" s="60">
        <f t="shared" si="142"/>
        <v>297.32483725004136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-4.5224624045658861E-14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394.49874384716014</v>
      </c>
      <c r="AO160" s="60">
        <f t="shared" si="144"/>
        <v>423.72519584013378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5.4092197387944907E-14</v>
      </c>
      <c r="BF160" s="14">
        <f t="shared" si="167"/>
        <v>8.7287050538073676E-13</v>
      </c>
      <c r="BG160" s="22">
        <f t="shared" si="168"/>
        <v>1.6144600406554537E-12</v>
      </c>
      <c r="BH160" s="60">
        <f t="shared" si="116"/>
        <v>287.45861092658816</v>
      </c>
      <c r="BI160" s="60">
        <f ca="1">AVERAGE(OFFSET($BH$3,0,0,'Données projet'!$E$11+1,1))-AVERAGE(OFFSET($H$3,0,0,'Données projet'!$E$11+1,1))</f>
        <v>441.15969139782891</v>
      </c>
      <c r="BJ160" s="60">
        <f t="shared" si="146"/>
        <v>315.06466790224783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8.8675733422860506E-14</v>
      </c>
      <c r="CA160" s="14">
        <f t="shared" si="170"/>
        <v>1.3509285393066301E-12</v>
      </c>
      <c r="CB160" s="22">
        <f t="shared" si="171"/>
        <v>2.5073107750038623E-12</v>
      </c>
      <c r="CC160" s="60">
        <f t="shared" si="119"/>
        <v>287.45861092658907</v>
      </c>
      <c r="CD160" s="60">
        <f ca="1">AVERAGE(OFFSET($CC$3,0,0,'Données projet'!$E$12+1,1))-AVERAGE(OFFSET($H$3,0,0,'Données projet'!$E$12+1,1))</f>
        <v>312.59632808777332</v>
      </c>
      <c r="CE160" s="60">
        <f t="shared" si="148"/>
        <v>302.59481222418219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-1.1368683772161603E-13</v>
      </c>
      <c r="CU160" s="18">
        <f>CT160*VLOOKUP('Données projet'!$B$13,Paramètres!$A$1:$I$89,3,0)*VLOOKUP('Données projet'!$B$13,Paramètres!$A$1:$I$89,5,0)</f>
        <v>-1.0995790944434703E-13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603.52431522262032</v>
      </c>
      <c r="CZ160" s="60">
        <f t="shared" si="150"/>
        <v>313.56299786481338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-1.1368683772161603E-13</v>
      </c>
      <c r="DP160" s="18">
        <f>DO160*VLOOKUP('Données projet'!$B$14,Paramètres!$A$1:$I$89,3,0)*VLOOKUP('Données projet'!$B$14,Paramètres!$A$1:$I$89,5,0)</f>
        <v>-1.223725121235475E-13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661.93515988633499</v>
      </c>
      <c r="DU160" s="60">
        <f t="shared" si="152"/>
        <v>341.9250949809848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>
        <f>EJ160*VLOOKUP('Données projet'!$B$15,Paramètres!$A$1:$I$89,3,0)*VLOOKUP('Données projet'!$B$15,Paramètres!$A$1:$I$89,5,0)</f>
        <v>0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396.0878652679051</v>
      </c>
      <c r="EP160" s="60">
        <f t="shared" si="154"/>
        <v>327.26339199235406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-5.6843418860808015E-14</v>
      </c>
      <c r="FF160" s="18">
        <f>FE160*VLOOKUP('Données projet'!$B$16,Paramètres!$A$1:$I$89,3,0)*VLOOKUP('Données projet'!$B$16,Paramètres!$A$1:$I$89,5,0)</f>
        <v>-4.1677594708744434E-14</v>
      </c>
      <c r="FG160" s="14" t="e">
        <f t="shared" si="182"/>
        <v>#NUM!</v>
      </c>
      <c r="FH160" s="22" t="e">
        <f t="shared" si="183"/>
        <v>#NUM!</v>
      </c>
      <c r="FI160" s="60" t="e">
        <f t="shared" si="131"/>
        <v>#NUM!</v>
      </c>
      <c r="FJ160" s="60">
        <f ca="1">AVERAGE(OFFSET($FI$3,0,0,'Données projet'!$E$16+1,1))-AVERAGE(OFFSET($H$3,0,0,'Données projet'!$E$16+1,1))</f>
        <v>368.35775920359396</v>
      </c>
      <c r="FK160" s="60">
        <f t="shared" si="156"/>
        <v>395.5218438652638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-1.2505552149377763E-12</v>
      </c>
      <c r="GA160" s="18">
        <f>FZ160*VLOOKUP('Données projet'!$B$17,Paramètres!$A$1:$I$89,3,0)*VLOOKUP('Données projet'!$B$17,Paramètres!$A$1:$I$89,5,0)</f>
        <v>-1.0729763744166122E-12</v>
      </c>
      <c r="GB160" s="14" t="e">
        <f t="shared" si="185"/>
        <v>#NUM!</v>
      </c>
      <c r="GC160" s="22" t="e">
        <f t="shared" si="186"/>
        <v>#NUM!</v>
      </c>
      <c r="GD160" s="60" t="e">
        <f t="shared" si="134"/>
        <v>#NUM!</v>
      </c>
      <c r="GE160" s="60">
        <f ca="1">AVERAGE(OFFSET($GD$3,0,0,'Données projet'!$E$17+1,1))-AVERAGE(OFFSET($H$3,0,0,'Données projet'!$E$17+1,1))</f>
        <v>701.44583662096022</v>
      </c>
      <c r="GF160" s="60">
        <f t="shared" si="158"/>
        <v>331.25104323342907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-1.1368683772161603E-13</v>
      </c>
      <c r="GV160" s="18">
        <f>GU160*VLOOKUP('Données projet'!$B$18,Paramètres!$A$1:$I$89,3,0)*VLOOKUP('Données projet'!$B$18,Paramètres!$A$1:$I$89,5,0)</f>
        <v>-9.2222762759774927E-14</v>
      </c>
      <c r="GW160" s="14" t="e">
        <f t="shared" si="188"/>
        <v>#NUM!</v>
      </c>
      <c r="GX160" s="22" t="e">
        <f t="shared" si="189"/>
        <v>#NUM!</v>
      </c>
      <c r="GY160" s="60" t="e">
        <f t="shared" si="137"/>
        <v>#NUM!</v>
      </c>
      <c r="GZ160" s="60">
        <f ca="1">AVERAGE(OFFSET($GY$3,0,0,'Données projet'!$E$18+1,1))-AVERAGE(OFFSET($H$3,0,0,'Données projet'!$E$18+1,1))</f>
        <v>272.69564942740931</v>
      </c>
      <c r="HA160" s="60">
        <f t="shared" si="160"/>
        <v>316.57989180609252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25">
      <c r="A161" s="11">
        <f t="shared" si="161"/>
        <v>158</v>
      </c>
      <c r="B161" s="75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8">
        <f t="shared" si="110"/>
        <v>183.33333333333334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-1.0286385077051818E-13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570.08763950759544</v>
      </c>
      <c r="T161" s="60">
        <f t="shared" si="142"/>
        <v>297.32483725004136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-4.5224624045658861E-14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394.49874384716014</v>
      </c>
      <c r="AO161" s="60">
        <f t="shared" si="144"/>
        <v>423.72519584013378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5.4092197387944907E-14</v>
      </c>
      <c r="BF161" s="14">
        <f t="shared" si="167"/>
        <v>8.7287050538073676E-13</v>
      </c>
      <c r="BG161" s="22">
        <f t="shared" si="168"/>
        <v>1.6144600406554537E-12</v>
      </c>
      <c r="BH161" s="60">
        <f t="shared" si="116"/>
        <v>287.56052422643359</v>
      </c>
      <c r="BI161" s="60">
        <f ca="1">AVERAGE(OFFSET($BH$3,0,0,'Données projet'!$E$11+1,1))-AVERAGE(OFFSET($H$3,0,0,'Données projet'!$E$11+1,1))</f>
        <v>441.15969139782891</v>
      </c>
      <c r="BJ161" s="60">
        <f t="shared" si="146"/>
        <v>315.06466790224783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8.8675733422860506E-14</v>
      </c>
      <c r="CA161" s="14">
        <f t="shared" si="170"/>
        <v>1.3509285393066301E-12</v>
      </c>
      <c r="CB161" s="22">
        <f t="shared" si="171"/>
        <v>2.5073107750038623E-12</v>
      </c>
      <c r="CC161" s="60">
        <f t="shared" si="119"/>
        <v>287.5605242264345</v>
      </c>
      <c r="CD161" s="60">
        <f ca="1">AVERAGE(OFFSET($CC$3,0,0,'Données projet'!$E$12+1,1))-AVERAGE(OFFSET($H$3,0,0,'Données projet'!$E$12+1,1))</f>
        <v>312.59632808777332</v>
      </c>
      <c r="CE161" s="60">
        <f t="shared" si="148"/>
        <v>302.59481222418219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-1.1368683772161603E-13</v>
      </c>
      <c r="CU161" s="18">
        <f>CT161*VLOOKUP('Données projet'!$B$13,Paramètres!$A$1:$I$89,3,0)*VLOOKUP('Données projet'!$B$13,Paramètres!$A$1:$I$89,5,0)</f>
        <v>-1.0995790944434703E-13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603.52431522262032</v>
      </c>
      <c r="CZ161" s="60">
        <f t="shared" si="150"/>
        <v>313.56299786481338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-1.1368683772161603E-13</v>
      </c>
      <c r="DP161" s="18">
        <f>DO161*VLOOKUP('Données projet'!$B$14,Paramètres!$A$1:$I$89,3,0)*VLOOKUP('Données projet'!$B$14,Paramètres!$A$1:$I$89,5,0)</f>
        <v>-1.223725121235475E-13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661.93515988633499</v>
      </c>
      <c r="DU161" s="60">
        <f t="shared" si="152"/>
        <v>341.9250949809848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>
        <f>EJ161*VLOOKUP('Données projet'!$B$15,Paramètres!$A$1:$I$89,3,0)*VLOOKUP('Données projet'!$B$15,Paramètres!$A$1:$I$89,5,0)</f>
        <v>0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396.0878652679051</v>
      </c>
      <c r="EP161" s="60">
        <f t="shared" si="154"/>
        <v>327.26339199235406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-5.6843418860808015E-14</v>
      </c>
      <c r="FF161" s="18">
        <f>FE161*VLOOKUP('Données projet'!$B$16,Paramètres!$A$1:$I$89,3,0)*VLOOKUP('Données projet'!$B$16,Paramètres!$A$1:$I$89,5,0)</f>
        <v>-4.1677594708744434E-14</v>
      </c>
      <c r="FG161" s="14" t="e">
        <f t="shared" si="182"/>
        <v>#NUM!</v>
      </c>
      <c r="FH161" s="22" t="e">
        <f t="shared" si="183"/>
        <v>#NUM!</v>
      </c>
      <c r="FI161" s="60" t="e">
        <f t="shared" si="131"/>
        <v>#NUM!</v>
      </c>
      <c r="FJ161" s="60">
        <f ca="1">AVERAGE(OFFSET($FI$3,0,0,'Données projet'!$E$16+1,1))-AVERAGE(OFFSET($H$3,0,0,'Données projet'!$E$16+1,1))</f>
        <v>368.35775920359396</v>
      </c>
      <c r="FK161" s="60">
        <f t="shared" si="156"/>
        <v>395.5218438652638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-1.2505552149377763E-12</v>
      </c>
      <c r="GA161" s="18">
        <f>FZ161*VLOOKUP('Données projet'!$B$17,Paramètres!$A$1:$I$89,3,0)*VLOOKUP('Données projet'!$B$17,Paramètres!$A$1:$I$89,5,0)</f>
        <v>-1.0729763744166122E-12</v>
      </c>
      <c r="GB161" s="14" t="e">
        <f t="shared" si="185"/>
        <v>#NUM!</v>
      </c>
      <c r="GC161" s="22" t="e">
        <f t="shared" si="186"/>
        <v>#NUM!</v>
      </c>
      <c r="GD161" s="60" t="e">
        <f t="shared" si="134"/>
        <v>#NUM!</v>
      </c>
      <c r="GE161" s="60">
        <f ca="1">AVERAGE(OFFSET($GD$3,0,0,'Données projet'!$E$17+1,1))-AVERAGE(OFFSET($H$3,0,0,'Données projet'!$E$17+1,1))</f>
        <v>701.44583662096022</v>
      </c>
      <c r="GF161" s="60">
        <f t="shared" si="158"/>
        <v>331.25104323342907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-1.1368683772161603E-13</v>
      </c>
      <c r="GV161" s="18">
        <f>GU161*VLOOKUP('Données projet'!$B$18,Paramètres!$A$1:$I$89,3,0)*VLOOKUP('Données projet'!$B$18,Paramètres!$A$1:$I$89,5,0)</f>
        <v>-9.2222762759774927E-14</v>
      </c>
      <c r="GW161" s="14" t="e">
        <f t="shared" si="188"/>
        <v>#NUM!</v>
      </c>
      <c r="GX161" s="22" t="e">
        <f t="shared" si="189"/>
        <v>#NUM!</v>
      </c>
      <c r="GY161" s="60" t="e">
        <f t="shared" si="137"/>
        <v>#NUM!</v>
      </c>
      <c r="GZ161" s="60">
        <f ca="1">AVERAGE(OFFSET($GY$3,0,0,'Données projet'!$E$18+1,1))-AVERAGE(OFFSET($H$3,0,0,'Données projet'!$E$18+1,1))</f>
        <v>272.69564942740931</v>
      </c>
      <c r="HA161" s="60">
        <f t="shared" si="160"/>
        <v>316.57989180609252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25">
      <c r="A162" s="11">
        <f t="shared" si="161"/>
        <v>159</v>
      </c>
      <c r="B162" s="75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8">
        <f t="shared" si="110"/>
        <v>183.33333333333334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-1.0286385077051818E-13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570.08763950759544</v>
      </c>
      <c r="T162" s="60">
        <f t="shared" si="142"/>
        <v>297.32483725004136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-4.5224624045658861E-14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394.49874384716014</v>
      </c>
      <c r="AO162" s="60">
        <f t="shared" si="144"/>
        <v>423.72519584013378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5.4092197387944907E-14</v>
      </c>
      <c r="BF162" s="14">
        <f t="shared" si="167"/>
        <v>8.7287050538073676E-13</v>
      </c>
      <c r="BG162" s="22">
        <f t="shared" si="168"/>
        <v>1.6144600406554537E-12</v>
      </c>
      <c r="BH162" s="60">
        <f t="shared" si="116"/>
        <v>287.66066955837056</v>
      </c>
      <c r="BI162" s="60">
        <f ca="1">AVERAGE(OFFSET($BH$3,0,0,'Données projet'!$E$11+1,1))-AVERAGE(OFFSET($H$3,0,0,'Données projet'!$E$11+1,1))</f>
        <v>441.15969139782891</v>
      </c>
      <c r="BJ162" s="60">
        <f t="shared" si="146"/>
        <v>315.06466790224783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8.8675733422860506E-14</v>
      </c>
      <c r="CA162" s="14">
        <f t="shared" si="170"/>
        <v>1.3509285393066301E-12</v>
      </c>
      <c r="CB162" s="22">
        <f t="shared" si="171"/>
        <v>2.5073107750038623E-12</v>
      </c>
      <c r="CC162" s="60">
        <f t="shared" si="119"/>
        <v>287.66066955837147</v>
      </c>
      <c r="CD162" s="60">
        <f ca="1">AVERAGE(OFFSET($CC$3,0,0,'Données projet'!$E$12+1,1))-AVERAGE(OFFSET($H$3,0,0,'Données projet'!$E$12+1,1))</f>
        <v>312.59632808777332</v>
      </c>
      <c r="CE162" s="60">
        <f t="shared" si="148"/>
        <v>302.59481222418219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-1.1368683772161603E-13</v>
      </c>
      <c r="CU162" s="18">
        <f>CT162*VLOOKUP('Données projet'!$B$13,Paramètres!$A$1:$I$89,3,0)*VLOOKUP('Données projet'!$B$13,Paramètres!$A$1:$I$89,5,0)</f>
        <v>-1.0995790944434703E-13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603.52431522262032</v>
      </c>
      <c r="CZ162" s="60">
        <f t="shared" si="150"/>
        <v>313.56299786481338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-1.1368683772161603E-13</v>
      </c>
      <c r="DP162" s="18">
        <f>DO162*VLOOKUP('Données projet'!$B$14,Paramètres!$A$1:$I$89,3,0)*VLOOKUP('Données projet'!$B$14,Paramètres!$A$1:$I$89,5,0)</f>
        <v>-1.223725121235475E-13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661.93515988633499</v>
      </c>
      <c r="DU162" s="60">
        <f t="shared" si="152"/>
        <v>341.9250949809848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>
        <f>EJ162*VLOOKUP('Données projet'!$B$15,Paramètres!$A$1:$I$89,3,0)*VLOOKUP('Données projet'!$B$15,Paramètres!$A$1:$I$89,5,0)</f>
        <v>0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396.0878652679051</v>
      </c>
      <c r="EP162" s="60">
        <f t="shared" si="154"/>
        <v>327.26339199235406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-5.6843418860808015E-14</v>
      </c>
      <c r="FF162" s="18">
        <f>FE162*VLOOKUP('Données projet'!$B$16,Paramètres!$A$1:$I$89,3,0)*VLOOKUP('Données projet'!$B$16,Paramètres!$A$1:$I$89,5,0)</f>
        <v>-4.1677594708744434E-14</v>
      </c>
      <c r="FG162" s="14" t="e">
        <f t="shared" si="182"/>
        <v>#NUM!</v>
      </c>
      <c r="FH162" s="22" t="e">
        <f t="shared" si="183"/>
        <v>#NUM!</v>
      </c>
      <c r="FI162" s="60" t="e">
        <f t="shared" si="131"/>
        <v>#NUM!</v>
      </c>
      <c r="FJ162" s="60">
        <f ca="1">AVERAGE(OFFSET($FI$3,0,0,'Données projet'!$E$16+1,1))-AVERAGE(OFFSET($H$3,0,0,'Données projet'!$E$16+1,1))</f>
        <v>368.35775920359396</v>
      </c>
      <c r="FK162" s="60">
        <f t="shared" si="156"/>
        <v>395.5218438652638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-1.2505552149377763E-12</v>
      </c>
      <c r="GA162" s="18">
        <f>FZ162*VLOOKUP('Données projet'!$B$17,Paramètres!$A$1:$I$89,3,0)*VLOOKUP('Données projet'!$B$17,Paramètres!$A$1:$I$89,5,0)</f>
        <v>-1.0729763744166122E-12</v>
      </c>
      <c r="GB162" s="14" t="e">
        <f t="shared" si="185"/>
        <v>#NUM!</v>
      </c>
      <c r="GC162" s="22" t="e">
        <f t="shared" si="186"/>
        <v>#NUM!</v>
      </c>
      <c r="GD162" s="60" t="e">
        <f t="shared" si="134"/>
        <v>#NUM!</v>
      </c>
      <c r="GE162" s="60">
        <f ca="1">AVERAGE(OFFSET($GD$3,0,0,'Données projet'!$E$17+1,1))-AVERAGE(OFFSET($H$3,0,0,'Données projet'!$E$17+1,1))</f>
        <v>701.44583662096022</v>
      </c>
      <c r="GF162" s="60">
        <f t="shared" si="158"/>
        <v>331.25104323342907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-1.1368683772161603E-13</v>
      </c>
      <c r="GV162" s="18">
        <f>GU162*VLOOKUP('Données projet'!$B$18,Paramètres!$A$1:$I$89,3,0)*VLOOKUP('Données projet'!$B$18,Paramètres!$A$1:$I$89,5,0)</f>
        <v>-9.2222762759774927E-14</v>
      </c>
      <c r="GW162" s="14" t="e">
        <f t="shared" si="188"/>
        <v>#NUM!</v>
      </c>
      <c r="GX162" s="22" t="e">
        <f t="shared" si="189"/>
        <v>#NUM!</v>
      </c>
      <c r="GY162" s="60" t="e">
        <f t="shared" si="137"/>
        <v>#NUM!</v>
      </c>
      <c r="GZ162" s="60">
        <f ca="1">AVERAGE(OFFSET($GY$3,0,0,'Données projet'!$E$18+1,1))-AVERAGE(OFFSET($H$3,0,0,'Données projet'!$E$18+1,1))</f>
        <v>272.69564942740931</v>
      </c>
      <c r="HA162" s="60">
        <f t="shared" si="160"/>
        <v>316.57989180609252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25">
      <c r="A163" s="11">
        <f t="shared" si="161"/>
        <v>160</v>
      </c>
      <c r="B163" s="75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8">
        <f t="shared" si="110"/>
        <v>183.33333333333334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-1.0286385077051818E-13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570.08763950759544</v>
      </c>
      <c r="T163" s="60">
        <f t="shared" si="142"/>
        <v>297.32483725004136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-4.5224624045658861E-14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394.49874384716014</v>
      </c>
      <c r="AO163" s="60">
        <f t="shared" si="144"/>
        <v>423.72519584013378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5.4092197387944907E-14</v>
      </c>
      <c r="BF163" s="14">
        <f t="shared" si="167"/>
        <v>8.7287050538073676E-13</v>
      </c>
      <c r="BG163" s="22">
        <f t="shared" si="168"/>
        <v>1.6144600406554537E-12</v>
      </c>
      <c r="BH163" s="60">
        <f t="shared" si="116"/>
        <v>287.75907759268995</v>
      </c>
      <c r="BI163" s="60">
        <f ca="1">AVERAGE(OFFSET($BH$3,0,0,'Données projet'!$E$11+1,1))-AVERAGE(OFFSET($H$3,0,0,'Données projet'!$E$11+1,1))</f>
        <v>441.15969139782891</v>
      </c>
      <c r="BJ163" s="60">
        <f t="shared" si="146"/>
        <v>315.06466790224783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8.8675733422860506E-14</v>
      </c>
      <c r="CA163" s="14">
        <f t="shared" si="170"/>
        <v>1.3509285393066301E-12</v>
      </c>
      <c r="CB163" s="22">
        <f t="shared" si="171"/>
        <v>2.5073107750038623E-12</v>
      </c>
      <c r="CC163" s="60">
        <f t="shared" si="119"/>
        <v>287.75907759269086</v>
      </c>
      <c r="CD163" s="60">
        <f ca="1">AVERAGE(OFFSET($CC$3,0,0,'Données projet'!$E$12+1,1))-AVERAGE(OFFSET($H$3,0,0,'Données projet'!$E$12+1,1))</f>
        <v>312.59632808777332</v>
      </c>
      <c r="CE163" s="60">
        <f t="shared" si="148"/>
        <v>302.59481222418219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-1.1368683772161603E-13</v>
      </c>
      <c r="CU163" s="18">
        <f>CT163*VLOOKUP('Données projet'!$B$13,Paramètres!$A$1:$I$89,3,0)*VLOOKUP('Données projet'!$B$13,Paramètres!$A$1:$I$89,5,0)</f>
        <v>-1.0995790944434703E-13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603.52431522262032</v>
      </c>
      <c r="CZ163" s="60">
        <f t="shared" si="150"/>
        <v>313.56299786481338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-1.1368683772161603E-13</v>
      </c>
      <c r="DP163" s="18">
        <f>DO163*VLOOKUP('Données projet'!$B$14,Paramètres!$A$1:$I$89,3,0)*VLOOKUP('Données projet'!$B$14,Paramètres!$A$1:$I$89,5,0)</f>
        <v>-1.223725121235475E-13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661.93515988633499</v>
      </c>
      <c r="DU163" s="60">
        <f t="shared" si="152"/>
        <v>341.9250949809848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>
        <f>EJ163*VLOOKUP('Données projet'!$B$15,Paramètres!$A$1:$I$89,3,0)*VLOOKUP('Données projet'!$B$15,Paramètres!$A$1:$I$89,5,0)</f>
        <v>0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396.0878652679051</v>
      </c>
      <c r="EP163" s="60">
        <f t="shared" si="154"/>
        <v>327.26339199235406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-5.6843418860808015E-14</v>
      </c>
      <c r="FF163" s="18">
        <f>FE163*VLOOKUP('Données projet'!$B$16,Paramètres!$A$1:$I$89,3,0)*VLOOKUP('Données projet'!$B$16,Paramètres!$A$1:$I$89,5,0)</f>
        <v>-4.1677594708744434E-14</v>
      </c>
      <c r="FG163" s="14" t="e">
        <f t="shared" si="182"/>
        <v>#NUM!</v>
      </c>
      <c r="FH163" s="22" t="e">
        <f t="shared" si="183"/>
        <v>#NUM!</v>
      </c>
      <c r="FI163" s="60" t="e">
        <f t="shared" si="131"/>
        <v>#NUM!</v>
      </c>
      <c r="FJ163" s="60">
        <f ca="1">AVERAGE(OFFSET($FI$3,0,0,'Données projet'!$E$16+1,1))-AVERAGE(OFFSET($H$3,0,0,'Données projet'!$E$16+1,1))</f>
        <v>368.35775920359396</v>
      </c>
      <c r="FK163" s="60">
        <f t="shared" si="156"/>
        <v>395.5218438652638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-1.2505552149377763E-12</v>
      </c>
      <c r="GA163" s="18">
        <f>FZ163*VLOOKUP('Données projet'!$B$17,Paramètres!$A$1:$I$89,3,0)*VLOOKUP('Données projet'!$B$17,Paramètres!$A$1:$I$89,5,0)</f>
        <v>-1.0729763744166122E-12</v>
      </c>
      <c r="GB163" s="14" t="e">
        <f t="shared" si="185"/>
        <v>#NUM!</v>
      </c>
      <c r="GC163" s="22" t="e">
        <f t="shared" si="186"/>
        <v>#NUM!</v>
      </c>
      <c r="GD163" s="60" t="e">
        <f t="shared" si="134"/>
        <v>#NUM!</v>
      </c>
      <c r="GE163" s="60">
        <f ca="1">AVERAGE(OFFSET($GD$3,0,0,'Données projet'!$E$17+1,1))-AVERAGE(OFFSET($H$3,0,0,'Données projet'!$E$17+1,1))</f>
        <v>701.44583662096022</v>
      </c>
      <c r="GF163" s="60">
        <f t="shared" si="158"/>
        <v>331.25104323342907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-1.1368683772161603E-13</v>
      </c>
      <c r="GV163" s="18">
        <f>GU163*VLOOKUP('Données projet'!$B$18,Paramètres!$A$1:$I$89,3,0)*VLOOKUP('Données projet'!$B$18,Paramètres!$A$1:$I$89,5,0)</f>
        <v>-9.2222762759774927E-14</v>
      </c>
      <c r="GW163" s="14" t="e">
        <f t="shared" si="188"/>
        <v>#NUM!</v>
      </c>
      <c r="GX163" s="22" t="e">
        <f t="shared" si="189"/>
        <v>#NUM!</v>
      </c>
      <c r="GY163" s="60" t="e">
        <f t="shared" si="137"/>
        <v>#NUM!</v>
      </c>
      <c r="GZ163" s="60">
        <f ca="1">AVERAGE(OFFSET($GY$3,0,0,'Données projet'!$E$18+1,1))-AVERAGE(OFFSET($H$3,0,0,'Données projet'!$E$18+1,1))</f>
        <v>272.69564942740931</v>
      </c>
      <c r="HA163" s="60">
        <f t="shared" si="160"/>
        <v>316.57989180609252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25">
      <c r="A164" s="11">
        <f t="shared" si="161"/>
        <v>161</v>
      </c>
      <c r="B164" s="75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8">
        <f t="shared" si="110"/>
        <v>183.33333333333334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-1.0286385077051818E-13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570.08763950759544</v>
      </c>
      <c r="T164" s="60">
        <f t="shared" si="142"/>
        <v>297.32483725004136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-4.5224624045658861E-14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394.49874384716014</v>
      </c>
      <c r="AO164" s="60">
        <f t="shared" si="144"/>
        <v>423.72519584013378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5.4092197387944907E-14</v>
      </c>
      <c r="BF164" s="14">
        <f t="shared" si="167"/>
        <v>8.7287050538073676E-13</v>
      </c>
      <c r="BG164" s="22">
        <f t="shared" si="168"/>
        <v>1.6144600406554537E-12</v>
      </c>
      <c r="BH164" s="60">
        <f t="shared" si="116"/>
        <v>287.85577846762129</v>
      </c>
      <c r="BI164" s="60">
        <f ca="1">AVERAGE(OFFSET($BH$3,0,0,'Données projet'!$E$11+1,1))-AVERAGE(OFFSET($H$3,0,0,'Données projet'!$E$11+1,1))</f>
        <v>441.15969139782891</v>
      </c>
      <c r="BJ164" s="60">
        <f t="shared" si="146"/>
        <v>315.06466790224783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8.8675733422860506E-14</v>
      </c>
      <c r="CA164" s="14">
        <f t="shared" si="170"/>
        <v>1.3509285393066301E-12</v>
      </c>
      <c r="CB164" s="22">
        <f t="shared" si="171"/>
        <v>2.5073107750038623E-12</v>
      </c>
      <c r="CC164" s="60">
        <f t="shared" si="119"/>
        <v>287.8557784676222</v>
      </c>
      <c r="CD164" s="60">
        <f ca="1">AVERAGE(OFFSET($CC$3,0,0,'Données projet'!$E$12+1,1))-AVERAGE(OFFSET($H$3,0,0,'Données projet'!$E$12+1,1))</f>
        <v>312.59632808777332</v>
      </c>
      <c r="CE164" s="60">
        <f t="shared" si="148"/>
        <v>302.59481222418219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-1.1368683772161603E-13</v>
      </c>
      <c r="CU164" s="18">
        <f>CT164*VLOOKUP('Données projet'!$B$13,Paramètres!$A$1:$I$89,3,0)*VLOOKUP('Données projet'!$B$13,Paramètres!$A$1:$I$89,5,0)</f>
        <v>-1.0995790944434703E-13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603.52431522262032</v>
      </c>
      <c r="CZ164" s="60">
        <f t="shared" si="150"/>
        <v>313.56299786481338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-1.1368683772161603E-13</v>
      </c>
      <c r="DP164" s="18">
        <f>DO164*VLOOKUP('Données projet'!$B$14,Paramètres!$A$1:$I$89,3,0)*VLOOKUP('Données projet'!$B$14,Paramètres!$A$1:$I$89,5,0)</f>
        <v>-1.223725121235475E-13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661.93515988633499</v>
      </c>
      <c r="DU164" s="60">
        <f t="shared" si="152"/>
        <v>341.9250949809848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>
        <f>EJ164*VLOOKUP('Données projet'!$B$15,Paramètres!$A$1:$I$89,3,0)*VLOOKUP('Données projet'!$B$15,Paramètres!$A$1:$I$89,5,0)</f>
        <v>0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396.0878652679051</v>
      </c>
      <c r="EP164" s="60">
        <f t="shared" si="154"/>
        <v>327.26339199235406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-5.6843418860808015E-14</v>
      </c>
      <c r="FF164" s="18">
        <f>FE164*VLOOKUP('Données projet'!$B$16,Paramètres!$A$1:$I$89,3,0)*VLOOKUP('Données projet'!$B$16,Paramètres!$A$1:$I$89,5,0)</f>
        <v>-4.1677594708744434E-14</v>
      </c>
      <c r="FG164" s="14" t="e">
        <f t="shared" si="182"/>
        <v>#NUM!</v>
      </c>
      <c r="FH164" s="22" t="e">
        <f t="shared" si="183"/>
        <v>#NUM!</v>
      </c>
      <c r="FI164" s="60" t="e">
        <f t="shared" si="131"/>
        <v>#NUM!</v>
      </c>
      <c r="FJ164" s="60">
        <f ca="1">AVERAGE(OFFSET($FI$3,0,0,'Données projet'!$E$16+1,1))-AVERAGE(OFFSET($H$3,0,0,'Données projet'!$E$16+1,1))</f>
        <v>368.35775920359396</v>
      </c>
      <c r="FK164" s="60">
        <f t="shared" si="156"/>
        <v>395.5218438652638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-1.2505552149377763E-12</v>
      </c>
      <c r="GA164" s="18">
        <f>FZ164*VLOOKUP('Données projet'!$B$17,Paramètres!$A$1:$I$89,3,0)*VLOOKUP('Données projet'!$B$17,Paramètres!$A$1:$I$89,5,0)</f>
        <v>-1.0729763744166122E-12</v>
      </c>
      <c r="GB164" s="14" t="e">
        <f t="shared" si="185"/>
        <v>#NUM!</v>
      </c>
      <c r="GC164" s="22" t="e">
        <f t="shared" si="186"/>
        <v>#NUM!</v>
      </c>
      <c r="GD164" s="60" t="e">
        <f t="shared" si="134"/>
        <v>#NUM!</v>
      </c>
      <c r="GE164" s="60">
        <f ca="1">AVERAGE(OFFSET($GD$3,0,0,'Données projet'!$E$17+1,1))-AVERAGE(OFFSET($H$3,0,0,'Données projet'!$E$17+1,1))</f>
        <v>701.44583662096022</v>
      </c>
      <c r="GF164" s="60">
        <f t="shared" si="158"/>
        <v>331.25104323342907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-1.1368683772161603E-13</v>
      </c>
      <c r="GV164" s="18">
        <f>GU164*VLOOKUP('Données projet'!$B$18,Paramètres!$A$1:$I$89,3,0)*VLOOKUP('Données projet'!$B$18,Paramètres!$A$1:$I$89,5,0)</f>
        <v>-9.2222762759774927E-14</v>
      </c>
      <c r="GW164" s="14" t="e">
        <f t="shared" si="188"/>
        <v>#NUM!</v>
      </c>
      <c r="GX164" s="22" t="e">
        <f t="shared" si="189"/>
        <v>#NUM!</v>
      </c>
      <c r="GY164" s="60" t="e">
        <f t="shared" si="137"/>
        <v>#NUM!</v>
      </c>
      <c r="GZ164" s="60">
        <f ca="1">AVERAGE(OFFSET($GY$3,0,0,'Données projet'!$E$18+1,1))-AVERAGE(OFFSET($H$3,0,0,'Données projet'!$E$18+1,1))</f>
        <v>272.69564942740931</v>
      </c>
      <c r="HA164" s="60">
        <f t="shared" si="160"/>
        <v>316.57989180609252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25">
      <c r="A165" s="11">
        <f t="shared" si="161"/>
        <v>162</v>
      </c>
      <c r="B165" s="75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8">
        <f t="shared" si="110"/>
        <v>183.33333333333334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-1.0286385077051818E-13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570.08763950759544</v>
      </c>
      <c r="T165" s="60">
        <f t="shared" si="142"/>
        <v>297.32483725004136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-4.5224624045658861E-14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394.49874384716014</v>
      </c>
      <c r="AO165" s="60">
        <f t="shared" si="144"/>
        <v>423.72519584013378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5.4092197387944907E-14</v>
      </c>
      <c r="BF165" s="14">
        <f t="shared" si="167"/>
        <v>8.7287050538073676E-13</v>
      </c>
      <c r="BG165" s="22">
        <f t="shared" si="168"/>
        <v>1.6144600406554537E-12</v>
      </c>
      <c r="BH165" s="60">
        <f t="shared" si="116"/>
        <v>287.9508017985633</v>
      </c>
      <c r="BI165" s="60">
        <f ca="1">AVERAGE(OFFSET($BH$3,0,0,'Données projet'!$E$11+1,1))-AVERAGE(OFFSET($H$3,0,0,'Données projet'!$E$11+1,1))</f>
        <v>441.15969139782891</v>
      </c>
      <c r="BJ165" s="60">
        <f t="shared" si="146"/>
        <v>315.06466790224783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8.8675733422860506E-14</v>
      </c>
      <c r="CA165" s="14">
        <f t="shared" si="170"/>
        <v>1.3509285393066301E-12</v>
      </c>
      <c r="CB165" s="22">
        <f t="shared" si="171"/>
        <v>2.5073107750038623E-12</v>
      </c>
      <c r="CC165" s="60">
        <f t="shared" si="119"/>
        <v>287.95080179856421</v>
      </c>
      <c r="CD165" s="60">
        <f ca="1">AVERAGE(OFFSET($CC$3,0,0,'Données projet'!$E$12+1,1))-AVERAGE(OFFSET($H$3,0,0,'Données projet'!$E$12+1,1))</f>
        <v>312.59632808777332</v>
      </c>
      <c r="CE165" s="60">
        <f t="shared" si="148"/>
        <v>302.59481222418219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-1.1368683772161603E-13</v>
      </c>
      <c r="CU165" s="18">
        <f>CT165*VLOOKUP('Données projet'!$B$13,Paramètres!$A$1:$I$89,3,0)*VLOOKUP('Données projet'!$B$13,Paramètres!$A$1:$I$89,5,0)</f>
        <v>-1.0995790944434703E-13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603.52431522262032</v>
      </c>
      <c r="CZ165" s="60">
        <f t="shared" si="150"/>
        <v>313.56299786481338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-1.1368683772161603E-13</v>
      </c>
      <c r="DP165" s="18">
        <f>DO165*VLOOKUP('Données projet'!$B$14,Paramètres!$A$1:$I$89,3,0)*VLOOKUP('Données projet'!$B$14,Paramètres!$A$1:$I$89,5,0)</f>
        <v>-1.223725121235475E-13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661.93515988633499</v>
      </c>
      <c r="DU165" s="60">
        <f t="shared" si="152"/>
        <v>341.9250949809848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>
        <f>EJ165*VLOOKUP('Données projet'!$B$15,Paramètres!$A$1:$I$89,3,0)*VLOOKUP('Données projet'!$B$15,Paramètres!$A$1:$I$89,5,0)</f>
        <v>0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396.0878652679051</v>
      </c>
      <c r="EP165" s="60">
        <f t="shared" si="154"/>
        <v>327.26339199235406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-5.6843418860808015E-14</v>
      </c>
      <c r="FF165" s="18">
        <f>FE165*VLOOKUP('Données projet'!$B$16,Paramètres!$A$1:$I$89,3,0)*VLOOKUP('Données projet'!$B$16,Paramètres!$A$1:$I$89,5,0)</f>
        <v>-4.1677594708744434E-14</v>
      </c>
      <c r="FG165" s="14" t="e">
        <f t="shared" si="182"/>
        <v>#NUM!</v>
      </c>
      <c r="FH165" s="22" t="e">
        <f t="shared" si="183"/>
        <v>#NUM!</v>
      </c>
      <c r="FI165" s="60" t="e">
        <f t="shared" si="131"/>
        <v>#NUM!</v>
      </c>
      <c r="FJ165" s="60">
        <f ca="1">AVERAGE(OFFSET($FI$3,0,0,'Données projet'!$E$16+1,1))-AVERAGE(OFFSET($H$3,0,0,'Données projet'!$E$16+1,1))</f>
        <v>368.35775920359396</v>
      </c>
      <c r="FK165" s="60">
        <f t="shared" si="156"/>
        <v>395.5218438652638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-1.2505552149377763E-12</v>
      </c>
      <c r="GA165" s="18">
        <f>FZ165*VLOOKUP('Données projet'!$B$17,Paramètres!$A$1:$I$89,3,0)*VLOOKUP('Données projet'!$B$17,Paramètres!$A$1:$I$89,5,0)</f>
        <v>-1.0729763744166122E-12</v>
      </c>
      <c r="GB165" s="14" t="e">
        <f t="shared" si="185"/>
        <v>#NUM!</v>
      </c>
      <c r="GC165" s="22" t="e">
        <f t="shared" si="186"/>
        <v>#NUM!</v>
      </c>
      <c r="GD165" s="60" t="e">
        <f t="shared" si="134"/>
        <v>#NUM!</v>
      </c>
      <c r="GE165" s="60">
        <f ca="1">AVERAGE(OFFSET($GD$3,0,0,'Données projet'!$E$17+1,1))-AVERAGE(OFFSET($H$3,0,0,'Données projet'!$E$17+1,1))</f>
        <v>701.44583662096022</v>
      </c>
      <c r="GF165" s="60">
        <f t="shared" si="158"/>
        <v>331.25104323342907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-1.1368683772161603E-13</v>
      </c>
      <c r="GV165" s="18">
        <f>GU165*VLOOKUP('Données projet'!$B$18,Paramètres!$A$1:$I$89,3,0)*VLOOKUP('Données projet'!$B$18,Paramètres!$A$1:$I$89,5,0)</f>
        <v>-9.2222762759774927E-14</v>
      </c>
      <c r="GW165" s="14" t="e">
        <f t="shared" si="188"/>
        <v>#NUM!</v>
      </c>
      <c r="GX165" s="22" t="e">
        <f t="shared" si="189"/>
        <v>#NUM!</v>
      </c>
      <c r="GY165" s="60" t="e">
        <f t="shared" si="137"/>
        <v>#NUM!</v>
      </c>
      <c r="GZ165" s="60">
        <f ca="1">AVERAGE(OFFSET($GY$3,0,0,'Données projet'!$E$18+1,1))-AVERAGE(OFFSET($H$3,0,0,'Données projet'!$E$18+1,1))</f>
        <v>272.69564942740931</v>
      </c>
      <c r="HA165" s="60">
        <f t="shared" si="160"/>
        <v>316.57989180609252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25">
      <c r="A166" s="11">
        <f t="shared" si="161"/>
        <v>163</v>
      </c>
      <c r="B166" s="75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8">
        <f t="shared" si="110"/>
        <v>183.33333333333334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-1.0286385077051818E-13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570.08763950759544</v>
      </c>
      <c r="T166" s="60">
        <f t="shared" si="142"/>
        <v>297.32483725004136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-4.5224624045658861E-14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394.49874384716014</v>
      </c>
      <c r="AO166" s="60">
        <f t="shared" si="144"/>
        <v>423.72519584013378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5.4092197387944907E-14</v>
      </c>
      <c r="BF166" s="14">
        <f t="shared" si="167"/>
        <v>8.7287050538073676E-13</v>
      </c>
      <c r="BG166" s="22">
        <f t="shared" si="168"/>
        <v>1.6144600406554537E-12</v>
      </c>
      <c r="BH166" s="60">
        <f t="shared" si="116"/>
        <v>288.04417668715382</v>
      </c>
      <c r="BI166" s="60">
        <f ca="1">AVERAGE(OFFSET($BH$3,0,0,'Données projet'!$E$11+1,1))-AVERAGE(OFFSET($H$3,0,0,'Données projet'!$E$11+1,1))</f>
        <v>441.15969139782891</v>
      </c>
      <c r="BJ166" s="60">
        <f t="shared" si="146"/>
        <v>315.06466790224783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8.8675733422860506E-14</v>
      </c>
      <c r="CA166" s="14">
        <f t="shared" si="170"/>
        <v>1.3509285393066301E-12</v>
      </c>
      <c r="CB166" s="22">
        <f t="shared" si="171"/>
        <v>2.5073107750038623E-12</v>
      </c>
      <c r="CC166" s="60">
        <f t="shared" si="119"/>
        <v>288.04417668715473</v>
      </c>
      <c r="CD166" s="60">
        <f ca="1">AVERAGE(OFFSET($CC$3,0,0,'Données projet'!$E$12+1,1))-AVERAGE(OFFSET($H$3,0,0,'Données projet'!$E$12+1,1))</f>
        <v>312.59632808777332</v>
      </c>
      <c r="CE166" s="60">
        <f t="shared" si="148"/>
        <v>302.59481222418219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-1.1368683772161603E-13</v>
      </c>
      <c r="CU166" s="18">
        <f>CT166*VLOOKUP('Données projet'!$B$13,Paramètres!$A$1:$I$89,3,0)*VLOOKUP('Données projet'!$B$13,Paramètres!$A$1:$I$89,5,0)</f>
        <v>-1.0995790944434703E-13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603.52431522262032</v>
      </c>
      <c r="CZ166" s="60">
        <f t="shared" si="150"/>
        <v>313.56299786481338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-1.1368683772161603E-13</v>
      </c>
      <c r="DP166" s="18">
        <f>DO166*VLOOKUP('Données projet'!$B$14,Paramètres!$A$1:$I$89,3,0)*VLOOKUP('Données projet'!$B$14,Paramètres!$A$1:$I$89,5,0)</f>
        <v>-1.223725121235475E-13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661.93515988633499</v>
      </c>
      <c r="DU166" s="60">
        <f t="shared" si="152"/>
        <v>341.9250949809848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>
        <f>EJ166*VLOOKUP('Données projet'!$B$15,Paramètres!$A$1:$I$89,3,0)*VLOOKUP('Données projet'!$B$15,Paramètres!$A$1:$I$89,5,0)</f>
        <v>0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396.0878652679051</v>
      </c>
      <c r="EP166" s="60">
        <f t="shared" si="154"/>
        <v>327.26339199235406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-5.6843418860808015E-14</v>
      </c>
      <c r="FF166" s="18">
        <f>FE166*VLOOKUP('Données projet'!$B$16,Paramètres!$A$1:$I$89,3,0)*VLOOKUP('Données projet'!$B$16,Paramètres!$A$1:$I$89,5,0)</f>
        <v>-4.1677594708744434E-14</v>
      </c>
      <c r="FG166" s="14" t="e">
        <f t="shared" si="182"/>
        <v>#NUM!</v>
      </c>
      <c r="FH166" s="22" t="e">
        <f t="shared" si="183"/>
        <v>#NUM!</v>
      </c>
      <c r="FI166" s="60" t="e">
        <f t="shared" si="131"/>
        <v>#NUM!</v>
      </c>
      <c r="FJ166" s="60">
        <f ca="1">AVERAGE(OFFSET($FI$3,0,0,'Données projet'!$E$16+1,1))-AVERAGE(OFFSET($H$3,0,0,'Données projet'!$E$16+1,1))</f>
        <v>368.35775920359396</v>
      </c>
      <c r="FK166" s="60">
        <f t="shared" si="156"/>
        <v>395.5218438652638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-1.2505552149377763E-12</v>
      </c>
      <c r="GA166" s="18">
        <f>FZ166*VLOOKUP('Données projet'!$B$17,Paramètres!$A$1:$I$89,3,0)*VLOOKUP('Données projet'!$B$17,Paramètres!$A$1:$I$89,5,0)</f>
        <v>-1.0729763744166122E-12</v>
      </c>
      <c r="GB166" s="14" t="e">
        <f t="shared" si="185"/>
        <v>#NUM!</v>
      </c>
      <c r="GC166" s="22" t="e">
        <f t="shared" si="186"/>
        <v>#NUM!</v>
      </c>
      <c r="GD166" s="60" t="e">
        <f t="shared" si="134"/>
        <v>#NUM!</v>
      </c>
      <c r="GE166" s="60">
        <f ca="1">AVERAGE(OFFSET($GD$3,0,0,'Données projet'!$E$17+1,1))-AVERAGE(OFFSET($H$3,0,0,'Données projet'!$E$17+1,1))</f>
        <v>701.44583662096022</v>
      </c>
      <c r="GF166" s="60">
        <f t="shared" si="158"/>
        <v>331.25104323342907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-1.1368683772161603E-13</v>
      </c>
      <c r="GV166" s="18">
        <f>GU166*VLOOKUP('Données projet'!$B$18,Paramètres!$A$1:$I$89,3,0)*VLOOKUP('Données projet'!$B$18,Paramètres!$A$1:$I$89,5,0)</f>
        <v>-9.2222762759774927E-14</v>
      </c>
      <c r="GW166" s="14" t="e">
        <f t="shared" si="188"/>
        <v>#NUM!</v>
      </c>
      <c r="GX166" s="22" t="e">
        <f t="shared" si="189"/>
        <v>#NUM!</v>
      </c>
      <c r="GY166" s="60" t="e">
        <f t="shared" si="137"/>
        <v>#NUM!</v>
      </c>
      <c r="GZ166" s="60">
        <f ca="1">AVERAGE(OFFSET($GY$3,0,0,'Données projet'!$E$18+1,1))-AVERAGE(OFFSET($H$3,0,0,'Données projet'!$E$18+1,1))</f>
        <v>272.69564942740931</v>
      </c>
      <c r="HA166" s="60">
        <f t="shared" si="160"/>
        <v>316.57989180609252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25">
      <c r="A167" s="11">
        <f t="shared" si="161"/>
        <v>164</v>
      </c>
      <c r="B167" s="75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8">
        <f t="shared" si="110"/>
        <v>183.33333333333334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-1.0286385077051818E-13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570.08763950759544</v>
      </c>
      <c r="T167" s="60">
        <f t="shared" si="142"/>
        <v>297.32483725004136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-4.5224624045658861E-14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394.49874384716014</v>
      </c>
      <c r="AO167" s="60">
        <f t="shared" si="144"/>
        <v>423.72519584013378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5.4092197387944907E-14</v>
      </c>
      <c r="BF167" s="14">
        <f t="shared" si="167"/>
        <v>8.7287050538073676E-13</v>
      </c>
      <c r="BG167" s="22">
        <f t="shared" si="168"/>
        <v>1.6144600406554537E-12</v>
      </c>
      <c r="BH167" s="60">
        <f t="shared" si="116"/>
        <v>288.13593173018228</v>
      </c>
      <c r="BI167" s="60">
        <f ca="1">AVERAGE(OFFSET($BH$3,0,0,'Données projet'!$E$11+1,1))-AVERAGE(OFFSET($H$3,0,0,'Données projet'!$E$11+1,1))</f>
        <v>441.15969139782891</v>
      </c>
      <c r="BJ167" s="60">
        <f t="shared" si="146"/>
        <v>315.06466790224783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8.8675733422860506E-14</v>
      </c>
      <c r="CA167" s="14">
        <f t="shared" si="170"/>
        <v>1.3509285393066301E-12</v>
      </c>
      <c r="CB167" s="22">
        <f t="shared" si="171"/>
        <v>2.5073107750038623E-12</v>
      </c>
      <c r="CC167" s="60">
        <f t="shared" si="119"/>
        <v>288.13593173018319</v>
      </c>
      <c r="CD167" s="60">
        <f ca="1">AVERAGE(OFFSET($CC$3,0,0,'Données projet'!$E$12+1,1))-AVERAGE(OFFSET($H$3,0,0,'Données projet'!$E$12+1,1))</f>
        <v>312.59632808777332</v>
      </c>
      <c r="CE167" s="60">
        <f t="shared" si="148"/>
        <v>302.59481222418219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-1.1368683772161603E-13</v>
      </c>
      <c r="CU167" s="18">
        <f>CT167*VLOOKUP('Données projet'!$B$13,Paramètres!$A$1:$I$89,3,0)*VLOOKUP('Données projet'!$B$13,Paramètres!$A$1:$I$89,5,0)</f>
        <v>-1.0995790944434703E-13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603.52431522262032</v>
      </c>
      <c r="CZ167" s="60">
        <f t="shared" si="150"/>
        <v>313.56299786481338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-1.1368683772161603E-13</v>
      </c>
      <c r="DP167" s="18">
        <f>DO167*VLOOKUP('Données projet'!$B$14,Paramètres!$A$1:$I$89,3,0)*VLOOKUP('Données projet'!$B$14,Paramètres!$A$1:$I$89,5,0)</f>
        <v>-1.223725121235475E-13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661.93515988633499</v>
      </c>
      <c r="DU167" s="60">
        <f t="shared" si="152"/>
        <v>341.9250949809848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>
        <f>EJ167*VLOOKUP('Données projet'!$B$15,Paramètres!$A$1:$I$89,3,0)*VLOOKUP('Données projet'!$B$15,Paramètres!$A$1:$I$89,5,0)</f>
        <v>0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396.0878652679051</v>
      </c>
      <c r="EP167" s="60">
        <f t="shared" si="154"/>
        <v>327.26339199235406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-5.6843418860808015E-14</v>
      </c>
      <c r="FF167" s="18">
        <f>FE167*VLOOKUP('Données projet'!$B$16,Paramètres!$A$1:$I$89,3,0)*VLOOKUP('Données projet'!$B$16,Paramètres!$A$1:$I$89,5,0)</f>
        <v>-4.1677594708744434E-14</v>
      </c>
      <c r="FG167" s="14" t="e">
        <f t="shared" si="182"/>
        <v>#NUM!</v>
      </c>
      <c r="FH167" s="22" t="e">
        <f t="shared" si="183"/>
        <v>#NUM!</v>
      </c>
      <c r="FI167" s="60" t="e">
        <f t="shared" si="131"/>
        <v>#NUM!</v>
      </c>
      <c r="FJ167" s="60">
        <f ca="1">AVERAGE(OFFSET($FI$3,0,0,'Données projet'!$E$16+1,1))-AVERAGE(OFFSET($H$3,0,0,'Données projet'!$E$16+1,1))</f>
        <v>368.35775920359396</v>
      </c>
      <c r="FK167" s="60">
        <f t="shared" si="156"/>
        <v>395.5218438652638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-1.2505552149377763E-12</v>
      </c>
      <c r="GA167" s="18">
        <f>FZ167*VLOOKUP('Données projet'!$B$17,Paramètres!$A$1:$I$89,3,0)*VLOOKUP('Données projet'!$B$17,Paramètres!$A$1:$I$89,5,0)</f>
        <v>-1.0729763744166122E-12</v>
      </c>
      <c r="GB167" s="14" t="e">
        <f t="shared" si="185"/>
        <v>#NUM!</v>
      </c>
      <c r="GC167" s="22" t="e">
        <f t="shared" si="186"/>
        <v>#NUM!</v>
      </c>
      <c r="GD167" s="60" t="e">
        <f t="shared" si="134"/>
        <v>#NUM!</v>
      </c>
      <c r="GE167" s="60">
        <f ca="1">AVERAGE(OFFSET($GD$3,0,0,'Données projet'!$E$17+1,1))-AVERAGE(OFFSET($H$3,0,0,'Données projet'!$E$17+1,1))</f>
        <v>701.44583662096022</v>
      </c>
      <c r="GF167" s="60">
        <f t="shared" si="158"/>
        <v>331.25104323342907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-1.1368683772161603E-13</v>
      </c>
      <c r="GV167" s="18">
        <f>GU167*VLOOKUP('Données projet'!$B$18,Paramètres!$A$1:$I$89,3,0)*VLOOKUP('Données projet'!$B$18,Paramètres!$A$1:$I$89,5,0)</f>
        <v>-9.2222762759774927E-14</v>
      </c>
      <c r="GW167" s="14" t="e">
        <f t="shared" si="188"/>
        <v>#NUM!</v>
      </c>
      <c r="GX167" s="22" t="e">
        <f t="shared" si="189"/>
        <v>#NUM!</v>
      </c>
      <c r="GY167" s="60" t="e">
        <f t="shared" si="137"/>
        <v>#NUM!</v>
      </c>
      <c r="GZ167" s="60">
        <f ca="1">AVERAGE(OFFSET($GY$3,0,0,'Données projet'!$E$18+1,1))-AVERAGE(OFFSET($H$3,0,0,'Données projet'!$E$18+1,1))</f>
        <v>272.69564942740931</v>
      </c>
      <c r="HA167" s="60">
        <f t="shared" si="160"/>
        <v>316.57989180609252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25">
      <c r="A168" s="11">
        <f t="shared" si="161"/>
        <v>165</v>
      </c>
      <c r="B168" s="75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8">
        <f t="shared" si="110"/>
        <v>183.33333333333334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-1.0286385077051818E-13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570.08763950759544</v>
      </c>
      <c r="T168" s="60">
        <f t="shared" si="142"/>
        <v>297.32483725004136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-4.5224624045658861E-14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394.49874384716014</v>
      </c>
      <c r="AO168" s="60">
        <f t="shared" si="144"/>
        <v>423.72519584013378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5.4092197387944907E-14</v>
      </c>
      <c r="BF168" s="14">
        <f t="shared" si="167"/>
        <v>8.7287050538073676E-13</v>
      </c>
      <c r="BG168" s="22">
        <f t="shared" si="168"/>
        <v>1.6144600406554537E-12</v>
      </c>
      <c r="BH168" s="60">
        <f t="shared" si="116"/>
        <v>288.22609502834774</v>
      </c>
      <c r="BI168" s="60">
        <f ca="1">AVERAGE(OFFSET($BH$3,0,0,'Données projet'!$E$11+1,1))-AVERAGE(OFFSET($H$3,0,0,'Données projet'!$E$11+1,1))</f>
        <v>441.15969139782891</v>
      </c>
      <c r="BJ168" s="60">
        <f t="shared" si="146"/>
        <v>315.06466790224783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8.8675733422860506E-14</v>
      </c>
      <c r="CA168" s="14">
        <f t="shared" si="170"/>
        <v>1.3509285393066301E-12</v>
      </c>
      <c r="CB168" s="22">
        <f t="shared" si="171"/>
        <v>2.5073107750038623E-12</v>
      </c>
      <c r="CC168" s="60">
        <f t="shared" si="119"/>
        <v>288.22609502834865</v>
      </c>
      <c r="CD168" s="60">
        <f ca="1">AVERAGE(OFFSET($CC$3,0,0,'Données projet'!$E$12+1,1))-AVERAGE(OFFSET($H$3,0,0,'Données projet'!$E$12+1,1))</f>
        <v>312.59632808777332</v>
      </c>
      <c r="CE168" s="60">
        <f t="shared" si="148"/>
        <v>302.59481222418219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-1.1368683772161603E-13</v>
      </c>
      <c r="CU168" s="18">
        <f>CT168*VLOOKUP('Données projet'!$B$13,Paramètres!$A$1:$I$89,3,0)*VLOOKUP('Données projet'!$B$13,Paramètres!$A$1:$I$89,5,0)</f>
        <v>-1.0995790944434703E-13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603.52431522262032</v>
      </c>
      <c r="CZ168" s="60">
        <f t="shared" si="150"/>
        <v>313.56299786481338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-1.1368683772161603E-13</v>
      </c>
      <c r="DP168" s="18">
        <f>DO168*VLOOKUP('Données projet'!$B$14,Paramètres!$A$1:$I$89,3,0)*VLOOKUP('Données projet'!$B$14,Paramètres!$A$1:$I$89,5,0)</f>
        <v>-1.223725121235475E-13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661.93515988633499</v>
      </c>
      <c r="DU168" s="60">
        <f t="shared" si="152"/>
        <v>341.9250949809848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>
        <f>EJ168*VLOOKUP('Données projet'!$B$15,Paramètres!$A$1:$I$89,3,0)*VLOOKUP('Données projet'!$B$15,Paramètres!$A$1:$I$89,5,0)</f>
        <v>0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396.0878652679051</v>
      </c>
      <c r="EP168" s="60">
        <f t="shared" si="154"/>
        <v>327.26339199235406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-5.6843418860808015E-14</v>
      </c>
      <c r="FF168" s="18">
        <f>FE168*VLOOKUP('Données projet'!$B$16,Paramètres!$A$1:$I$89,3,0)*VLOOKUP('Données projet'!$B$16,Paramètres!$A$1:$I$89,5,0)</f>
        <v>-4.1677594708744434E-14</v>
      </c>
      <c r="FG168" s="14" t="e">
        <f t="shared" si="182"/>
        <v>#NUM!</v>
      </c>
      <c r="FH168" s="22" t="e">
        <f t="shared" si="183"/>
        <v>#NUM!</v>
      </c>
      <c r="FI168" s="60" t="e">
        <f t="shared" si="131"/>
        <v>#NUM!</v>
      </c>
      <c r="FJ168" s="60">
        <f ca="1">AVERAGE(OFFSET($FI$3,0,0,'Données projet'!$E$16+1,1))-AVERAGE(OFFSET($H$3,0,0,'Données projet'!$E$16+1,1))</f>
        <v>368.35775920359396</v>
      </c>
      <c r="FK168" s="60">
        <f t="shared" si="156"/>
        <v>395.5218438652638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-1.2505552149377763E-12</v>
      </c>
      <c r="GA168" s="18">
        <f>FZ168*VLOOKUP('Données projet'!$B$17,Paramètres!$A$1:$I$89,3,0)*VLOOKUP('Données projet'!$B$17,Paramètres!$A$1:$I$89,5,0)</f>
        <v>-1.0729763744166122E-12</v>
      </c>
      <c r="GB168" s="14" t="e">
        <f t="shared" si="185"/>
        <v>#NUM!</v>
      </c>
      <c r="GC168" s="22" t="e">
        <f t="shared" si="186"/>
        <v>#NUM!</v>
      </c>
      <c r="GD168" s="60" t="e">
        <f t="shared" si="134"/>
        <v>#NUM!</v>
      </c>
      <c r="GE168" s="60">
        <f ca="1">AVERAGE(OFFSET($GD$3,0,0,'Données projet'!$E$17+1,1))-AVERAGE(OFFSET($H$3,0,0,'Données projet'!$E$17+1,1))</f>
        <v>701.44583662096022</v>
      </c>
      <c r="GF168" s="60">
        <f t="shared" si="158"/>
        <v>331.25104323342907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-1.1368683772161603E-13</v>
      </c>
      <c r="GV168" s="18">
        <f>GU168*VLOOKUP('Données projet'!$B$18,Paramètres!$A$1:$I$89,3,0)*VLOOKUP('Données projet'!$B$18,Paramètres!$A$1:$I$89,5,0)</f>
        <v>-9.2222762759774927E-14</v>
      </c>
      <c r="GW168" s="14" t="e">
        <f t="shared" si="188"/>
        <v>#NUM!</v>
      </c>
      <c r="GX168" s="22" t="e">
        <f t="shared" si="189"/>
        <v>#NUM!</v>
      </c>
      <c r="GY168" s="60" t="e">
        <f t="shared" si="137"/>
        <v>#NUM!</v>
      </c>
      <c r="GZ168" s="60">
        <f ca="1">AVERAGE(OFFSET($GY$3,0,0,'Données projet'!$E$18+1,1))-AVERAGE(OFFSET($H$3,0,0,'Données projet'!$E$18+1,1))</f>
        <v>272.69564942740931</v>
      </c>
      <c r="HA168" s="60">
        <f t="shared" si="160"/>
        <v>316.57989180609252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25">
      <c r="A169" s="11">
        <f t="shared" si="161"/>
        <v>166</v>
      </c>
      <c r="B169" s="75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8">
        <f t="shared" si="110"/>
        <v>183.33333333333334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-1.0286385077051818E-13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570.08763950759544</v>
      </c>
      <c r="T169" s="60">
        <f t="shared" si="142"/>
        <v>297.32483725004136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-4.5224624045658861E-14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394.49874384716014</v>
      </c>
      <c r="AO169" s="60">
        <f t="shared" si="144"/>
        <v>423.72519584013378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5.4092197387944907E-14</v>
      </c>
      <c r="BF169" s="14">
        <f t="shared" si="167"/>
        <v>8.7287050538073676E-13</v>
      </c>
      <c r="BG169" s="22">
        <f t="shared" si="168"/>
        <v>1.6144600406554537E-12</v>
      </c>
      <c r="BH169" s="60">
        <f t="shared" si="116"/>
        <v>288.31469419486501</v>
      </c>
      <c r="BI169" s="60">
        <f ca="1">AVERAGE(OFFSET($BH$3,0,0,'Données projet'!$E$11+1,1))-AVERAGE(OFFSET($H$3,0,0,'Données projet'!$E$11+1,1))</f>
        <v>441.15969139782891</v>
      </c>
      <c r="BJ169" s="60">
        <f t="shared" si="146"/>
        <v>315.06466790224783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8.8675733422860506E-14</v>
      </c>
      <c r="CA169" s="14">
        <f t="shared" si="170"/>
        <v>1.3509285393066301E-12</v>
      </c>
      <c r="CB169" s="22">
        <f t="shared" si="171"/>
        <v>2.5073107750038623E-12</v>
      </c>
      <c r="CC169" s="60">
        <f t="shared" si="119"/>
        <v>288.31469419486592</v>
      </c>
      <c r="CD169" s="60">
        <f ca="1">AVERAGE(OFFSET($CC$3,0,0,'Données projet'!$E$12+1,1))-AVERAGE(OFFSET($H$3,0,0,'Données projet'!$E$12+1,1))</f>
        <v>312.59632808777332</v>
      </c>
      <c r="CE169" s="60">
        <f t="shared" si="148"/>
        <v>302.59481222418219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-1.1368683772161603E-13</v>
      </c>
      <c r="CU169" s="18">
        <f>CT169*VLOOKUP('Données projet'!$B$13,Paramètres!$A$1:$I$89,3,0)*VLOOKUP('Données projet'!$B$13,Paramètres!$A$1:$I$89,5,0)</f>
        <v>-1.0995790944434703E-13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603.52431522262032</v>
      </c>
      <c r="CZ169" s="60">
        <f t="shared" si="150"/>
        <v>313.56299786481338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-1.1368683772161603E-13</v>
      </c>
      <c r="DP169" s="18">
        <f>DO169*VLOOKUP('Données projet'!$B$14,Paramètres!$A$1:$I$89,3,0)*VLOOKUP('Données projet'!$B$14,Paramètres!$A$1:$I$89,5,0)</f>
        <v>-1.223725121235475E-13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661.93515988633499</v>
      </c>
      <c r="DU169" s="60">
        <f t="shared" si="152"/>
        <v>341.9250949809848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>
        <f>EJ169*VLOOKUP('Données projet'!$B$15,Paramètres!$A$1:$I$89,3,0)*VLOOKUP('Données projet'!$B$15,Paramètres!$A$1:$I$89,5,0)</f>
        <v>0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396.0878652679051</v>
      </c>
      <c r="EP169" s="60">
        <f t="shared" si="154"/>
        <v>327.26339199235406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-5.6843418860808015E-14</v>
      </c>
      <c r="FF169" s="18">
        <f>FE169*VLOOKUP('Données projet'!$B$16,Paramètres!$A$1:$I$89,3,0)*VLOOKUP('Données projet'!$B$16,Paramètres!$A$1:$I$89,5,0)</f>
        <v>-4.1677594708744434E-14</v>
      </c>
      <c r="FG169" s="14" t="e">
        <f t="shared" si="182"/>
        <v>#NUM!</v>
      </c>
      <c r="FH169" s="22" t="e">
        <f t="shared" si="183"/>
        <v>#NUM!</v>
      </c>
      <c r="FI169" s="60" t="e">
        <f t="shared" si="131"/>
        <v>#NUM!</v>
      </c>
      <c r="FJ169" s="60">
        <f ca="1">AVERAGE(OFFSET($FI$3,0,0,'Données projet'!$E$16+1,1))-AVERAGE(OFFSET($H$3,0,0,'Données projet'!$E$16+1,1))</f>
        <v>368.35775920359396</v>
      </c>
      <c r="FK169" s="60">
        <f t="shared" si="156"/>
        <v>395.5218438652638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-1.2505552149377763E-12</v>
      </c>
      <c r="GA169" s="18">
        <f>FZ169*VLOOKUP('Données projet'!$B$17,Paramètres!$A$1:$I$89,3,0)*VLOOKUP('Données projet'!$B$17,Paramètres!$A$1:$I$89,5,0)</f>
        <v>-1.0729763744166122E-12</v>
      </c>
      <c r="GB169" s="14" t="e">
        <f t="shared" si="185"/>
        <v>#NUM!</v>
      </c>
      <c r="GC169" s="22" t="e">
        <f t="shared" si="186"/>
        <v>#NUM!</v>
      </c>
      <c r="GD169" s="60" t="e">
        <f t="shared" si="134"/>
        <v>#NUM!</v>
      </c>
      <c r="GE169" s="60">
        <f ca="1">AVERAGE(OFFSET($GD$3,0,0,'Données projet'!$E$17+1,1))-AVERAGE(OFFSET($H$3,0,0,'Données projet'!$E$17+1,1))</f>
        <v>701.44583662096022</v>
      </c>
      <c r="GF169" s="60">
        <f t="shared" si="158"/>
        <v>331.25104323342907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-1.1368683772161603E-13</v>
      </c>
      <c r="GV169" s="18">
        <f>GU169*VLOOKUP('Données projet'!$B$18,Paramètres!$A$1:$I$89,3,0)*VLOOKUP('Données projet'!$B$18,Paramètres!$A$1:$I$89,5,0)</f>
        <v>-9.2222762759774927E-14</v>
      </c>
      <c r="GW169" s="14" t="e">
        <f t="shared" si="188"/>
        <v>#NUM!</v>
      </c>
      <c r="GX169" s="22" t="e">
        <f t="shared" si="189"/>
        <v>#NUM!</v>
      </c>
      <c r="GY169" s="60" t="e">
        <f t="shared" si="137"/>
        <v>#NUM!</v>
      </c>
      <c r="GZ169" s="60">
        <f ca="1">AVERAGE(OFFSET($GY$3,0,0,'Données projet'!$E$18+1,1))-AVERAGE(OFFSET($H$3,0,0,'Données projet'!$E$18+1,1))</f>
        <v>272.69564942740931</v>
      </c>
      <c r="HA169" s="60">
        <f t="shared" si="160"/>
        <v>316.57989180609252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25">
      <c r="A170" s="11">
        <f t="shared" si="161"/>
        <v>167</v>
      </c>
      <c r="B170" s="75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8">
        <f t="shared" si="110"/>
        <v>183.33333333333334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-1.0286385077051818E-13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570.08763950759544</v>
      </c>
      <c r="T170" s="60">
        <f t="shared" si="142"/>
        <v>297.32483725004136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-4.5224624045658861E-14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394.49874384716014</v>
      </c>
      <c r="AO170" s="60">
        <f t="shared" si="144"/>
        <v>423.72519584013378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5.4092197387944907E-14</v>
      </c>
      <c r="BF170" s="14">
        <f t="shared" si="167"/>
        <v>8.7287050538073676E-13</v>
      </c>
      <c r="BG170" s="22">
        <f t="shared" si="168"/>
        <v>1.6144600406554537E-12</v>
      </c>
      <c r="BH170" s="60">
        <f t="shared" si="116"/>
        <v>288.40175636392121</v>
      </c>
      <c r="BI170" s="60">
        <f ca="1">AVERAGE(OFFSET($BH$3,0,0,'Données projet'!$E$11+1,1))-AVERAGE(OFFSET($H$3,0,0,'Données projet'!$E$11+1,1))</f>
        <v>441.15969139782891</v>
      </c>
      <c r="BJ170" s="60">
        <f t="shared" si="146"/>
        <v>315.06466790224783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8.8675733422860506E-14</v>
      </c>
      <c r="CA170" s="14">
        <f t="shared" si="170"/>
        <v>1.3509285393066301E-12</v>
      </c>
      <c r="CB170" s="22">
        <f t="shared" si="171"/>
        <v>2.5073107750038623E-12</v>
      </c>
      <c r="CC170" s="60">
        <f t="shared" si="119"/>
        <v>288.40175636392212</v>
      </c>
      <c r="CD170" s="60">
        <f ca="1">AVERAGE(OFFSET($CC$3,0,0,'Données projet'!$E$12+1,1))-AVERAGE(OFFSET($H$3,0,0,'Données projet'!$E$12+1,1))</f>
        <v>312.59632808777332</v>
      </c>
      <c r="CE170" s="60">
        <f t="shared" si="148"/>
        <v>302.59481222418219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-1.1368683772161603E-13</v>
      </c>
      <c r="CU170" s="18">
        <f>CT170*VLOOKUP('Données projet'!$B$13,Paramètres!$A$1:$I$89,3,0)*VLOOKUP('Données projet'!$B$13,Paramètres!$A$1:$I$89,5,0)</f>
        <v>-1.0995790944434703E-13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603.52431522262032</v>
      </c>
      <c r="CZ170" s="60">
        <f t="shared" si="150"/>
        <v>313.56299786481338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-1.1368683772161603E-13</v>
      </c>
      <c r="DP170" s="18">
        <f>DO170*VLOOKUP('Données projet'!$B$14,Paramètres!$A$1:$I$89,3,0)*VLOOKUP('Données projet'!$B$14,Paramètres!$A$1:$I$89,5,0)</f>
        <v>-1.223725121235475E-13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661.93515988633499</v>
      </c>
      <c r="DU170" s="60">
        <f t="shared" si="152"/>
        <v>341.9250949809848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>
        <f>EJ170*VLOOKUP('Données projet'!$B$15,Paramètres!$A$1:$I$89,3,0)*VLOOKUP('Données projet'!$B$15,Paramètres!$A$1:$I$89,5,0)</f>
        <v>0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396.0878652679051</v>
      </c>
      <c r="EP170" s="60">
        <f t="shared" si="154"/>
        <v>327.26339199235406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-5.6843418860808015E-14</v>
      </c>
      <c r="FF170" s="18">
        <f>FE170*VLOOKUP('Données projet'!$B$16,Paramètres!$A$1:$I$89,3,0)*VLOOKUP('Données projet'!$B$16,Paramètres!$A$1:$I$89,5,0)</f>
        <v>-4.1677594708744434E-14</v>
      </c>
      <c r="FG170" s="14" t="e">
        <f t="shared" si="182"/>
        <v>#NUM!</v>
      </c>
      <c r="FH170" s="22" t="e">
        <f t="shared" si="183"/>
        <v>#NUM!</v>
      </c>
      <c r="FI170" s="60" t="e">
        <f t="shared" si="131"/>
        <v>#NUM!</v>
      </c>
      <c r="FJ170" s="60">
        <f ca="1">AVERAGE(OFFSET($FI$3,0,0,'Données projet'!$E$16+1,1))-AVERAGE(OFFSET($H$3,0,0,'Données projet'!$E$16+1,1))</f>
        <v>368.35775920359396</v>
      </c>
      <c r="FK170" s="60">
        <f t="shared" si="156"/>
        <v>395.5218438652638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-1.2505552149377763E-12</v>
      </c>
      <c r="GA170" s="18">
        <f>FZ170*VLOOKUP('Données projet'!$B$17,Paramètres!$A$1:$I$89,3,0)*VLOOKUP('Données projet'!$B$17,Paramètres!$A$1:$I$89,5,0)</f>
        <v>-1.0729763744166122E-12</v>
      </c>
      <c r="GB170" s="14" t="e">
        <f t="shared" si="185"/>
        <v>#NUM!</v>
      </c>
      <c r="GC170" s="22" t="e">
        <f t="shared" si="186"/>
        <v>#NUM!</v>
      </c>
      <c r="GD170" s="60" t="e">
        <f t="shared" si="134"/>
        <v>#NUM!</v>
      </c>
      <c r="GE170" s="60">
        <f ca="1">AVERAGE(OFFSET($GD$3,0,0,'Données projet'!$E$17+1,1))-AVERAGE(OFFSET($H$3,0,0,'Données projet'!$E$17+1,1))</f>
        <v>701.44583662096022</v>
      </c>
      <c r="GF170" s="60">
        <f t="shared" si="158"/>
        <v>331.25104323342907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-1.1368683772161603E-13</v>
      </c>
      <c r="GV170" s="18">
        <f>GU170*VLOOKUP('Données projet'!$B$18,Paramètres!$A$1:$I$89,3,0)*VLOOKUP('Données projet'!$B$18,Paramètres!$A$1:$I$89,5,0)</f>
        <v>-9.2222762759774927E-14</v>
      </c>
      <c r="GW170" s="14" t="e">
        <f t="shared" si="188"/>
        <v>#NUM!</v>
      </c>
      <c r="GX170" s="22" t="e">
        <f t="shared" si="189"/>
        <v>#NUM!</v>
      </c>
      <c r="GY170" s="60" t="e">
        <f t="shared" si="137"/>
        <v>#NUM!</v>
      </c>
      <c r="GZ170" s="60">
        <f ca="1">AVERAGE(OFFSET($GY$3,0,0,'Données projet'!$E$18+1,1))-AVERAGE(OFFSET($H$3,0,0,'Données projet'!$E$18+1,1))</f>
        <v>272.69564942740931</v>
      </c>
      <c r="HA170" s="60">
        <f t="shared" si="160"/>
        <v>316.57989180609252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25">
      <c r="A171" s="11">
        <f t="shared" si="161"/>
        <v>168</v>
      </c>
      <c r="B171" s="75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8">
        <f t="shared" si="110"/>
        <v>183.33333333333334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-1.0286385077051818E-13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570.08763950759544</v>
      </c>
      <c r="T171" s="60">
        <f t="shared" si="142"/>
        <v>297.32483725004136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-4.5224624045658861E-14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394.49874384716014</v>
      </c>
      <c r="AO171" s="60">
        <f t="shared" si="144"/>
        <v>423.72519584013378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5.4092197387944907E-14</v>
      </c>
      <c r="BF171" s="14">
        <f t="shared" si="167"/>
        <v>8.7287050538073676E-13</v>
      </c>
      <c r="BG171" s="22">
        <f t="shared" si="168"/>
        <v>1.6144600406554537E-12</v>
      </c>
      <c r="BH171" s="60">
        <f t="shared" si="116"/>
        <v>288.48730819898611</v>
      </c>
      <c r="BI171" s="60">
        <f ca="1">AVERAGE(OFFSET($BH$3,0,0,'Données projet'!$E$11+1,1))-AVERAGE(OFFSET($H$3,0,0,'Données projet'!$E$11+1,1))</f>
        <v>441.15969139782891</v>
      </c>
      <c r="BJ171" s="60">
        <f t="shared" si="146"/>
        <v>315.06466790224783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8.8675733422860506E-14</v>
      </c>
      <c r="CA171" s="14">
        <f t="shared" si="170"/>
        <v>1.3509285393066301E-12</v>
      </c>
      <c r="CB171" s="22">
        <f t="shared" si="171"/>
        <v>2.5073107750038623E-12</v>
      </c>
      <c r="CC171" s="60">
        <f t="shared" si="119"/>
        <v>288.48730819898702</v>
      </c>
      <c r="CD171" s="60">
        <f ca="1">AVERAGE(OFFSET($CC$3,0,0,'Données projet'!$E$12+1,1))-AVERAGE(OFFSET($H$3,0,0,'Données projet'!$E$12+1,1))</f>
        <v>312.59632808777332</v>
      </c>
      <c r="CE171" s="60">
        <f t="shared" si="148"/>
        <v>302.59481222418219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-1.1368683772161603E-13</v>
      </c>
      <c r="CU171" s="18">
        <f>CT171*VLOOKUP('Données projet'!$B$13,Paramètres!$A$1:$I$89,3,0)*VLOOKUP('Données projet'!$B$13,Paramètres!$A$1:$I$89,5,0)</f>
        <v>-1.0995790944434703E-13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603.52431522262032</v>
      </c>
      <c r="CZ171" s="60">
        <f t="shared" si="150"/>
        <v>313.56299786481338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-1.1368683772161603E-13</v>
      </c>
      <c r="DP171" s="18">
        <f>DO171*VLOOKUP('Données projet'!$B$14,Paramètres!$A$1:$I$89,3,0)*VLOOKUP('Données projet'!$B$14,Paramètres!$A$1:$I$89,5,0)</f>
        <v>-1.223725121235475E-13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661.93515988633499</v>
      </c>
      <c r="DU171" s="60">
        <f t="shared" si="152"/>
        <v>341.9250949809848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>
        <f>EJ171*VLOOKUP('Données projet'!$B$15,Paramètres!$A$1:$I$89,3,0)*VLOOKUP('Données projet'!$B$15,Paramètres!$A$1:$I$89,5,0)</f>
        <v>0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396.0878652679051</v>
      </c>
      <c r="EP171" s="60">
        <f t="shared" si="154"/>
        <v>327.26339199235406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-5.6843418860808015E-14</v>
      </c>
      <c r="FF171" s="18">
        <f>FE171*VLOOKUP('Données projet'!$B$16,Paramètres!$A$1:$I$89,3,0)*VLOOKUP('Données projet'!$B$16,Paramètres!$A$1:$I$89,5,0)</f>
        <v>-4.1677594708744434E-14</v>
      </c>
      <c r="FG171" s="14" t="e">
        <f t="shared" si="182"/>
        <v>#NUM!</v>
      </c>
      <c r="FH171" s="22" t="e">
        <f t="shared" si="183"/>
        <v>#NUM!</v>
      </c>
      <c r="FI171" s="60" t="e">
        <f t="shared" si="131"/>
        <v>#NUM!</v>
      </c>
      <c r="FJ171" s="60">
        <f ca="1">AVERAGE(OFFSET($FI$3,0,0,'Données projet'!$E$16+1,1))-AVERAGE(OFFSET($H$3,0,0,'Données projet'!$E$16+1,1))</f>
        <v>368.35775920359396</v>
      </c>
      <c r="FK171" s="60">
        <f t="shared" si="156"/>
        <v>395.5218438652638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-1.2505552149377763E-12</v>
      </c>
      <c r="GA171" s="18">
        <f>FZ171*VLOOKUP('Données projet'!$B$17,Paramètres!$A$1:$I$89,3,0)*VLOOKUP('Données projet'!$B$17,Paramètres!$A$1:$I$89,5,0)</f>
        <v>-1.0729763744166122E-12</v>
      </c>
      <c r="GB171" s="14" t="e">
        <f t="shared" si="185"/>
        <v>#NUM!</v>
      </c>
      <c r="GC171" s="22" t="e">
        <f t="shared" si="186"/>
        <v>#NUM!</v>
      </c>
      <c r="GD171" s="60" t="e">
        <f t="shared" si="134"/>
        <v>#NUM!</v>
      </c>
      <c r="GE171" s="60">
        <f ca="1">AVERAGE(OFFSET($GD$3,0,0,'Données projet'!$E$17+1,1))-AVERAGE(OFFSET($H$3,0,0,'Données projet'!$E$17+1,1))</f>
        <v>701.44583662096022</v>
      </c>
      <c r="GF171" s="60">
        <f t="shared" si="158"/>
        <v>331.25104323342907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-1.1368683772161603E-13</v>
      </c>
      <c r="GV171" s="18">
        <f>GU171*VLOOKUP('Données projet'!$B$18,Paramètres!$A$1:$I$89,3,0)*VLOOKUP('Données projet'!$B$18,Paramètres!$A$1:$I$89,5,0)</f>
        <v>-9.2222762759774927E-14</v>
      </c>
      <c r="GW171" s="14" t="e">
        <f t="shared" si="188"/>
        <v>#NUM!</v>
      </c>
      <c r="GX171" s="22" t="e">
        <f t="shared" si="189"/>
        <v>#NUM!</v>
      </c>
      <c r="GY171" s="60" t="e">
        <f t="shared" si="137"/>
        <v>#NUM!</v>
      </c>
      <c r="GZ171" s="60">
        <f ca="1">AVERAGE(OFFSET($GY$3,0,0,'Données projet'!$E$18+1,1))-AVERAGE(OFFSET($H$3,0,0,'Données projet'!$E$18+1,1))</f>
        <v>272.69564942740931</v>
      </c>
      <c r="HA171" s="60">
        <f t="shared" si="160"/>
        <v>316.57989180609252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25">
      <c r="A172" s="11">
        <f t="shared" si="161"/>
        <v>169</v>
      </c>
      <c r="B172" s="75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8">
        <f t="shared" si="110"/>
        <v>183.33333333333334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-1.0286385077051818E-13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570.08763950759544</v>
      </c>
      <c r="T172" s="60">
        <f t="shared" si="142"/>
        <v>297.32483725004136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-4.5224624045658861E-14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394.49874384716014</v>
      </c>
      <c r="AO172" s="60">
        <f t="shared" si="144"/>
        <v>423.72519584013378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5.4092197387944907E-14</v>
      </c>
      <c r="BF172" s="14">
        <f t="shared" si="167"/>
        <v>8.7287050538073676E-13</v>
      </c>
      <c r="BG172" s="22">
        <f t="shared" si="168"/>
        <v>1.6144600406554537E-12</v>
      </c>
      <c r="BH172" s="60">
        <f t="shared" si="116"/>
        <v>288.57137590097801</v>
      </c>
      <c r="BI172" s="60">
        <f ca="1">AVERAGE(OFFSET($BH$3,0,0,'Données projet'!$E$11+1,1))-AVERAGE(OFFSET($H$3,0,0,'Données projet'!$E$11+1,1))</f>
        <v>441.15969139782891</v>
      </c>
      <c r="BJ172" s="60">
        <f t="shared" si="146"/>
        <v>315.06466790224783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8.8675733422860506E-14</v>
      </c>
      <c r="CA172" s="14">
        <f t="shared" si="170"/>
        <v>1.3509285393066301E-12</v>
      </c>
      <c r="CB172" s="22">
        <f t="shared" si="171"/>
        <v>2.5073107750038623E-12</v>
      </c>
      <c r="CC172" s="60">
        <f t="shared" si="119"/>
        <v>288.57137590097892</v>
      </c>
      <c r="CD172" s="60">
        <f ca="1">AVERAGE(OFFSET($CC$3,0,0,'Données projet'!$E$12+1,1))-AVERAGE(OFFSET($H$3,0,0,'Données projet'!$E$12+1,1))</f>
        <v>312.59632808777332</v>
      </c>
      <c r="CE172" s="60">
        <f t="shared" si="148"/>
        <v>302.59481222418219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-1.1368683772161603E-13</v>
      </c>
      <c r="CU172" s="18">
        <f>CT172*VLOOKUP('Données projet'!$B$13,Paramètres!$A$1:$I$89,3,0)*VLOOKUP('Données projet'!$B$13,Paramètres!$A$1:$I$89,5,0)</f>
        <v>-1.0995790944434703E-13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603.52431522262032</v>
      </c>
      <c r="CZ172" s="60">
        <f t="shared" si="150"/>
        <v>313.56299786481338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-1.1368683772161603E-13</v>
      </c>
      <c r="DP172" s="18">
        <f>DO172*VLOOKUP('Données projet'!$B$14,Paramètres!$A$1:$I$89,3,0)*VLOOKUP('Données projet'!$B$14,Paramètres!$A$1:$I$89,5,0)</f>
        <v>-1.223725121235475E-13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661.93515988633499</v>
      </c>
      <c r="DU172" s="60">
        <f t="shared" si="152"/>
        <v>341.9250949809848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>
        <f>EJ172*VLOOKUP('Données projet'!$B$15,Paramètres!$A$1:$I$89,3,0)*VLOOKUP('Données projet'!$B$15,Paramètres!$A$1:$I$89,5,0)</f>
        <v>0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396.0878652679051</v>
      </c>
      <c r="EP172" s="60">
        <f t="shared" si="154"/>
        <v>327.26339199235406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-5.6843418860808015E-14</v>
      </c>
      <c r="FF172" s="18">
        <f>FE172*VLOOKUP('Données projet'!$B$16,Paramètres!$A$1:$I$89,3,0)*VLOOKUP('Données projet'!$B$16,Paramètres!$A$1:$I$89,5,0)</f>
        <v>-4.1677594708744434E-14</v>
      </c>
      <c r="FG172" s="14" t="e">
        <f t="shared" si="182"/>
        <v>#NUM!</v>
      </c>
      <c r="FH172" s="22" t="e">
        <f t="shared" si="183"/>
        <v>#NUM!</v>
      </c>
      <c r="FI172" s="60" t="e">
        <f t="shared" si="131"/>
        <v>#NUM!</v>
      </c>
      <c r="FJ172" s="60">
        <f ca="1">AVERAGE(OFFSET($FI$3,0,0,'Données projet'!$E$16+1,1))-AVERAGE(OFFSET($H$3,0,0,'Données projet'!$E$16+1,1))</f>
        <v>368.35775920359396</v>
      </c>
      <c r="FK172" s="60">
        <f t="shared" si="156"/>
        <v>395.5218438652638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-1.2505552149377763E-12</v>
      </c>
      <c r="GA172" s="18">
        <f>FZ172*VLOOKUP('Données projet'!$B$17,Paramètres!$A$1:$I$89,3,0)*VLOOKUP('Données projet'!$B$17,Paramètres!$A$1:$I$89,5,0)</f>
        <v>-1.0729763744166122E-12</v>
      </c>
      <c r="GB172" s="14" t="e">
        <f t="shared" si="185"/>
        <v>#NUM!</v>
      </c>
      <c r="GC172" s="22" t="e">
        <f t="shared" si="186"/>
        <v>#NUM!</v>
      </c>
      <c r="GD172" s="60" t="e">
        <f t="shared" si="134"/>
        <v>#NUM!</v>
      </c>
      <c r="GE172" s="60">
        <f ca="1">AVERAGE(OFFSET($GD$3,0,0,'Données projet'!$E$17+1,1))-AVERAGE(OFFSET($H$3,0,0,'Données projet'!$E$17+1,1))</f>
        <v>701.44583662096022</v>
      </c>
      <c r="GF172" s="60">
        <f t="shared" si="158"/>
        <v>331.25104323342907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-1.1368683772161603E-13</v>
      </c>
      <c r="GV172" s="18">
        <f>GU172*VLOOKUP('Données projet'!$B$18,Paramètres!$A$1:$I$89,3,0)*VLOOKUP('Données projet'!$B$18,Paramètres!$A$1:$I$89,5,0)</f>
        <v>-9.2222762759774927E-14</v>
      </c>
      <c r="GW172" s="14" t="e">
        <f t="shared" si="188"/>
        <v>#NUM!</v>
      </c>
      <c r="GX172" s="22" t="e">
        <f t="shared" si="189"/>
        <v>#NUM!</v>
      </c>
      <c r="GY172" s="60" t="e">
        <f t="shared" si="137"/>
        <v>#NUM!</v>
      </c>
      <c r="GZ172" s="60">
        <f ca="1">AVERAGE(OFFSET($GY$3,0,0,'Données projet'!$E$18+1,1))-AVERAGE(OFFSET($H$3,0,0,'Données projet'!$E$18+1,1))</f>
        <v>272.69564942740931</v>
      </c>
      <c r="HA172" s="60">
        <f t="shared" si="160"/>
        <v>316.57989180609252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25">
      <c r="A173" s="11">
        <f t="shared" si="161"/>
        <v>170</v>
      </c>
      <c r="B173" s="75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8">
        <f t="shared" si="110"/>
        <v>183.33333333333334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-1.0286385077051818E-13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570.08763950759544</v>
      </c>
      <c r="T173" s="60">
        <f t="shared" si="142"/>
        <v>297.32483725004136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-4.5224624045658861E-14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394.49874384716014</v>
      </c>
      <c r="AO173" s="60">
        <f t="shared" si="144"/>
        <v>423.72519584013378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5.4092197387944907E-14</v>
      </c>
      <c r="BF173" s="14">
        <f t="shared" si="167"/>
        <v>8.7287050538073676E-13</v>
      </c>
      <c r="BG173" s="22">
        <f t="shared" si="168"/>
        <v>1.6144600406554537E-12</v>
      </c>
      <c r="BH173" s="60">
        <f t="shared" si="116"/>
        <v>288.65398521628748</v>
      </c>
      <c r="BI173" s="60">
        <f ca="1">AVERAGE(OFFSET($BH$3,0,0,'Données projet'!$E$11+1,1))-AVERAGE(OFFSET($H$3,0,0,'Données projet'!$E$11+1,1))</f>
        <v>441.15969139782891</v>
      </c>
      <c r="BJ173" s="60">
        <f t="shared" si="146"/>
        <v>315.06466790224783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8.8675733422860506E-14</v>
      </c>
      <c r="CA173" s="14">
        <f t="shared" si="170"/>
        <v>1.3509285393066301E-12</v>
      </c>
      <c r="CB173" s="22">
        <f t="shared" si="171"/>
        <v>2.5073107750038623E-12</v>
      </c>
      <c r="CC173" s="60">
        <f t="shared" si="119"/>
        <v>288.65398521628839</v>
      </c>
      <c r="CD173" s="60">
        <f ca="1">AVERAGE(OFFSET($CC$3,0,0,'Données projet'!$E$12+1,1))-AVERAGE(OFFSET($H$3,0,0,'Données projet'!$E$12+1,1))</f>
        <v>312.59632808777332</v>
      </c>
      <c r="CE173" s="60">
        <f t="shared" si="148"/>
        <v>302.59481222418219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-1.1368683772161603E-13</v>
      </c>
      <c r="CU173" s="18">
        <f>CT173*VLOOKUP('Données projet'!$B$13,Paramètres!$A$1:$I$89,3,0)*VLOOKUP('Données projet'!$B$13,Paramètres!$A$1:$I$89,5,0)</f>
        <v>-1.0995790944434703E-13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603.52431522262032</v>
      </c>
      <c r="CZ173" s="60">
        <f t="shared" si="150"/>
        <v>313.56299786481338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-1.1368683772161603E-13</v>
      </c>
      <c r="DP173" s="18">
        <f>DO173*VLOOKUP('Données projet'!$B$14,Paramètres!$A$1:$I$89,3,0)*VLOOKUP('Données projet'!$B$14,Paramètres!$A$1:$I$89,5,0)</f>
        <v>-1.223725121235475E-13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661.93515988633499</v>
      </c>
      <c r="DU173" s="60">
        <f t="shared" si="152"/>
        <v>341.9250949809848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>
        <f>EJ173*VLOOKUP('Données projet'!$B$15,Paramètres!$A$1:$I$89,3,0)*VLOOKUP('Données projet'!$B$15,Paramètres!$A$1:$I$89,5,0)</f>
        <v>0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396.0878652679051</v>
      </c>
      <c r="EP173" s="60">
        <f t="shared" si="154"/>
        <v>327.26339199235406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-5.6843418860808015E-14</v>
      </c>
      <c r="FF173" s="18">
        <f>FE173*VLOOKUP('Données projet'!$B$16,Paramètres!$A$1:$I$89,3,0)*VLOOKUP('Données projet'!$B$16,Paramètres!$A$1:$I$89,5,0)</f>
        <v>-4.1677594708744434E-14</v>
      </c>
      <c r="FG173" s="14" t="e">
        <f t="shared" si="182"/>
        <v>#NUM!</v>
      </c>
      <c r="FH173" s="22" t="e">
        <f t="shared" si="183"/>
        <v>#NUM!</v>
      </c>
      <c r="FI173" s="60" t="e">
        <f t="shared" si="131"/>
        <v>#NUM!</v>
      </c>
      <c r="FJ173" s="60">
        <f ca="1">AVERAGE(OFFSET($FI$3,0,0,'Données projet'!$E$16+1,1))-AVERAGE(OFFSET($H$3,0,0,'Données projet'!$E$16+1,1))</f>
        <v>368.35775920359396</v>
      </c>
      <c r="FK173" s="60">
        <f t="shared" si="156"/>
        <v>395.5218438652638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-1.2505552149377763E-12</v>
      </c>
      <c r="GA173" s="18">
        <f>FZ173*VLOOKUP('Données projet'!$B$17,Paramètres!$A$1:$I$89,3,0)*VLOOKUP('Données projet'!$B$17,Paramètres!$A$1:$I$89,5,0)</f>
        <v>-1.0729763744166122E-12</v>
      </c>
      <c r="GB173" s="14" t="e">
        <f t="shared" si="185"/>
        <v>#NUM!</v>
      </c>
      <c r="GC173" s="22" t="e">
        <f t="shared" si="186"/>
        <v>#NUM!</v>
      </c>
      <c r="GD173" s="60" t="e">
        <f t="shared" si="134"/>
        <v>#NUM!</v>
      </c>
      <c r="GE173" s="60">
        <f ca="1">AVERAGE(OFFSET($GD$3,0,0,'Données projet'!$E$17+1,1))-AVERAGE(OFFSET($H$3,0,0,'Données projet'!$E$17+1,1))</f>
        <v>701.44583662096022</v>
      </c>
      <c r="GF173" s="60">
        <f t="shared" si="158"/>
        <v>331.25104323342907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-1.1368683772161603E-13</v>
      </c>
      <c r="GV173" s="18">
        <f>GU173*VLOOKUP('Données projet'!$B$18,Paramètres!$A$1:$I$89,3,0)*VLOOKUP('Données projet'!$B$18,Paramètres!$A$1:$I$89,5,0)</f>
        <v>-9.2222762759774927E-14</v>
      </c>
      <c r="GW173" s="14" t="e">
        <f t="shared" si="188"/>
        <v>#NUM!</v>
      </c>
      <c r="GX173" s="22" t="e">
        <f t="shared" si="189"/>
        <v>#NUM!</v>
      </c>
      <c r="GY173" s="60" t="e">
        <f t="shared" si="137"/>
        <v>#NUM!</v>
      </c>
      <c r="GZ173" s="60">
        <f ca="1">AVERAGE(OFFSET($GY$3,0,0,'Données projet'!$E$18+1,1))-AVERAGE(OFFSET($H$3,0,0,'Données projet'!$E$18+1,1))</f>
        <v>272.69564942740931</v>
      </c>
      <c r="HA173" s="60">
        <f t="shared" si="160"/>
        <v>316.57989180609252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25">
      <c r="A174" s="11">
        <f t="shared" si="161"/>
        <v>171</v>
      </c>
      <c r="B174" s="75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8">
        <f t="shared" si="110"/>
        <v>183.33333333333334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-1.0286385077051818E-13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570.08763950759544</v>
      </c>
      <c r="T174" s="60">
        <f t="shared" si="142"/>
        <v>297.32483725004136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-4.5224624045658861E-14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394.49874384716014</v>
      </c>
      <c r="AO174" s="60">
        <f t="shared" si="144"/>
        <v>423.72519584013378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5.4092197387944907E-14</v>
      </c>
      <c r="BF174" s="14">
        <f t="shared" si="167"/>
        <v>8.7287050538073676E-13</v>
      </c>
      <c r="BG174" s="22">
        <f t="shared" si="168"/>
        <v>1.6144600406554537E-12</v>
      </c>
      <c r="BH174" s="60">
        <f t="shared" si="116"/>
        <v>288.73516144466311</v>
      </c>
      <c r="BI174" s="60">
        <f ca="1">AVERAGE(OFFSET($BH$3,0,0,'Données projet'!$E$11+1,1))-AVERAGE(OFFSET($H$3,0,0,'Données projet'!$E$11+1,1))</f>
        <v>441.15969139782891</v>
      </c>
      <c r="BJ174" s="60">
        <f t="shared" si="146"/>
        <v>315.06466790224783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8.8675733422860506E-14</v>
      </c>
      <c r="CA174" s="14">
        <f t="shared" si="170"/>
        <v>1.3509285393066301E-12</v>
      </c>
      <c r="CB174" s="22">
        <f t="shared" si="171"/>
        <v>2.5073107750038623E-12</v>
      </c>
      <c r="CC174" s="60">
        <f t="shared" si="119"/>
        <v>288.73516144466402</v>
      </c>
      <c r="CD174" s="60">
        <f ca="1">AVERAGE(OFFSET($CC$3,0,0,'Données projet'!$E$12+1,1))-AVERAGE(OFFSET($H$3,0,0,'Données projet'!$E$12+1,1))</f>
        <v>312.59632808777332</v>
      </c>
      <c r="CE174" s="60">
        <f t="shared" si="148"/>
        <v>302.59481222418219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-1.1368683772161603E-13</v>
      </c>
      <c r="CU174" s="18">
        <f>CT174*VLOOKUP('Données projet'!$B$13,Paramètres!$A$1:$I$89,3,0)*VLOOKUP('Données projet'!$B$13,Paramètres!$A$1:$I$89,5,0)</f>
        <v>-1.0995790944434703E-13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603.52431522262032</v>
      </c>
      <c r="CZ174" s="60">
        <f t="shared" si="150"/>
        <v>313.56299786481338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-1.1368683772161603E-13</v>
      </c>
      <c r="DP174" s="18">
        <f>DO174*VLOOKUP('Données projet'!$B$14,Paramètres!$A$1:$I$89,3,0)*VLOOKUP('Données projet'!$B$14,Paramètres!$A$1:$I$89,5,0)</f>
        <v>-1.223725121235475E-13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661.93515988633499</v>
      </c>
      <c r="DU174" s="60">
        <f t="shared" si="152"/>
        <v>341.9250949809848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>
        <f>EJ174*VLOOKUP('Données projet'!$B$15,Paramètres!$A$1:$I$89,3,0)*VLOOKUP('Données projet'!$B$15,Paramètres!$A$1:$I$89,5,0)</f>
        <v>0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396.0878652679051</v>
      </c>
      <c r="EP174" s="60">
        <f t="shared" si="154"/>
        <v>327.26339199235406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-5.6843418860808015E-14</v>
      </c>
      <c r="FF174" s="18">
        <f>FE174*VLOOKUP('Données projet'!$B$16,Paramètres!$A$1:$I$89,3,0)*VLOOKUP('Données projet'!$B$16,Paramètres!$A$1:$I$89,5,0)</f>
        <v>-4.1677594708744434E-14</v>
      </c>
      <c r="FG174" s="14" t="e">
        <f t="shared" si="182"/>
        <v>#NUM!</v>
      </c>
      <c r="FH174" s="22" t="e">
        <f t="shared" si="183"/>
        <v>#NUM!</v>
      </c>
      <c r="FI174" s="60" t="e">
        <f t="shared" si="131"/>
        <v>#NUM!</v>
      </c>
      <c r="FJ174" s="60">
        <f ca="1">AVERAGE(OFFSET($FI$3,0,0,'Données projet'!$E$16+1,1))-AVERAGE(OFFSET($H$3,0,0,'Données projet'!$E$16+1,1))</f>
        <v>368.35775920359396</v>
      </c>
      <c r="FK174" s="60">
        <f t="shared" si="156"/>
        <v>395.5218438652638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-1.2505552149377763E-12</v>
      </c>
      <c r="GA174" s="18">
        <f>FZ174*VLOOKUP('Données projet'!$B$17,Paramètres!$A$1:$I$89,3,0)*VLOOKUP('Données projet'!$B$17,Paramètres!$A$1:$I$89,5,0)</f>
        <v>-1.0729763744166122E-12</v>
      </c>
      <c r="GB174" s="14" t="e">
        <f t="shared" si="185"/>
        <v>#NUM!</v>
      </c>
      <c r="GC174" s="22" t="e">
        <f t="shared" si="186"/>
        <v>#NUM!</v>
      </c>
      <c r="GD174" s="60" t="e">
        <f t="shared" si="134"/>
        <v>#NUM!</v>
      </c>
      <c r="GE174" s="60">
        <f ca="1">AVERAGE(OFFSET($GD$3,0,0,'Données projet'!$E$17+1,1))-AVERAGE(OFFSET($H$3,0,0,'Données projet'!$E$17+1,1))</f>
        <v>701.44583662096022</v>
      </c>
      <c r="GF174" s="60">
        <f t="shared" si="158"/>
        <v>331.25104323342907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-1.1368683772161603E-13</v>
      </c>
      <c r="GV174" s="18">
        <f>GU174*VLOOKUP('Données projet'!$B$18,Paramètres!$A$1:$I$89,3,0)*VLOOKUP('Données projet'!$B$18,Paramètres!$A$1:$I$89,5,0)</f>
        <v>-9.2222762759774927E-14</v>
      </c>
      <c r="GW174" s="14" t="e">
        <f t="shared" si="188"/>
        <v>#NUM!</v>
      </c>
      <c r="GX174" s="22" t="e">
        <f t="shared" si="189"/>
        <v>#NUM!</v>
      </c>
      <c r="GY174" s="60" t="e">
        <f t="shared" si="137"/>
        <v>#NUM!</v>
      </c>
      <c r="GZ174" s="60">
        <f ca="1">AVERAGE(OFFSET($GY$3,0,0,'Données projet'!$E$18+1,1))-AVERAGE(OFFSET($H$3,0,0,'Données projet'!$E$18+1,1))</f>
        <v>272.69564942740931</v>
      </c>
      <c r="HA174" s="60">
        <f t="shared" si="160"/>
        <v>316.57989180609252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25">
      <c r="A175" s="11">
        <f t="shared" si="161"/>
        <v>172</v>
      </c>
      <c r="B175" s="75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8">
        <f t="shared" si="110"/>
        <v>183.33333333333334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-1.0286385077051818E-13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570.08763950759544</v>
      </c>
      <c r="T175" s="60">
        <f t="shared" si="142"/>
        <v>297.32483725004136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-4.5224624045658861E-14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394.49874384716014</v>
      </c>
      <c r="AO175" s="60">
        <f t="shared" si="144"/>
        <v>423.72519584013378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5.4092197387944907E-14</v>
      </c>
      <c r="BF175" s="14">
        <f t="shared" si="167"/>
        <v>8.7287050538073676E-13</v>
      </c>
      <c r="BG175" s="22">
        <f t="shared" si="168"/>
        <v>1.6144600406554537E-12</v>
      </c>
      <c r="BH175" s="60">
        <f t="shared" si="116"/>
        <v>288.81492944695924</v>
      </c>
      <c r="BI175" s="60">
        <f ca="1">AVERAGE(OFFSET($BH$3,0,0,'Données projet'!$E$11+1,1))-AVERAGE(OFFSET($H$3,0,0,'Données projet'!$E$11+1,1))</f>
        <v>441.15969139782891</v>
      </c>
      <c r="BJ175" s="60">
        <f t="shared" si="146"/>
        <v>315.06466790224783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8.8675733422860506E-14</v>
      </c>
      <c r="CA175" s="14">
        <f t="shared" si="170"/>
        <v>1.3509285393066301E-12</v>
      </c>
      <c r="CB175" s="22">
        <f t="shared" si="171"/>
        <v>2.5073107750038623E-12</v>
      </c>
      <c r="CC175" s="60">
        <f t="shared" si="119"/>
        <v>288.81492944696015</v>
      </c>
      <c r="CD175" s="60">
        <f ca="1">AVERAGE(OFFSET($CC$3,0,0,'Données projet'!$E$12+1,1))-AVERAGE(OFFSET($H$3,0,0,'Données projet'!$E$12+1,1))</f>
        <v>312.59632808777332</v>
      </c>
      <c r="CE175" s="60">
        <f t="shared" si="148"/>
        <v>302.59481222418219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-1.1368683772161603E-13</v>
      </c>
      <c r="CU175" s="18">
        <f>CT175*VLOOKUP('Données projet'!$B$13,Paramètres!$A$1:$I$89,3,0)*VLOOKUP('Données projet'!$B$13,Paramètres!$A$1:$I$89,5,0)</f>
        <v>-1.0995790944434703E-13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603.52431522262032</v>
      </c>
      <c r="CZ175" s="60">
        <f t="shared" si="150"/>
        <v>313.56299786481338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-1.1368683772161603E-13</v>
      </c>
      <c r="DP175" s="18">
        <f>DO175*VLOOKUP('Données projet'!$B$14,Paramètres!$A$1:$I$89,3,0)*VLOOKUP('Données projet'!$B$14,Paramètres!$A$1:$I$89,5,0)</f>
        <v>-1.223725121235475E-13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661.93515988633499</v>
      </c>
      <c r="DU175" s="60">
        <f t="shared" si="152"/>
        <v>341.9250949809848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>
        <f>EJ175*VLOOKUP('Données projet'!$B$15,Paramètres!$A$1:$I$89,3,0)*VLOOKUP('Données projet'!$B$15,Paramètres!$A$1:$I$89,5,0)</f>
        <v>0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396.0878652679051</v>
      </c>
      <c r="EP175" s="60">
        <f t="shared" si="154"/>
        <v>327.26339199235406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-5.6843418860808015E-14</v>
      </c>
      <c r="FF175" s="18">
        <f>FE175*VLOOKUP('Données projet'!$B$16,Paramètres!$A$1:$I$89,3,0)*VLOOKUP('Données projet'!$B$16,Paramètres!$A$1:$I$89,5,0)</f>
        <v>-4.1677594708744434E-14</v>
      </c>
      <c r="FG175" s="14" t="e">
        <f t="shared" si="182"/>
        <v>#NUM!</v>
      </c>
      <c r="FH175" s="22" t="e">
        <f t="shared" si="183"/>
        <v>#NUM!</v>
      </c>
      <c r="FI175" s="60" t="e">
        <f t="shared" si="131"/>
        <v>#NUM!</v>
      </c>
      <c r="FJ175" s="60">
        <f ca="1">AVERAGE(OFFSET($FI$3,0,0,'Données projet'!$E$16+1,1))-AVERAGE(OFFSET($H$3,0,0,'Données projet'!$E$16+1,1))</f>
        <v>368.35775920359396</v>
      </c>
      <c r="FK175" s="60">
        <f t="shared" si="156"/>
        <v>395.5218438652638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-1.2505552149377763E-12</v>
      </c>
      <c r="GA175" s="18">
        <f>FZ175*VLOOKUP('Données projet'!$B$17,Paramètres!$A$1:$I$89,3,0)*VLOOKUP('Données projet'!$B$17,Paramètres!$A$1:$I$89,5,0)</f>
        <v>-1.0729763744166122E-12</v>
      </c>
      <c r="GB175" s="14" t="e">
        <f t="shared" si="185"/>
        <v>#NUM!</v>
      </c>
      <c r="GC175" s="22" t="e">
        <f t="shared" si="186"/>
        <v>#NUM!</v>
      </c>
      <c r="GD175" s="60" t="e">
        <f t="shared" si="134"/>
        <v>#NUM!</v>
      </c>
      <c r="GE175" s="60">
        <f ca="1">AVERAGE(OFFSET($GD$3,0,0,'Données projet'!$E$17+1,1))-AVERAGE(OFFSET($H$3,0,0,'Données projet'!$E$17+1,1))</f>
        <v>701.44583662096022</v>
      </c>
      <c r="GF175" s="60">
        <f t="shared" si="158"/>
        <v>331.25104323342907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-1.1368683772161603E-13</v>
      </c>
      <c r="GV175" s="18">
        <f>GU175*VLOOKUP('Données projet'!$B$18,Paramètres!$A$1:$I$89,3,0)*VLOOKUP('Données projet'!$B$18,Paramètres!$A$1:$I$89,5,0)</f>
        <v>-9.2222762759774927E-14</v>
      </c>
      <c r="GW175" s="14" t="e">
        <f t="shared" si="188"/>
        <v>#NUM!</v>
      </c>
      <c r="GX175" s="22" t="e">
        <f t="shared" si="189"/>
        <v>#NUM!</v>
      </c>
      <c r="GY175" s="60" t="e">
        <f t="shared" si="137"/>
        <v>#NUM!</v>
      </c>
      <c r="GZ175" s="60">
        <f ca="1">AVERAGE(OFFSET($GY$3,0,0,'Données projet'!$E$18+1,1))-AVERAGE(OFFSET($H$3,0,0,'Données projet'!$E$18+1,1))</f>
        <v>272.69564942740931</v>
      </c>
      <c r="HA175" s="60">
        <f t="shared" si="160"/>
        <v>316.57989180609252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25">
      <c r="A176" s="11">
        <f t="shared" si="161"/>
        <v>173</v>
      </c>
      <c r="B176" s="75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8">
        <f t="shared" si="110"/>
        <v>183.33333333333334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-1.0286385077051818E-13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570.08763950759544</v>
      </c>
      <c r="T176" s="60">
        <f t="shared" si="142"/>
        <v>297.32483725004136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-4.5224624045658861E-14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394.49874384716014</v>
      </c>
      <c r="AO176" s="60">
        <f t="shared" si="144"/>
        <v>423.72519584013378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5.4092197387944907E-14</v>
      </c>
      <c r="BF176" s="14">
        <f t="shared" si="167"/>
        <v>8.7287050538073676E-13</v>
      </c>
      <c r="BG176" s="22">
        <f t="shared" si="168"/>
        <v>1.6144600406554537E-12</v>
      </c>
      <c r="BH176" s="60">
        <f t="shared" si="116"/>
        <v>288.89331365275007</v>
      </c>
      <c r="BI176" s="60">
        <f ca="1">AVERAGE(OFFSET($BH$3,0,0,'Données projet'!$E$11+1,1))-AVERAGE(OFFSET($H$3,0,0,'Données projet'!$E$11+1,1))</f>
        <v>441.15969139782891</v>
      </c>
      <c r="BJ176" s="60">
        <f t="shared" si="146"/>
        <v>315.06466790224783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8.8675733422860506E-14</v>
      </c>
      <c r="CA176" s="14">
        <f t="shared" si="170"/>
        <v>1.3509285393066301E-12</v>
      </c>
      <c r="CB176" s="22">
        <f t="shared" si="171"/>
        <v>2.5073107750038623E-12</v>
      </c>
      <c r="CC176" s="60">
        <f t="shared" si="119"/>
        <v>288.89331365275098</v>
      </c>
      <c r="CD176" s="60">
        <f ca="1">AVERAGE(OFFSET($CC$3,0,0,'Données projet'!$E$12+1,1))-AVERAGE(OFFSET($H$3,0,0,'Données projet'!$E$12+1,1))</f>
        <v>312.59632808777332</v>
      </c>
      <c r="CE176" s="60">
        <f t="shared" si="148"/>
        <v>302.59481222418219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-1.1368683772161603E-13</v>
      </c>
      <c r="CU176" s="18">
        <f>CT176*VLOOKUP('Données projet'!$B$13,Paramètres!$A$1:$I$89,3,0)*VLOOKUP('Données projet'!$B$13,Paramètres!$A$1:$I$89,5,0)</f>
        <v>-1.0995790944434703E-13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603.52431522262032</v>
      </c>
      <c r="CZ176" s="60">
        <f t="shared" si="150"/>
        <v>313.56299786481338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-1.1368683772161603E-13</v>
      </c>
      <c r="DP176" s="18">
        <f>DO176*VLOOKUP('Données projet'!$B$14,Paramètres!$A$1:$I$89,3,0)*VLOOKUP('Données projet'!$B$14,Paramètres!$A$1:$I$89,5,0)</f>
        <v>-1.223725121235475E-13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661.93515988633499</v>
      </c>
      <c r="DU176" s="60">
        <f t="shared" si="152"/>
        <v>341.9250949809848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>
        <f>EJ176*VLOOKUP('Données projet'!$B$15,Paramètres!$A$1:$I$89,3,0)*VLOOKUP('Données projet'!$B$15,Paramètres!$A$1:$I$89,5,0)</f>
        <v>0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396.0878652679051</v>
      </c>
      <c r="EP176" s="60">
        <f t="shared" si="154"/>
        <v>327.26339199235406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-5.6843418860808015E-14</v>
      </c>
      <c r="FF176" s="18">
        <f>FE176*VLOOKUP('Données projet'!$B$16,Paramètres!$A$1:$I$89,3,0)*VLOOKUP('Données projet'!$B$16,Paramètres!$A$1:$I$89,5,0)</f>
        <v>-4.1677594708744434E-14</v>
      </c>
      <c r="FG176" s="14" t="e">
        <f t="shared" si="182"/>
        <v>#NUM!</v>
      </c>
      <c r="FH176" s="22" t="e">
        <f t="shared" si="183"/>
        <v>#NUM!</v>
      </c>
      <c r="FI176" s="60" t="e">
        <f t="shared" si="131"/>
        <v>#NUM!</v>
      </c>
      <c r="FJ176" s="60">
        <f ca="1">AVERAGE(OFFSET($FI$3,0,0,'Données projet'!$E$16+1,1))-AVERAGE(OFFSET($H$3,0,0,'Données projet'!$E$16+1,1))</f>
        <v>368.35775920359396</v>
      </c>
      <c r="FK176" s="60">
        <f t="shared" si="156"/>
        <v>395.5218438652638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-1.2505552149377763E-12</v>
      </c>
      <c r="GA176" s="18">
        <f>FZ176*VLOOKUP('Données projet'!$B$17,Paramètres!$A$1:$I$89,3,0)*VLOOKUP('Données projet'!$B$17,Paramètres!$A$1:$I$89,5,0)</f>
        <v>-1.0729763744166122E-12</v>
      </c>
      <c r="GB176" s="14" t="e">
        <f t="shared" si="185"/>
        <v>#NUM!</v>
      </c>
      <c r="GC176" s="22" t="e">
        <f t="shared" si="186"/>
        <v>#NUM!</v>
      </c>
      <c r="GD176" s="60" t="e">
        <f t="shared" si="134"/>
        <v>#NUM!</v>
      </c>
      <c r="GE176" s="60">
        <f ca="1">AVERAGE(OFFSET($GD$3,0,0,'Données projet'!$E$17+1,1))-AVERAGE(OFFSET($H$3,0,0,'Données projet'!$E$17+1,1))</f>
        <v>701.44583662096022</v>
      </c>
      <c r="GF176" s="60">
        <f t="shared" si="158"/>
        <v>331.25104323342907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-1.1368683772161603E-13</v>
      </c>
      <c r="GV176" s="18">
        <f>GU176*VLOOKUP('Données projet'!$B$18,Paramètres!$A$1:$I$89,3,0)*VLOOKUP('Données projet'!$B$18,Paramètres!$A$1:$I$89,5,0)</f>
        <v>-9.2222762759774927E-14</v>
      </c>
      <c r="GW176" s="14" t="e">
        <f t="shared" si="188"/>
        <v>#NUM!</v>
      </c>
      <c r="GX176" s="22" t="e">
        <f t="shared" si="189"/>
        <v>#NUM!</v>
      </c>
      <c r="GY176" s="60" t="e">
        <f t="shared" si="137"/>
        <v>#NUM!</v>
      </c>
      <c r="GZ176" s="60">
        <f ca="1">AVERAGE(OFFSET($GY$3,0,0,'Données projet'!$E$18+1,1))-AVERAGE(OFFSET($H$3,0,0,'Données projet'!$E$18+1,1))</f>
        <v>272.69564942740931</v>
      </c>
      <c r="HA176" s="60">
        <f t="shared" si="160"/>
        <v>316.57989180609252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25">
      <c r="A177" s="11">
        <f t="shared" si="161"/>
        <v>174</v>
      </c>
      <c r="B177" s="75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8">
        <f t="shared" si="110"/>
        <v>183.33333333333334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-1.0286385077051818E-13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570.08763950759544</v>
      </c>
      <c r="T177" s="60">
        <f t="shared" si="142"/>
        <v>297.32483725004136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-4.5224624045658861E-14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394.49874384716014</v>
      </c>
      <c r="AO177" s="60">
        <f t="shared" si="144"/>
        <v>423.72519584013378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5.4092197387944907E-14</v>
      </c>
      <c r="BF177" s="14">
        <f t="shared" si="167"/>
        <v>8.7287050538073676E-13</v>
      </c>
      <c r="BG177" s="22">
        <f t="shared" si="168"/>
        <v>1.6144600406554537E-12</v>
      </c>
      <c r="BH177" s="60">
        <f t="shared" si="116"/>
        <v>288.97033806781133</v>
      </c>
      <c r="BI177" s="60">
        <f ca="1">AVERAGE(OFFSET($BH$3,0,0,'Données projet'!$E$11+1,1))-AVERAGE(OFFSET($H$3,0,0,'Données projet'!$E$11+1,1))</f>
        <v>441.15969139782891</v>
      </c>
      <c r="BJ177" s="60">
        <f t="shared" si="146"/>
        <v>315.06466790224783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8.8675733422860506E-14</v>
      </c>
      <c r="CA177" s="14">
        <f t="shared" si="170"/>
        <v>1.3509285393066301E-12</v>
      </c>
      <c r="CB177" s="22">
        <f t="shared" si="171"/>
        <v>2.5073107750038623E-12</v>
      </c>
      <c r="CC177" s="60">
        <f t="shared" si="119"/>
        <v>288.97033806781224</v>
      </c>
      <c r="CD177" s="60">
        <f ca="1">AVERAGE(OFFSET($CC$3,0,0,'Données projet'!$E$12+1,1))-AVERAGE(OFFSET($H$3,0,0,'Données projet'!$E$12+1,1))</f>
        <v>312.59632808777332</v>
      </c>
      <c r="CE177" s="60">
        <f t="shared" si="148"/>
        <v>302.59481222418219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-1.1368683772161603E-13</v>
      </c>
      <c r="CU177" s="18">
        <f>CT177*VLOOKUP('Données projet'!$B$13,Paramètres!$A$1:$I$89,3,0)*VLOOKUP('Données projet'!$B$13,Paramètres!$A$1:$I$89,5,0)</f>
        <v>-1.0995790944434703E-13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603.52431522262032</v>
      </c>
      <c r="CZ177" s="60">
        <f t="shared" si="150"/>
        <v>313.56299786481338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-1.1368683772161603E-13</v>
      </c>
      <c r="DP177" s="18">
        <f>DO177*VLOOKUP('Données projet'!$B$14,Paramètres!$A$1:$I$89,3,0)*VLOOKUP('Données projet'!$B$14,Paramètres!$A$1:$I$89,5,0)</f>
        <v>-1.223725121235475E-13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661.93515988633499</v>
      </c>
      <c r="DU177" s="60">
        <f t="shared" si="152"/>
        <v>341.9250949809848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>
        <f>EJ177*VLOOKUP('Données projet'!$B$15,Paramètres!$A$1:$I$89,3,0)*VLOOKUP('Données projet'!$B$15,Paramètres!$A$1:$I$89,5,0)</f>
        <v>0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396.0878652679051</v>
      </c>
      <c r="EP177" s="60">
        <f t="shared" si="154"/>
        <v>327.26339199235406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-5.6843418860808015E-14</v>
      </c>
      <c r="FF177" s="18">
        <f>FE177*VLOOKUP('Données projet'!$B$16,Paramètres!$A$1:$I$89,3,0)*VLOOKUP('Données projet'!$B$16,Paramètres!$A$1:$I$89,5,0)</f>
        <v>-4.1677594708744434E-14</v>
      </c>
      <c r="FG177" s="14" t="e">
        <f t="shared" si="182"/>
        <v>#NUM!</v>
      </c>
      <c r="FH177" s="22" t="e">
        <f t="shared" si="183"/>
        <v>#NUM!</v>
      </c>
      <c r="FI177" s="60" t="e">
        <f t="shared" si="131"/>
        <v>#NUM!</v>
      </c>
      <c r="FJ177" s="60">
        <f ca="1">AVERAGE(OFFSET($FI$3,0,0,'Données projet'!$E$16+1,1))-AVERAGE(OFFSET($H$3,0,0,'Données projet'!$E$16+1,1))</f>
        <v>368.35775920359396</v>
      </c>
      <c r="FK177" s="60">
        <f t="shared" si="156"/>
        <v>395.5218438652638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-1.2505552149377763E-12</v>
      </c>
      <c r="GA177" s="18">
        <f>FZ177*VLOOKUP('Données projet'!$B$17,Paramètres!$A$1:$I$89,3,0)*VLOOKUP('Données projet'!$B$17,Paramètres!$A$1:$I$89,5,0)</f>
        <v>-1.0729763744166122E-12</v>
      </c>
      <c r="GB177" s="14" t="e">
        <f t="shared" si="185"/>
        <v>#NUM!</v>
      </c>
      <c r="GC177" s="22" t="e">
        <f t="shared" si="186"/>
        <v>#NUM!</v>
      </c>
      <c r="GD177" s="60" t="e">
        <f t="shared" si="134"/>
        <v>#NUM!</v>
      </c>
      <c r="GE177" s="60">
        <f ca="1">AVERAGE(OFFSET($GD$3,0,0,'Données projet'!$E$17+1,1))-AVERAGE(OFFSET($H$3,0,0,'Données projet'!$E$17+1,1))</f>
        <v>701.44583662096022</v>
      </c>
      <c r="GF177" s="60">
        <f t="shared" si="158"/>
        <v>331.25104323342907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-1.1368683772161603E-13</v>
      </c>
      <c r="GV177" s="18">
        <f>GU177*VLOOKUP('Données projet'!$B$18,Paramètres!$A$1:$I$89,3,0)*VLOOKUP('Données projet'!$B$18,Paramètres!$A$1:$I$89,5,0)</f>
        <v>-9.2222762759774927E-14</v>
      </c>
      <c r="GW177" s="14" t="e">
        <f t="shared" si="188"/>
        <v>#NUM!</v>
      </c>
      <c r="GX177" s="22" t="e">
        <f t="shared" si="189"/>
        <v>#NUM!</v>
      </c>
      <c r="GY177" s="60" t="e">
        <f t="shared" si="137"/>
        <v>#NUM!</v>
      </c>
      <c r="GZ177" s="60">
        <f ca="1">AVERAGE(OFFSET($GY$3,0,0,'Données projet'!$E$18+1,1))-AVERAGE(OFFSET($H$3,0,0,'Données projet'!$E$18+1,1))</f>
        <v>272.69564942740931</v>
      </c>
      <c r="HA177" s="60">
        <f t="shared" si="160"/>
        <v>316.57989180609252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25">
      <c r="A178" s="11">
        <f t="shared" si="161"/>
        <v>175</v>
      </c>
      <c r="B178" s="75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8">
        <f t="shared" si="110"/>
        <v>183.33333333333334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-1.0286385077051818E-13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570.08763950759544</v>
      </c>
      <c r="T178" s="60">
        <f t="shared" si="142"/>
        <v>297.32483725004136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-4.5224624045658861E-14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394.49874384716014</v>
      </c>
      <c r="AO178" s="60">
        <f t="shared" si="144"/>
        <v>423.72519584013378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5.4092197387944907E-14</v>
      </c>
      <c r="BF178" s="14">
        <f t="shared" si="167"/>
        <v>8.7287050538073676E-13</v>
      </c>
      <c r="BG178" s="22">
        <f t="shared" si="168"/>
        <v>1.6144600406554537E-12</v>
      </c>
      <c r="BH178" s="60">
        <f t="shared" si="116"/>
        <v>289.046026281472</v>
      </c>
      <c r="BI178" s="60">
        <f ca="1">AVERAGE(OFFSET($BH$3,0,0,'Données projet'!$E$11+1,1))-AVERAGE(OFFSET($H$3,0,0,'Données projet'!$E$11+1,1))</f>
        <v>441.15969139782891</v>
      </c>
      <c r="BJ178" s="60">
        <f t="shared" si="146"/>
        <v>315.06466790224783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8.8675733422860506E-14</v>
      </c>
      <c r="CA178" s="14">
        <f t="shared" si="170"/>
        <v>1.3509285393066301E-12</v>
      </c>
      <c r="CB178" s="22">
        <f t="shared" si="171"/>
        <v>2.5073107750038623E-12</v>
      </c>
      <c r="CC178" s="60">
        <f t="shared" si="119"/>
        <v>289.0460262814729</v>
      </c>
      <c r="CD178" s="60">
        <f ca="1">AVERAGE(OFFSET($CC$3,0,0,'Données projet'!$E$12+1,1))-AVERAGE(OFFSET($H$3,0,0,'Données projet'!$E$12+1,1))</f>
        <v>312.59632808777332</v>
      </c>
      <c r="CE178" s="60">
        <f t="shared" si="148"/>
        <v>302.59481222418219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-1.1368683772161603E-13</v>
      </c>
      <c r="CU178" s="18">
        <f>CT178*VLOOKUP('Données projet'!$B$13,Paramètres!$A$1:$I$89,3,0)*VLOOKUP('Données projet'!$B$13,Paramètres!$A$1:$I$89,5,0)</f>
        <v>-1.0995790944434703E-13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603.52431522262032</v>
      </c>
      <c r="CZ178" s="60">
        <f t="shared" si="150"/>
        <v>313.56299786481338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-1.1368683772161603E-13</v>
      </c>
      <c r="DP178" s="18">
        <f>DO178*VLOOKUP('Données projet'!$B$14,Paramètres!$A$1:$I$89,3,0)*VLOOKUP('Données projet'!$B$14,Paramètres!$A$1:$I$89,5,0)</f>
        <v>-1.223725121235475E-13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661.93515988633499</v>
      </c>
      <c r="DU178" s="60">
        <f t="shared" si="152"/>
        <v>341.9250949809848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>
        <f>EJ178*VLOOKUP('Données projet'!$B$15,Paramètres!$A$1:$I$89,3,0)*VLOOKUP('Données projet'!$B$15,Paramètres!$A$1:$I$89,5,0)</f>
        <v>0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396.0878652679051</v>
      </c>
      <c r="EP178" s="60">
        <f t="shared" si="154"/>
        <v>327.26339199235406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-5.6843418860808015E-14</v>
      </c>
      <c r="FF178" s="18">
        <f>FE178*VLOOKUP('Données projet'!$B$16,Paramètres!$A$1:$I$89,3,0)*VLOOKUP('Données projet'!$B$16,Paramètres!$A$1:$I$89,5,0)</f>
        <v>-4.1677594708744434E-14</v>
      </c>
      <c r="FG178" s="14" t="e">
        <f t="shared" si="182"/>
        <v>#NUM!</v>
      </c>
      <c r="FH178" s="22" t="e">
        <f t="shared" si="183"/>
        <v>#NUM!</v>
      </c>
      <c r="FI178" s="60" t="e">
        <f t="shared" si="131"/>
        <v>#NUM!</v>
      </c>
      <c r="FJ178" s="60">
        <f ca="1">AVERAGE(OFFSET($FI$3,0,0,'Données projet'!$E$16+1,1))-AVERAGE(OFFSET($H$3,0,0,'Données projet'!$E$16+1,1))</f>
        <v>368.35775920359396</v>
      </c>
      <c r="FK178" s="60">
        <f t="shared" si="156"/>
        <v>395.5218438652638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-1.2505552149377763E-12</v>
      </c>
      <c r="GA178" s="18">
        <f>FZ178*VLOOKUP('Données projet'!$B$17,Paramètres!$A$1:$I$89,3,0)*VLOOKUP('Données projet'!$B$17,Paramètres!$A$1:$I$89,5,0)</f>
        <v>-1.0729763744166122E-12</v>
      </c>
      <c r="GB178" s="14" t="e">
        <f t="shared" si="185"/>
        <v>#NUM!</v>
      </c>
      <c r="GC178" s="22" t="e">
        <f t="shared" si="186"/>
        <v>#NUM!</v>
      </c>
      <c r="GD178" s="60" t="e">
        <f t="shared" si="134"/>
        <v>#NUM!</v>
      </c>
      <c r="GE178" s="60">
        <f ca="1">AVERAGE(OFFSET($GD$3,0,0,'Données projet'!$E$17+1,1))-AVERAGE(OFFSET($H$3,0,0,'Données projet'!$E$17+1,1))</f>
        <v>701.44583662096022</v>
      </c>
      <c r="GF178" s="60">
        <f t="shared" si="158"/>
        <v>331.25104323342907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-1.1368683772161603E-13</v>
      </c>
      <c r="GV178" s="18">
        <f>GU178*VLOOKUP('Données projet'!$B$18,Paramètres!$A$1:$I$89,3,0)*VLOOKUP('Données projet'!$B$18,Paramètres!$A$1:$I$89,5,0)</f>
        <v>-9.2222762759774927E-14</v>
      </c>
      <c r="GW178" s="14" t="e">
        <f t="shared" si="188"/>
        <v>#NUM!</v>
      </c>
      <c r="GX178" s="22" t="e">
        <f t="shared" si="189"/>
        <v>#NUM!</v>
      </c>
      <c r="GY178" s="60" t="e">
        <f t="shared" si="137"/>
        <v>#NUM!</v>
      </c>
      <c r="GZ178" s="60">
        <f ca="1">AVERAGE(OFFSET($GY$3,0,0,'Données projet'!$E$18+1,1))-AVERAGE(OFFSET($H$3,0,0,'Données projet'!$E$18+1,1))</f>
        <v>272.69564942740931</v>
      </c>
      <c r="HA178" s="60">
        <f t="shared" si="160"/>
        <v>316.57989180609252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25">
      <c r="A179" s="11">
        <f t="shared" si="161"/>
        <v>176</v>
      </c>
      <c r="B179" s="75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8">
        <f t="shared" si="110"/>
        <v>183.33333333333334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-1.0286385077051818E-13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570.08763950759544</v>
      </c>
      <c r="T179" s="60">
        <f t="shared" si="142"/>
        <v>297.32483725004136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-4.5224624045658861E-14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394.49874384716014</v>
      </c>
      <c r="AO179" s="60">
        <f t="shared" si="144"/>
        <v>423.72519584013378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5.4092197387944907E-14</v>
      </c>
      <c r="BF179" s="14">
        <f t="shared" si="167"/>
        <v>8.7287050538073676E-13</v>
      </c>
      <c r="BG179" s="22">
        <f t="shared" si="168"/>
        <v>1.6144600406554537E-12</v>
      </c>
      <c r="BH179" s="60">
        <f t="shared" si="116"/>
        <v>289.12040147383919</v>
      </c>
      <c r="BI179" s="60">
        <f ca="1">AVERAGE(OFFSET($BH$3,0,0,'Données projet'!$E$11+1,1))-AVERAGE(OFFSET($H$3,0,0,'Données projet'!$E$11+1,1))</f>
        <v>441.15969139782891</v>
      </c>
      <c r="BJ179" s="60">
        <f t="shared" si="146"/>
        <v>315.06466790224783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8.8675733422860506E-14</v>
      </c>
      <c r="CA179" s="14">
        <f t="shared" si="170"/>
        <v>1.3509285393066301E-12</v>
      </c>
      <c r="CB179" s="22">
        <f t="shared" si="171"/>
        <v>2.5073107750038623E-12</v>
      </c>
      <c r="CC179" s="60">
        <f t="shared" si="119"/>
        <v>289.1204014738401</v>
      </c>
      <c r="CD179" s="60">
        <f ca="1">AVERAGE(OFFSET($CC$3,0,0,'Données projet'!$E$12+1,1))-AVERAGE(OFFSET($H$3,0,0,'Données projet'!$E$12+1,1))</f>
        <v>312.59632808777332</v>
      </c>
      <c r="CE179" s="60">
        <f t="shared" si="148"/>
        <v>302.59481222418219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-1.1368683772161603E-13</v>
      </c>
      <c r="CU179" s="18">
        <f>CT179*VLOOKUP('Données projet'!$B$13,Paramètres!$A$1:$I$89,3,0)*VLOOKUP('Données projet'!$B$13,Paramètres!$A$1:$I$89,5,0)</f>
        <v>-1.0995790944434703E-13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603.52431522262032</v>
      </c>
      <c r="CZ179" s="60">
        <f t="shared" si="150"/>
        <v>313.56299786481338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-1.1368683772161603E-13</v>
      </c>
      <c r="DP179" s="18">
        <f>DO179*VLOOKUP('Données projet'!$B$14,Paramètres!$A$1:$I$89,3,0)*VLOOKUP('Données projet'!$B$14,Paramètres!$A$1:$I$89,5,0)</f>
        <v>-1.223725121235475E-13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661.93515988633499</v>
      </c>
      <c r="DU179" s="60">
        <f t="shared" si="152"/>
        <v>341.9250949809848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>
        <f>EJ179*VLOOKUP('Données projet'!$B$15,Paramètres!$A$1:$I$89,3,0)*VLOOKUP('Données projet'!$B$15,Paramètres!$A$1:$I$89,5,0)</f>
        <v>0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396.0878652679051</v>
      </c>
      <c r="EP179" s="60">
        <f t="shared" si="154"/>
        <v>327.26339199235406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-5.6843418860808015E-14</v>
      </c>
      <c r="FF179" s="18">
        <f>FE179*VLOOKUP('Données projet'!$B$16,Paramètres!$A$1:$I$89,3,0)*VLOOKUP('Données projet'!$B$16,Paramètres!$A$1:$I$89,5,0)</f>
        <v>-4.1677594708744434E-14</v>
      </c>
      <c r="FG179" s="14" t="e">
        <f t="shared" si="182"/>
        <v>#NUM!</v>
      </c>
      <c r="FH179" s="22" t="e">
        <f t="shared" si="183"/>
        <v>#NUM!</v>
      </c>
      <c r="FI179" s="60" t="e">
        <f t="shared" si="131"/>
        <v>#NUM!</v>
      </c>
      <c r="FJ179" s="60">
        <f ca="1">AVERAGE(OFFSET($FI$3,0,0,'Données projet'!$E$16+1,1))-AVERAGE(OFFSET($H$3,0,0,'Données projet'!$E$16+1,1))</f>
        <v>368.35775920359396</v>
      </c>
      <c r="FK179" s="60">
        <f t="shared" si="156"/>
        <v>395.5218438652638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-1.2505552149377763E-12</v>
      </c>
      <c r="GA179" s="18">
        <f>FZ179*VLOOKUP('Données projet'!$B$17,Paramètres!$A$1:$I$89,3,0)*VLOOKUP('Données projet'!$B$17,Paramètres!$A$1:$I$89,5,0)</f>
        <v>-1.0729763744166122E-12</v>
      </c>
      <c r="GB179" s="14" t="e">
        <f t="shared" si="185"/>
        <v>#NUM!</v>
      </c>
      <c r="GC179" s="22" t="e">
        <f t="shared" si="186"/>
        <v>#NUM!</v>
      </c>
      <c r="GD179" s="60" t="e">
        <f t="shared" si="134"/>
        <v>#NUM!</v>
      </c>
      <c r="GE179" s="60">
        <f ca="1">AVERAGE(OFFSET($GD$3,0,0,'Données projet'!$E$17+1,1))-AVERAGE(OFFSET($H$3,0,0,'Données projet'!$E$17+1,1))</f>
        <v>701.44583662096022</v>
      </c>
      <c r="GF179" s="60">
        <f t="shared" si="158"/>
        <v>331.25104323342907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-1.1368683772161603E-13</v>
      </c>
      <c r="GV179" s="18">
        <f>GU179*VLOOKUP('Données projet'!$B$18,Paramètres!$A$1:$I$89,3,0)*VLOOKUP('Données projet'!$B$18,Paramètres!$A$1:$I$89,5,0)</f>
        <v>-9.2222762759774927E-14</v>
      </c>
      <c r="GW179" s="14" t="e">
        <f t="shared" si="188"/>
        <v>#NUM!</v>
      </c>
      <c r="GX179" s="22" t="e">
        <f t="shared" si="189"/>
        <v>#NUM!</v>
      </c>
      <c r="GY179" s="60" t="e">
        <f t="shared" si="137"/>
        <v>#NUM!</v>
      </c>
      <c r="GZ179" s="60">
        <f ca="1">AVERAGE(OFFSET($GY$3,0,0,'Données projet'!$E$18+1,1))-AVERAGE(OFFSET($H$3,0,0,'Données projet'!$E$18+1,1))</f>
        <v>272.69564942740931</v>
      </c>
      <c r="HA179" s="60">
        <f t="shared" si="160"/>
        <v>316.57989180609252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25">
      <c r="A180" s="11">
        <f t="shared" si="161"/>
        <v>177</v>
      </c>
      <c r="B180" s="75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8">
        <f t="shared" si="110"/>
        <v>183.33333333333334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-1.0286385077051818E-13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570.08763950759544</v>
      </c>
      <c r="T180" s="60">
        <f t="shared" si="142"/>
        <v>297.32483725004136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-4.5224624045658861E-14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394.49874384716014</v>
      </c>
      <c r="AO180" s="60">
        <f t="shared" si="144"/>
        <v>423.72519584013378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5.4092197387944907E-14</v>
      </c>
      <c r="BF180" s="14">
        <f t="shared" si="167"/>
        <v>8.7287050538073676E-13</v>
      </c>
      <c r="BG180" s="22">
        <f t="shared" si="168"/>
        <v>1.6144600406554537E-12</v>
      </c>
      <c r="BH180" s="60">
        <f t="shared" si="116"/>
        <v>289.19348642289685</v>
      </c>
      <c r="BI180" s="60">
        <f ca="1">AVERAGE(OFFSET($BH$3,0,0,'Données projet'!$E$11+1,1))-AVERAGE(OFFSET($H$3,0,0,'Données projet'!$E$11+1,1))</f>
        <v>441.15969139782891</v>
      </c>
      <c r="BJ180" s="60">
        <f t="shared" si="146"/>
        <v>315.06466790224783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8.8675733422860506E-14</v>
      </c>
      <c r="CA180" s="14">
        <f t="shared" si="170"/>
        <v>1.3509285393066301E-12</v>
      </c>
      <c r="CB180" s="22">
        <f t="shared" si="171"/>
        <v>2.5073107750038623E-12</v>
      </c>
      <c r="CC180" s="60">
        <f t="shared" si="119"/>
        <v>289.19348642289776</v>
      </c>
      <c r="CD180" s="60">
        <f ca="1">AVERAGE(OFFSET($CC$3,0,0,'Données projet'!$E$12+1,1))-AVERAGE(OFFSET($H$3,0,0,'Données projet'!$E$12+1,1))</f>
        <v>312.59632808777332</v>
      </c>
      <c r="CE180" s="60">
        <f t="shared" si="148"/>
        <v>302.59481222418219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-1.1368683772161603E-13</v>
      </c>
      <c r="CU180" s="18">
        <f>CT180*VLOOKUP('Données projet'!$B$13,Paramètres!$A$1:$I$89,3,0)*VLOOKUP('Données projet'!$B$13,Paramètres!$A$1:$I$89,5,0)</f>
        <v>-1.0995790944434703E-13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603.52431522262032</v>
      </c>
      <c r="CZ180" s="60">
        <f t="shared" si="150"/>
        <v>313.56299786481338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-1.1368683772161603E-13</v>
      </c>
      <c r="DP180" s="18">
        <f>DO180*VLOOKUP('Données projet'!$B$14,Paramètres!$A$1:$I$89,3,0)*VLOOKUP('Données projet'!$B$14,Paramètres!$A$1:$I$89,5,0)</f>
        <v>-1.223725121235475E-13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661.93515988633499</v>
      </c>
      <c r="DU180" s="60">
        <f t="shared" si="152"/>
        <v>341.9250949809848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>
        <f>EJ180*VLOOKUP('Données projet'!$B$15,Paramètres!$A$1:$I$89,3,0)*VLOOKUP('Données projet'!$B$15,Paramètres!$A$1:$I$89,5,0)</f>
        <v>0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396.0878652679051</v>
      </c>
      <c r="EP180" s="60">
        <f t="shared" si="154"/>
        <v>327.26339199235406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-5.6843418860808015E-14</v>
      </c>
      <c r="FF180" s="18">
        <f>FE180*VLOOKUP('Données projet'!$B$16,Paramètres!$A$1:$I$89,3,0)*VLOOKUP('Données projet'!$B$16,Paramètres!$A$1:$I$89,5,0)</f>
        <v>-4.1677594708744434E-14</v>
      </c>
      <c r="FG180" s="14" t="e">
        <f t="shared" si="182"/>
        <v>#NUM!</v>
      </c>
      <c r="FH180" s="22" t="e">
        <f t="shared" si="183"/>
        <v>#NUM!</v>
      </c>
      <c r="FI180" s="60" t="e">
        <f t="shared" si="131"/>
        <v>#NUM!</v>
      </c>
      <c r="FJ180" s="60">
        <f ca="1">AVERAGE(OFFSET($FI$3,0,0,'Données projet'!$E$16+1,1))-AVERAGE(OFFSET($H$3,0,0,'Données projet'!$E$16+1,1))</f>
        <v>368.35775920359396</v>
      </c>
      <c r="FK180" s="60">
        <f t="shared" si="156"/>
        <v>395.5218438652638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-1.2505552149377763E-12</v>
      </c>
      <c r="GA180" s="18">
        <f>FZ180*VLOOKUP('Données projet'!$B$17,Paramètres!$A$1:$I$89,3,0)*VLOOKUP('Données projet'!$B$17,Paramètres!$A$1:$I$89,5,0)</f>
        <v>-1.0729763744166122E-12</v>
      </c>
      <c r="GB180" s="14" t="e">
        <f t="shared" si="185"/>
        <v>#NUM!</v>
      </c>
      <c r="GC180" s="22" t="e">
        <f t="shared" si="186"/>
        <v>#NUM!</v>
      </c>
      <c r="GD180" s="60" t="e">
        <f t="shared" si="134"/>
        <v>#NUM!</v>
      </c>
      <c r="GE180" s="60">
        <f ca="1">AVERAGE(OFFSET($GD$3,0,0,'Données projet'!$E$17+1,1))-AVERAGE(OFFSET($H$3,0,0,'Données projet'!$E$17+1,1))</f>
        <v>701.44583662096022</v>
      </c>
      <c r="GF180" s="60">
        <f t="shared" si="158"/>
        <v>331.25104323342907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-1.1368683772161603E-13</v>
      </c>
      <c r="GV180" s="18">
        <f>GU180*VLOOKUP('Données projet'!$B$18,Paramètres!$A$1:$I$89,3,0)*VLOOKUP('Données projet'!$B$18,Paramètres!$A$1:$I$89,5,0)</f>
        <v>-9.2222762759774927E-14</v>
      </c>
      <c r="GW180" s="14" t="e">
        <f t="shared" si="188"/>
        <v>#NUM!</v>
      </c>
      <c r="GX180" s="22" t="e">
        <f t="shared" si="189"/>
        <v>#NUM!</v>
      </c>
      <c r="GY180" s="60" t="e">
        <f t="shared" si="137"/>
        <v>#NUM!</v>
      </c>
      <c r="GZ180" s="60">
        <f ca="1">AVERAGE(OFFSET($GY$3,0,0,'Données projet'!$E$18+1,1))-AVERAGE(OFFSET($H$3,0,0,'Données projet'!$E$18+1,1))</f>
        <v>272.69564942740931</v>
      </c>
      <c r="HA180" s="60">
        <f t="shared" si="160"/>
        <v>316.57989180609252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25">
      <c r="A181" s="11">
        <f t="shared" si="161"/>
        <v>178</v>
      </c>
      <c r="B181" s="75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8">
        <f t="shared" si="110"/>
        <v>183.33333333333334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-1.0286385077051818E-13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570.08763950759544</v>
      </c>
      <c r="T181" s="60">
        <f t="shared" si="142"/>
        <v>297.32483725004136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-4.5224624045658861E-14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394.49874384716014</v>
      </c>
      <c r="AO181" s="60">
        <f t="shared" si="144"/>
        <v>423.72519584013378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5.4092197387944907E-14</v>
      </c>
      <c r="BF181" s="14">
        <f t="shared" si="167"/>
        <v>8.7287050538073676E-13</v>
      </c>
      <c r="BG181" s="22">
        <f t="shared" si="168"/>
        <v>1.6144600406554537E-12</v>
      </c>
      <c r="BH181" s="60">
        <f t="shared" si="116"/>
        <v>289.26530351148176</v>
      </c>
      <c r="BI181" s="60">
        <f ca="1">AVERAGE(OFFSET($BH$3,0,0,'Données projet'!$E$11+1,1))-AVERAGE(OFFSET($H$3,0,0,'Données projet'!$E$11+1,1))</f>
        <v>441.15969139782891</v>
      </c>
      <c r="BJ181" s="60">
        <f t="shared" si="146"/>
        <v>315.06466790224783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8.8675733422860506E-14</v>
      </c>
      <c r="CA181" s="14">
        <f t="shared" si="170"/>
        <v>1.3509285393066301E-12</v>
      </c>
      <c r="CB181" s="22">
        <f t="shared" si="171"/>
        <v>2.5073107750038623E-12</v>
      </c>
      <c r="CC181" s="60">
        <f t="shared" si="119"/>
        <v>289.26530351148267</v>
      </c>
      <c r="CD181" s="60">
        <f ca="1">AVERAGE(OFFSET($CC$3,0,0,'Données projet'!$E$12+1,1))-AVERAGE(OFFSET($H$3,0,0,'Données projet'!$E$12+1,1))</f>
        <v>312.59632808777332</v>
      </c>
      <c r="CE181" s="60">
        <f t="shared" si="148"/>
        <v>302.59481222418219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-1.1368683772161603E-13</v>
      </c>
      <c r="CU181" s="18">
        <f>CT181*VLOOKUP('Données projet'!$B$13,Paramètres!$A$1:$I$89,3,0)*VLOOKUP('Données projet'!$B$13,Paramètres!$A$1:$I$89,5,0)</f>
        <v>-1.0995790944434703E-13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603.52431522262032</v>
      </c>
      <c r="CZ181" s="60">
        <f t="shared" si="150"/>
        <v>313.56299786481338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-1.1368683772161603E-13</v>
      </c>
      <c r="DP181" s="18">
        <f>DO181*VLOOKUP('Données projet'!$B$14,Paramètres!$A$1:$I$89,3,0)*VLOOKUP('Données projet'!$B$14,Paramètres!$A$1:$I$89,5,0)</f>
        <v>-1.223725121235475E-13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661.93515988633499</v>
      </c>
      <c r="DU181" s="60">
        <f t="shared" si="152"/>
        <v>341.9250949809848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>
        <f>EJ181*VLOOKUP('Données projet'!$B$15,Paramètres!$A$1:$I$89,3,0)*VLOOKUP('Données projet'!$B$15,Paramètres!$A$1:$I$89,5,0)</f>
        <v>0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396.0878652679051</v>
      </c>
      <c r="EP181" s="60">
        <f t="shared" si="154"/>
        <v>327.26339199235406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-5.6843418860808015E-14</v>
      </c>
      <c r="FF181" s="18">
        <f>FE181*VLOOKUP('Données projet'!$B$16,Paramètres!$A$1:$I$89,3,0)*VLOOKUP('Données projet'!$B$16,Paramètres!$A$1:$I$89,5,0)</f>
        <v>-4.1677594708744434E-14</v>
      </c>
      <c r="FG181" s="14" t="e">
        <f t="shared" si="182"/>
        <v>#NUM!</v>
      </c>
      <c r="FH181" s="22" t="e">
        <f t="shared" si="183"/>
        <v>#NUM!</v>
      </c>
      <c r="FI181" s="60" t="e">
        <f t="shared" si="131"/>
        <v>#NUM!</v>
      </c>
      <c r="FJ181" s="60">
        <f ca="1">AVERAGE(OFFSET($FI$3,0,0,'Données projet'!$E$16+1,1))-AVERAGE(OFFSET($H$3,0,0,'Données projet'!$E$16+1,1))</f>
        <v>368.35775920359396</v>
      </c>
      <c r="FK181" s="60">
        <f t="shared" si="156"/>
        <v>395.5218438652638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-1.2505552149377763E-12</v>
      </c>
      <c r="GA181" s="18">
        <f>FZ181*VLOOKUP('Données projet'!$B$17,Paramètres!$A$1:$I$89,3,0)*VLOOKUP('Données projet'!$B$17,Paramètres!$A$1:$I$89,5,0)</f>
        <v>-1.0729763744166122E-12</v>
      </c>
      <c r="GB181" s="14" t="e">
        <f t="shared" si="185"/>
        <v>#NUM!</v>
      </c>
      <c r="GC181" s="22" t="e">
        <f t="shared" si="186"/>
        <v>#NUM!</v>
      </c>
      <c r="GD181" s="60" t="e">
        <f t="shared" si="134"/>
        <v>#NUM!</v>
      </c>
      <c r="GE181" s="60">
        <f ca="1">AVERAGE(OFFSET($GD$3,0,0,'Données projet'!$E$17+1,1))-AVERAGE(OFFSET($H$3,0,0,'Données projet'!$E$17+1,1))</f>
        <v>701.44583662096022</v>
      </c>
      <c r="GF181" s="60">
        <f t="shared" si="158"/>
        <v>331.25104323342907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-1.1368683772161603E-13</v>
      </c>
      <c r="GV181" s="18">
        <f>GU181*VLOOKUP('Données projet'!$B$18,Paramètres!$A$1:$I$89,3,0)*VLOOKUP('Données projet'!$B$18,Paramètres!$A$1:$I$89,5,0)</f>
        <v>-9.2222762759774927E-14</v>
      </c>
      <c r="GW181" s="14" t="e">
        <f t="shared" si="188"/>
        <v>#NUM!</v>
      </c>
      <c r="GX181" s="22" t="e">
        <f t="shared" si="189"/>
        <v>#NUM!</v>
      </c>
      <c r="GY181" s="60" t="e">
        <f t="shared" si="137"/>
        <v>#NUM!</v>
      </c>
      <c r="GZ181" s="60">
        <f ca="1">AVERAGE(OFFSET($GY$3,0,0,'Données projet'!$E$18+1,1))-AVERAGE(OFFSET($H$3,0,0,'Données projet'!$E$18+1,1))</f>
        <v>272.69564942740931</v>
      </c>
      <c r="HA181" s="60">
        <f t="shared" si="160"/>
        <v>316.57989180609252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25">
      <c r="A182" s="11">
        <f t="shared" si="161"/>
        <v>179</v>
      </c>
      <c r="B182" s="75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8">
        <f t="shared" si="110"/>
        <v>183.33333333333334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-1.0286385077051818E-13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570.08763950759544</v>
      </c>
      <c r="T182" s="60">
        <f t="shared" si="142"/>
        <v>297.32483725004136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-4.5224624045658861E-14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394.49874384716014</v>
      </c>
      <c r="AO182" s="60">
        <f t="shared" si="144"/>
        <v>423.72519584013378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5.4092197387944907E-14</v>
      </c>
      <c r="BF182" s="14">
        <f t="shared" si="167"/>
        <v>8.7287050538073676E-13</v>
      </c>
      <c r="BG182" s="22">
        <f t="shared" si="168"/>
        <v>1.6144600406554537E-12</v>
      </c>
      <c r="BH182" s="60">
        <f t="shared" si="116"/>
        <v>289.33587473413871</v>
      </c>
      <c r="BI182" s="60">
        <f ca="1">AVERAGE(OFFSET($BH$3,0,0,'Données projet'!$E$11+1,1))-AVERAGE(OFFSET($H$3,0,0,'Données projet'!$E$11+1,1))</f>
        <v>441.15969139782891</v>
      </c>
      <c r="BJ182" s="60">
        <f t="shared" si="146"/>
        <v>315.06466790224783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8.8675733422860506E-14</v>
      </c>
      <c r="CA182" s="14">
        <f t="shared" si="170"/>
        <v>1.3509285393066301E-12</v>
      </c>
      <c r="CB182" s="22">
        <f t="shared" si="171"/>
        <v>2.5073107750038623E-12</v>
      </c>
      <c r="CC182" s="60">
        <f t="shared" si="119"/>
        <v>289.33587473413962</v>
      </c>
      <c r="CD182" s="60">
        <f ca="1">AVERAGE(OFFSET($CC$3,0,0,'Données projet'!$E$12+1,1))-AVERAGE(OFFSET($H$3,0,0,'Données projet'!$E$12+1,1))</f>
        <v>312.59632808777332</v>
      </c>
      <c r="CE182" s="60">
        <f t="shared" si="148"/>
        <v>302.59481222418219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-1.1368683772161603E-13</v>
      </c>
      <c r="CU182" s="18">
        <f>CT182*VLOOKUP('Données projet'!$B$13,Paramètres!$A$1:$I$89,3,0)*VLOOKUP('Données projet'!$B$13,Paramètres!$A$1:$I$89,5,0)</f>
        <v>-1.0995790944434703E-13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603.52431522262032</v>
      </c>
      <c r="CZ182" s="60">
        <f t="shared" si="150"/>
        <v>313.56299786481338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-1.1368683772161603E-13</v>
      </c>
      <c r="DP182" s="18">
        <f>DO182*VLOOKUP('Données projet'!$B$14,Paramètres!$A$1:$I$89,3,0)*VLOOKUP('Données projet'!$B$14,Paramètres!$A$1:$I$89,5,0)</f>
        <v>-1.223725121235475E-13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661.93515988633499</v>
      </c>
      <c r="DU182" s="60">
        <f t="shared" si="152"/>
        <v>341.9250949809848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>
        <f>EJ182*VLOOKUP('Données projet'!$B$15,Paramètres!$A$1:$I$89,3,0)*VLOOKUP('Données projet'!$B$15,Paramètres!$A$1:$I$89,5,0)</f>
        <v>0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396.0878652679051</v>
      </c>
      <c r="EP182" s="60">
        <f t="shared" si="154"/>
        <v>327.26339199235406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-5.6843418860808015E-14</v>
      </c>
      <c r="FF182" s="18">
        <f>FE182*VLOOKUP('Données projet'!$B$16,Paramètres!$A$1:$I$89,3,0)*VLOOKUP('Données projet'!$B$16,Paramètres!$A$1:$I$89,5,0)</f>
        <v>-4.1677594708744434E-14</v>
      </c>
      <c r="FG182" s="14" t="e">
        <f t="shared" si="182"/>
        <v>#NUM!</v>
      </c>
      <c r="FH182" s="22" t="e">
        <f t="shared" si="183"/>
        <v>#NUM!</v>
      </c>
      <c r="FI182" s="60" t="e">
        <f t="shared" si="131"/>
        <v>#NUM!</v>
      </c>
      <c r="FJ182" s="60">
        <f ca="1">AVERAGE(OFFSET($FI$3,0,0,'Données projet'!$E$16+1,1))-AVERAGE(OFFSET($H$3,0,0,'Données projet'!$E$16+1,1))</f>
        <v>368.35775920359396</v>
      </c>
      <c r="FK182" s="60">
        <f t="shared" si="156"/>
        <v>395.5218438652638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-1.2505552149377763E-12</v>
      </c>
      <c r="GA182" s="18">
        <f>FZ182*VLOOKUP('Données projet'!$B$17,Paramètres!$A$1:$I$89,3,0)*VLOOKUP('Données projet'!$B$17,Paramètres!$A$1:$I$89,5,0)</f>
        <v>-1.0729763744166122E-12</v>
      </c>
      <c r="GB182" s="14" t="e">
        <f t="shared" si="185"/>
        <v>#NUM!</v>
      </c>
      <c r="GC182" s="22" t="e">
        <f t="shared" si="186"/>
        <v>#NUM!</v>
      </c>
      <c r="GD182" s="60" t="e">
        <f t="shared" si="134"/>
        <v>#NUM!</v>
      </c>
      <c r="GE182" s="60">
        <f ca="1">AVERAGE(OFFSET($GD$3,0,0,'Données projet'!$E$17+1,1))-AVERAGE(OFFSET($H$3,0,0,'Données projet'!$E$17+1,1))</f>
        <v>701.44583662096022</v>
      </c>
      <c r="GF182" s="60">
        <f t="shared" si="158"/>
        <v>331.25104323342907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-1.1368683772161603E-13</v>
      </c>
      <c r="GV182" s="18">
        <f>GU182*VLOOKUP('Données projet'!$B$18,Paramètres!$A$1:$I$89,3,0)*VLOOKUP('Données projet'!$B$18,Paramètres!$A$1:$I$89,5,0)</f>
        <v>-9.2222762759774927E-14</v>
      </c>
      <c r="GW182" s="14" t="e">
        <f t="shared" si="188"/>
        <v>#NUM!</v>
      </c>
      <c r="GX182" s="22" t="e">
        <f t="shared" si="189"/>
        <v>#NUM!</v>
      </c>
      <c r="GY182" s="60" t="e">
        <f t="shared" si="137"/>
        <v>#NUM!</v>
      </c>
      <c r="GZ182" s="60">
        <f ca="1">AVERAGE(OFFSET($GY$3,0,0,'Données projet'!$E$18+1,1))-AVERAGE(OFFSET($H$3,0,0,'Données projet'!$E$18+1,1))</f>
        <v>272.69564942740931</v>
      </c>
      <c r="HA182" s="60">
        <f t="shared" si="160"/>
        <v>316.57989180609252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25">
      <c r="A183" s="11">
        <f t="shared" si="161"/>
        <v>180</v>
      </c>
      <c r="B183" s="75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8">
        <f t="shared" si="110"/>
        <v>183.33333333333334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-1.0286385077051818E-13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570.08763950759544</v>
      </c>
      <c r="T183" s="60">
        <f t="shared" si="142"/>
        <v>297.32483725004136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-4.5224624045658861E-14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394.49874384716014</v>
      </c>
      <c r="AO183" s="60">
        <f t="shared" si="144"/>
        <v>423.72519584013378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5.4092197387944907E-14</v>
      </c>
      <c r="BF183" s="14">
        <f t="shared" si="167"/>
        <v>8.7287050538073676E-13</v>
      </c>
      <c r="BG183" s="22">
        <f t="shared" si="168"/>
        <v>1.6144600406554537E-12</v>
      </c>
      <c r="BH183" s="60">
        <f t="shared" si="116"/>
        <v>289.40522170385623</v>
      </c>
      <c r="BI183" s="60">
        <f ca="1">AVERAGE(OFFSET($BH$3,0,0,'Données projet'!$E$11+1,1))-AVERAGE(OFFSET($H$3,0,0,'Données projet'!$E$11+1,1))</f>
        <v>441.15969139782891</v>
      </c>
      <c r="BJ183" s="60">
        <f t="shared" si="146"/>
        <v>315.06466790224783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8.8675733422860506E-14</v>
      </c>
      <c r="CA183" s="14">
        <f t="shared" si="170"/>
        <v>1.3509285393066301E-12</v>
      </c>
      <c r="CB183" s="22">
        <f t="shared" si="171"/>
        <v>2.5073107750038623E-12</v>
      </c>
      <c r="CC183" s="60">
        <f t="shared" si="119"/>
        <v>289.40522170385714</v>
      </c>
      <c r="CD183" s="60">
        <f ca="1">AVERAGE(OFFSET($CC$3,0,0,'Données projet'!$E$12+1,1))-AVERAGE(OFFSET($H$3,0,0,'Données projet'!$E$12+1,1))</f>
        <v>312.59632808777332</v>
      </c>
      <c r="CE183" s="60">
        <f t="shared" si="148"/>
        <v>302.59481222418219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-1.1368683772161603E-13</v>
      </c>
      <c r="CU183" s="18">
        <f>CT183*VLOOKUP('Données projet'!$B$13,Paramètres!$A$1:$I$89,3,0)*VLOOKUP('Données projet'!$B$13,Paramètres!$A$1:$I$89,5,0)</f>
        <v>-1.0995790944434703E-13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603.52431522262032</v>
      </c>
      <c r="CZ183" s="60">
        <f t="shared" si="150"/>
        <v>313.56299786481338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-1.1368683772161603E-13</v>
      </c>
      <c r="DP183" s="18">
        <f>DO183*VLOOKUP('Données projet'!$B$14,Paramètres!$A$1:$I$89,3,0)*VLOOKUP('Données projet'!$B$14,Paramètres!$A$1:$I$89,5,0)</f>
        <v>-1.223725121235475E-13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661.93515988633499</v>
      </c>
      <c r="DU183" s="60">
        <f t="shared" si="152"/>
        <v>341.9250949809848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>
        <f>EJ183*VLOOKUP('Données projet'!$B$15,Paramètres!$A$1:$I$89,3,0)*VLOOKUP('Données projet'!$B$15,Paramètres!$A$1:$I$89,5,0)</f>
        <v>0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396.0878652679051</v>
      </c>
      <c r="EP183" s="60">
        <f t="shared" si="154"/>
        <v>327.26339199235406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-5.6843418860808015E-14</v>
      </c>
      <c r="FF183" s="18">
        <f>FE183*VLOOKUP('Données projet'!$B$16,Paramètres!$A$1:$I$89,3,0)*VLOOKUP('Données projet'!$B$16,Paramètres!$A$1:$I$89,5,0)</f>
        <v>-4.1677594708744434E-14</v>
      </c>
      <c r="FG183" s="14" t="e">
        <f t="shared" si="182"/>
        <v>#NUM!</v>
      </c>
      <c r="FH183" s="22" t="e">
        <f t="shared" si="183"/>
        <v>#NUM!</v>
      </c>
      <c r="FI183" s="60" t="e">
        <f t="shared" si="131"/>
        <v>#NUM!</v>
      </c>
      <c r="FJ183" s="60">
        <f ca="1">AVERAGE(OFFSET($FI$3,0,0,'Données projet'!$E$16+1,1))-AVERAGE(OFFSET($H$3,0,0,'Données projet'!$E$16+1,1))</f>
        <v>368.35775920359396</v>
      </c>
      <c r="FK183" s="60">
        <f t="shared" si="156"/>
        <v>395.5218438652638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-1.2505552149377763E-12</v>
      </c>
      <c r="GA183" s="18">
        <f>FZ183*VLOOKUP('Données projet'!$B$17,Paramètres!$A$1:$I$89,3,0)*VLOOKUP('Données projet'!$B$17,Paramètres!$A$1:$I$89,5,0)</f>
        <v>-1.0729763744166122E-12</v>
      </c>
      <c r="GB183" s="14" t="e">
        <f t="shared" si="185"/>
        <v>#NUM!</v>
      </c>
      <c r="GC183" s="22" t="e">
        <f t="shared" si="186"/>
        <v>#NUM!</v>
      </c>
      <c r="GD183" s="60" t="e">
        <f t="shared" si="134"/>
        <v>#NUM!</v>
      </c>
      <c r="GE183" s="60">
        <f ca="1">AVERAGE(OFFSET($GD$3,0,0,'Données projet'!$E$17+1,1))-AVERAGE(OFFSET($H$3,0,0,'Données projet'!$E$17+1,1))</f>
        <v>701.44583662096022</v>
      </c>
      <c r="GF183" s="60">
        <f t="shared" si="158"/>
        <v>331.25104323342907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-1.1368683772161603E-13</v>
      </c>
      <c r="GV183" s="18">
        <f>GU183*VLOOKUP('Données projet'!$B$18,Paramètres!$A$1:$I$89,3,0)*VLOOKUP('Données projet'!$B$18,Paramètres!$A$1:$I$89,5,0)</f>
        <v>-9.2222762759774927E-14</v>
      </c>
      <c r="GW183" s="14" t="e">
        <f t="shared" si="188"/>
        <v>#NUM!</v>
      </c>
      <c r="GX183" s="22" t="e">
        <f t="shared" si="189"/>
        <v>#NUM!</v>
      </c>
      <c r="GY183" s="60" t="e">
        <f t="shared" si="137"/>
        <v>#NUM!</v>
      </c>
      <c r="GZ183" s="60">
        <f ca="1">AVERAGE(OFFSET($GY$3,0,0,'Données projet'!$E$18+1,1))-AVERAGE(OFFSET($H$3,0,0,'Données projet'!$E$18+1,1))</f>
        <v>272.69564942740931</v>
      </c>
      <c r="HA183" s="60">
        <f t="shared" si="160"/>
        <v>316.57989180609252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25">
      <c r="A184" s="11">
        <f t="shared" si="161"/>
        <v>181</v>
      </c>
      <c r="B184" s="75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8">
        <f t="shared" si="110"/>
        <v>183.33333333333334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-1.0286385077051818E-13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570.08763950759544</v>
      </c>
      <c r="T184" s="60">
        <f t="shared" si="142"/>
        <v>297.32483725004136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-4.5224624045658861E-14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394.49874384716014</v>
      </c>
      <c r="AO184" s="60">
        <f t="shared" si="144"/>
        <v>423.72519584013378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5.4092197387944907E-14</v>
      </c>
      <c r="BF184" s="14">
        <f t="shared" si="167"/>
        <v>8.7287050538073676E-13</v>
      </c>
      <c r="BG184" s="22">
        <f t="shared" si="168"/>
        <v>1.6144600406554537E-12</v>
      </c>
      <c r="BH184" s="60">
        <f t="shared" si="116"/>
        <v>289.47336565868568</v>
      </c>
      <c r="BI184" s="60">
        <f ca="1">AVERAGE(OFFSET($BH$3,0,0,'Données projet'!$E$11+1,1))-AVERAGE(OFFSET($H$3,0,0,'Données projet'!$E$11+1,1))</f>
        <v>441.15969139782891</v>
      </c>
      <c r="BJ184" s="60">
        <f t="shared" si="146"/>
        <v>315.06466790224783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8.8675733422860506E-14</v>
      </c>
      <c r="CA184" s="14">
        <f t="shared" si="170"/>
        <v>1.3509285393066301E-12</v>
      </c>
      <c r="CB184" s="22">
        <f t="shared" si="171"/>
        <v>2.5073107750038623E-12</v>
      </c>
      <c r="CC184" s="60">
        <f t="shared" si="119"/>
        <v>289.47336565868659</v>
      </c>
      <c r="CD184" s="60">
        <f ca="1">AVERAGE(OFFSET($CC$3,0,0,'Données projet'!$E$12+1,1))-AVERAGE(OFFSET($H$3,0,0,'Données projet'!$E$12+1,1))</f>
        <v>312.59632808777332</v>
      </c>
      <c r="CE184" s="60">
        <f t="shared" si="148"/>
        <v>302.59481222418219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-1.1368683772161603E-13</v>
      </c>
      <c r="CU184" s="18">
        <f>CT184*VLOOKUP('Données projet'!$B$13,Paramètres!$A$1:$I$89,3,0)*VLOOKUP('Données projet'!$B$13,Paramètres!$A$1:$I$89,5,0)</f>
        <v>-1.0995790944434703E-13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603.52431522262032</v>
      </c>
      <c r="CZ184" s="60">
        <f t="shared" si="150"/>
        <v>313.56299786481338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-1.1368683772161603E-13</v>
      </c>
      <c r="DP184" s="18">
        <f>DO184*VLOOKUP('Données projet'!$B$14,Paramètres!$A$1:$I$89,3,0)*VLOOKUP('Données projet'!$B$14,Paramètres!$A$1:$I$89,5,0)</f>
        <v>-1.223725121235475E-13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661.93515988633499</v>
      </c>
      <c r="DU184" s="60">
        <f t="shared" si="152"/>
        <v>341.9250949809848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>
        <f>EJ184*VLOOKUP('Données projet'!$B$15,Paramètres!$A$1:$I$89,3,0)*VLOOKUP('Données projet'!$B$15,Paramètres!$A$1:$I$89,5,0)</f>
        <v>0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396.0878652679051</v>
      </c>
      <c r="EP184" s="60">
        <f t="shared" si="154"/>
        <v>327.26339199235406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-5.6843418860808015E-14</v>
      </c>
      <c r="FF184" s="18">
        <f>FE184*VLOOKUP('Données projet'!$B$16,Paramètres!$A$1:$I$89,3,0)*VLOOKUP('Données projet'!$B$16,Paramètres!$A$1:$I$89,5,0)</f>
        <v>-4.1677594708744434E-14</v>
      </c>
      <c r="FG184" s="14" t="e">
        <f t="shared" si="182"/>
        <v>#NUM!</v>
      </c>
      <c r="FH184" s="22" t="e">
        <f t="shared" si="183"/>
        <v>#NUM!</v>
      </c>
      <c r="FI184" s="60" t="e">
        <f t="shared" si="131"/>
        <v>#NUM!</v>
      </c>
      <c r="FJ184" s="60">
        <f ca="1">AVERAGE(OFFSET($FI$3,0,0,'Données projet'!$E$16+1,1))-AVERAGE(OFFSET($H$3,0,0,'Données projet'!$E$16+1,1))</f>
        <v>368.35775920359396</v>
      </c>
      <c r="FK184" s="60">
        <f t="shared" si="156"/>
        <v>395.5218438652638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-1.2505552149377763E-12</v>
      </c>
      <c r="GA184" s="18">
        <f>FZ184*VLOOKUP('Données projet'!$B$17,Paramètres!$A$1:$I$89,3,0)*VLOOKUP('Données projet'!$B$17,Paramètres!$A$1:$I$89,5,0)</f>
        <v>-1.0729763744166122E-12</v>
      </c>
      <c r="GB184" s="14" t="e">
        <f t="shared" si="185"/>
        <v>#NUM!</v>
      </c>
      <c r="GC184" s="22" t="e">
        <f t="shared" si="186"/>
        <v>#NUM!</v>
      </c>
      <c r="GD184" s="60" t="e">
        <f t="shared" si="134"/>
        <v>#NUM!</v>
      </c>
      <c r="GE184" s="60">
        <f ca="1">AVERAGE(OFFSET($GD$3,0,0,'Données projet'!$E$17+1,1))-AVERAGE(OFFSET($H$3,0,0,'Données projet'!$E$17+1,1))</f>
        <v>701.44583662096022</v>
      </c>
      <c r="GF184" s="60">
        <f t="shared" si="158"/>
        <v>331.25104323342907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-1.1368683772161603E-13</v>
      </c>
      <c r="GV184" s="18">
        <f>GU184*VLOOKUP('Données projet'!$B$18,Paramètres!$A$1:$I$89,3,0)*VLOOKUP('Données projet'!$B$18,Paramètres!$A$1:$I$89,5,0)</f>
        <v>-9.2222762759774927E-14</v>
      </c>
      <c r="GW184" s="14" t="e">
        <f t="shared" si="188"/>
        <v>#NUM!</v>
      </c>
      <c r="GX184" s="22" t="e">
        <f t="shared" si="189"/>
        <v>#NUM!</v>
      </c>
      <c r="GY184" s="60" t="e">
        <f t="shared" si="137"/>
        <v>#NUM!</v>
      </c>
      <c r="GZ184" s="60">
        <f ca="1">AVERAGE(OFFSET($GY$3,0,0,'Données projet'!$E$18+1,1))-AVERAGE(OFFSET($H$3,0,0,'Données projet'!$E$18+1,1))</f>
        <v>272.69564942740931</v>
      </c>
      <c r="HA184" s="60">
        <f t="shared" si="160"/>
        <v>316.57989180609252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25">
      <c r="A185" s="11">
        <f t="shared" si="161"/>
        <v>182</v>
      </c>
      <c r="B185" s="75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8">
        <f t="shared" si="110"/>
        <v>183.33333333333334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-1.0286385077051818E-13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570.08763950759544</v>
      </c>
      <c r="T185" s="60">
        <f t="shared" si="142"/>
        <v>297.32483725004136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-4.5224624045658861E-14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394.49874384716014</v>
      </c>
      <c r="AO185" s="60">
        <f t="shared" si="144"/>
        <v>423.72519584013378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5.4092197387944907E-14</v>
      </c>
      <c r="BF185" s="14">
        <f t="shared" si="167"/>
        <v>8.7287050538073676E-13</v>
      </c>
      <c r="BG185" s="22">
        <f t="shared" si="168"/>
        <v>1.6144600406554537E-12</v>
      </c>
      <c r="BH185" s="60">
        <f t="shared" si="116"/>
        <v>289.54032746824601</v>
      </c>
      <c r="BI185" s="60">
        <f ca="1">AVERAGE(OFFSET($BH$3,0,0,'Données projet'!$E$11+1,1))-AVERAGE(OFFSET($H$3,0,0,'Données projet'!$E$11+1,1))</f>
        <v>441.15969139782891</v>
      </c>
      <c r="BJ185" s="60">
        <f t="shared" si="146"/>
        <v>315.06466790224783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8.8675733422860506E-14</v>
      </c>
      <c r="CA185" s="14">
        <f t="shared" si="170"/>
        <v>1.3509285393066301E-12</v>
      </c>
      <c r="CB185" s="22">
        <f t="shared" si="171"/>
        <v>2.5073107750038623E-12</v>
      </c>
      <c r="CC185" s="60">
        <f t="shared" si="119"/>
        <v>289.54032746824691</v>
      </c>
      <c r="CD185" s="60">
        <f ca="1">AVERAGE(OFFSET($CC$3,0,0,'Données projet'!$E$12+1,1))-AVERAGE(OFFSET($H$3,0,0,'Données projet'!$E$12+1,1))</f>
        <v>312.59632808777332</v>
      </c>
      <c r="CE185" s="60">
        <f t="shared" si="148"/>
        <v>302.59481222418219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-1.1368683772161603E-13</v>
      </c>
      <c r="CU185" s="18">
        <f>CT185*VLOOKUP('Données projet'!$B$13,Paramètres!$A$1:$I$89,3,0)*VLOOKUP('Données projet'!$B$13,Paramètres!$A$1:$I$89,5,0)</f>
        <v>-1.0995790944434703E-13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603.52431522262032</v>
      </c>
      <c r="CZ185" s="60">
        <f t="shared" si="150"/>
        <v>313.56299786481338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-1.1368683772161603E-13</v>
      </c>
      <c r="DP185" s="18">
        <f>DO185*VLOOKUP('Données projet'!$B$14,Paramètres!$A$1:$I$89,3,0)*VLOOKUP('Données projet'!$B$14,Paramètres!$A$1:$I$89,5,0)</f>
        <v>-1.223725121235475E-13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661.93515988633499</v>
      </c>
      <c r="DU185" s="60">
        <f t="shared" si="152"/>
        <v>341.9250949809848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>
        <f>EJ185*VLOOKUP('Données projet'!$B$15,Paramètres!$A$1:$I$89,3,0)*VLOOKUP('Données projet'!$B$15,Paramètres!$A$1:$I$89,5,0)</f>
        <v>0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396.0878652679051</v>
      </c>
      <c r="EP185" s="60">
        <f t="shared" si="154"/>
        <v>327.26339199235406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-5.6843418860808015E-14</v>
      </c>
      <c r="FF185" s="18">
        <f>FE185*VLOOKUP('Données projet'!$B$16,Paramètres!$A$1:$I$89,3,0)*VLOOKUP('Données projet'!$B$16,Paramètres!$A$1:$I$89,5,0)</f>
        <v>-4.1677594708744434E-14</v>
      </c>
      <c r="FG185" s="14" t="e">
        <f t="shared" si="182"/>
        <v>#NUM!</v>
      </c>
      <c r="FH185" s="22" t="e">
        <f t="shared" si="183"/>
        <v>#NUM!</v>
      </c>
      <c r="FI185" s="60" t="e">
        <f t="shared" si="131"/>
        <v>#NUM!</v>
      </c>
      <c r="FJ185" s="60">
        <f ca="1">AVERAGE(OFFSET($FI$3,0,0,'Données projet'!$E$16+1,1))-AVERAGE(OFFSET($H$3,0,0,'Données projet'!$E$16+1,1))</f>
        <v>368.35775920359396</v>
      </c>
      <c r="FK185" s="60">
        <f t="shared" si="156"/>
        <v>395.5218438652638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-1.2505552149377763E-12</v>
      </c>
      <c r="GA185" s="18">
        <f>FZ185*VLOOKUP('Données projet'!$B$17,Paramètres!$A$1:$I$89,3,0)*VLOOKUP('Données projet'!$B$17,Paramètres!$A$1:$I$89,5,0)</f>
        <v>-1.0729763744166122E-12</v>
      </c>
      <c r="GB185" s="14" t="e">
        <f t="shared" si="185"/>
        <v>#NUM!</v>
      </c>
      <c r="GC185" s="22" t="e">
        <f t="shared" si="186"/>
        <v>#NUM!</v>
      </c>
      <c r="GD185" s="60" t="e">
        <f t="shared" si="134"/>
        <v>#NUM!</v>
      </c>
      <c r="GE185" s="60">
        <f ca="1">AVERAGE(OFFSET($GD$3,0,0,'Données projet'!$E$17+1,1))-AVERAGE(OFFSET($H$3,0,0,'Données projet'!$E$17+1,1))</f>
        <v>701.44583662096022</v>
      </c>
      <c r="GF185" s="60">
        <f t="shared" si="158"/>
        <v>331.25104323342907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-1.1368683772161603E-13</v>
      </c>
      <c r="GV185" s="18">
        <f>GU185*VLOOKUP('Données projet'!$B$18,Paramètres!$A$1:$I$89,3,0)*VLOOKUP('Données projet'!$B$18,Paramètres!$A$1:$I$89,5,0)</f>
        <v>-9.2222762759774927E-14</v>
      </c>
      <c r="GW185" s="14" t="e">
        <f t="shared" si="188"/>
        <v>#NUM!</v>
      </c>
      <c r="GX185" s="22" t="e">
        <f t="shared" si="189"/>
        <v>#NUM!</v>
      </c>
      <c r="GY185" s="60" t="e">
        <f t="shared" si="137"/>
        <v>#NUM!</v>
      </c>
      <c r="GZ185" s="60">
        <f ca="1">AVERAGE(OFFSET($GY$3,0,0,'Données projet'!$E$18+1,1))-AVERAGE(OFFSET($H$3,0,0,'Données projet'!$E$18+1,1))</f>
        <v>272.69564942740931</v>
      </c>
      <c r="HA185" s="60">
        <f t="shared" si="160"/>
        <v>316.57989180609252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25">
      <c r="A186" s="11">
        <f t="shared" si="161"/>
        <v>183</v>
      </c>
      <c r="B186" s="75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8">
        <f t="shared" si="110"/>
        <v>183.33333333333334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-1.0286385077051818E-13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570.08763950759544</v>
      </c>
      <c r="T186" s="60">
        <f t="shared" si="142"/>
        <v>297.32483725004136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-4.5224624045658861E-14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394.49874384716014</v>
      </c>
      <c r="AO186" s="60">
        <f t="shared" si="144"/>
        <v>423.72519584013378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5.4092197387944907E-14</v>
      </c>
      <c r="BF186" s="14">
        <f t="shared" si="167"/>
        <v>8.7287050538073676E-13</v>
      </c>
      <c r="BG186" s="22">
        <f t="shared" si="168"/>
        <v>1.6144600406554537E-12</v>
      </c>
      <c r="BH186" s="60">
        <f t="shared" si="116"/>
        <v>289.60612764011455</v>
      </c>
      <c r="BI186" s="60">
        <f ca="1">AVERAGE(OFFSET($BH$3,0,0,'Données projet'!$E$11+1,1))-AVERAGE(OFFSET($H$3,0,0,'Données projet'!$E$11+1,1))</f>
        <v>441.15969139782891</v>
      </c>
      <c r="BJ186" s="60">
        <f t="shared" si="146"/>
        <v>315.06466790224783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8.8675733422860506E-14</v>
      </c>
      <c r="CA186" s="14">
        <f t="shared" si="170"/>
        <v>1.3509285393066301E-12</v>
      </c>
      <c r="CB186" s="22">
        <f t="shared" si="171"/>
        <v>2.5073107750038623E-12</v>
      </c>
      <c r="CC186" s="60">
        <f t="shared" si="119"/>
        <v>289.60612764011546</v>
      </c>
      <c r="CD186" s="60">
        <f ca="1">AVERAGE(OFFSET($CC$3,0,0,'Données projet'!$E$12+1,1))-AVERAGE(OFFSET($H$3,0,0,'Données projet'!$E$12+1,1))</f>
        <v>312.59632808777332</v>
      </c>
      <c r="CE186" s="60">
        <f t="shared" si="148"/>
        <v>302.59481222418219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-1.1368683772161603E-13</v>
      </c>
      <c r="CU186" s="18">
        <f>CT186*VLOOKUP('Données projet'!$B$13,Paramètres!$A$1:$I$89,3,0)*VLOOKUP('Données projet'!$B$13,Paramètres!$A$1:$I$89,5,0)</f>
        <v>-1.0995790944434703E-13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603.52431522262032</v>
      </c>
      <c r="CZ186" s="60">
        <f t="shared" si="150"/>
        <v>313.56299786481338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-1.1368683772161603E-13</v>
      </c>
      <c r="DP186" s="18">
        <f>DO186*VLOOKUP('Données projet'!$B$14,Paramètres!$A$1:$I$89,3,0)*VLOOKUP('Données projet'!$B$14,Paramètres!$A$1:$I$89,5,0)</f>
        <v>-1.223725121235475E-13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661.93515988633499</v>
      </c>
      <c r="DU186" s="60">
        <f t="shared" si="152"/>
        <v>341.9250949809848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>
        <f>EJ186*VLOOKUP('Données projet'!$B$15,Paramètres!$A$1:$I$89,3,0)*VLOOKUP('Données projet'!$B$15,Paramètres!$A$1:$I$89,5,0)</f>
        <v>0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396.0878652679051</v>
      </c>
      <c r="EP186" s="60">
        <f t="shared" si="154"/>
        <v>327.26339199235406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-5.6843418860808015E-14</v>
      </c>
      <c r="FF186" s="18">
        <f>FE186*VLOOKUP('Données projet'!$B$16,Paramètres!$A$1:$I$89,3,0)*VLOOKUP('Données projet'!$B$16,Paramètres!$A$1:$I$89,5,0)</f>
        <v>-4.1677594708744434E-14</v>
      </c>
      <c r="FG186" s="14" t="e">
        <f t="shared" si="182"/>
        <v>#NUM!</v>
      </c>
      <c r="FH186" s="22" t="e">
        <f t="shared" si="183"/>
        <v>#NUM!</v>
      </c>
      <c r="FI186" s="60" t="e">
        <f t="shared" si="131"/>
        <v>#NUM!</v>
      </c>
      <c r="FJ186" s="60">
        <f ca="1">AVERAGE(OFFSET($FI$3,0,0,'Données projet'!$E$16+1,1))-AVERAGE(OFFSET($H$3,0,0,'Données projet'!$E$16+1,1))</f>
        <v>368.35775920359396</v>
      </c>
      <c r="FK186" s="60">
        <f t="shared" si="156"/>
        <v>395.5218438652638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-1.2505552149377763E-12</v>
      </c>
      <c r="GA186" s="18">
        <f>FZ186*VLOOKUP('Données projet'!$B$17,Paramètres!$A$1:$I$89,3,0)*VLOOKUP('Données projet'!$B$17,Paramètres!$A$1:$I$89,5,0)</f>
        <v>-1.0729763744166122E-12</v>
      </c>
      <c r="GB186" s="14" t="e">
        <f t="shared" si="185"/>
        <v>#NUM!</v>
      </c>
      <c r="GC186" s="22" t="e">
        <f t="shared" si="186"/>
        <v>#NUM!</v>
      </c>
      <c r="GD186" s="60" t="e">
        <f t="shared" si="134"/>
        <v>#NUM!</v>
      </c>
      <c r="GE186" s="60">
        <f ca="1">AVERAGE(OFFSET($GD$3,0,0,'Données projet'!$E$17+1,1))-AVERAGE(OFFSET($H$3,0,0,'Données projet'!$E$17+1,1))</f>
        <v>701.44583662096022</v>
      </c>
      <c r="GF186" s="60">
        <f t="shared" si="158"/>
        <v>331.25104323342907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-1.1368683772161603E-13</v>
      </c>
      <c r="GV186" s="18">
        <f>GU186*VLOOKUP('Données projet'!$B$18,Paramètres!$A$1:$I$89,3,0)*VLOOKUP('Données projet'!$B$18,Paramètres!$A$1:$I$89,5,0)</f>
        <v>-9.2222762759774927E-14</v>
      </c>
      <c r="GW186" s="14" t="e">
        <f t="shared" si="188"/>
        <v>#NUM!</v>
      </c>
      <c r="GX186" s="22" t="e">
        <f t="shared" si="189"/>
        <v>#NUM!</v>
      </c>
      <c r="GY186" s="60" t="e">
        <f t="shared" si="137"/>
        <v>#NUM!</v>
      </c>
      <c r="GZ186" s="60">
        <f ca="1">AVERAGE(OFFSET($GY$3,0,0,'Données projet'!$E$18+1,1))-AVERAGE(OFFSET($H$3,0,0,'Données projet'!$E$18+1,1))</f>
        <v>272.69564942740931</v>
      </c>
      <c r="HA186" s="60">
        <f t="shared" si="160"/>
        <v>316.57989180609252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25">
      <c r="A187" s="11">
        <f t="shared" si="161"/>
        <v>184</v>
      </c>
      <c r="B187" s="75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8">
        <f t="shared" si="110"/>
        <v>183.33333333333334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-1.0286385077051818E-13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570.08763950759544</v>
      </c>
      <c r="T187" s="60">
        <f t="shared" si="142"/>
        <v>297.32483725004136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-4.5224624045658861E-14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394.49874384716014</v>
      </c>
      <c r="AO187" s="60">
        <f t="shared" si="144"/>
        <v>423.72519584013378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5.4092197387944907E-14</v>
      </c>
      <c r="BF187" s="14">
        <f t="shared" si="167"/>
        <v>8.7287050538073676E-13</v>
      </c>
      <c r="BG187" s="22">
        <f t="shared" si="168"/>
        <v>1.6144600406554537E-12</v>
      </c>
      <c r="BH187" s="60">
        <f t="shared" si="116"/>
        <v>289.67078632610833</v>
      </c>
      <c r="BI187" s="60">
        <f ca="1">AVERAGE(OFFSET($BH$3,0,0,'Données projet'!$E$11+1,1))-AVERAGE(OFFSET($H$3,0,0,'Données projet'!$E$11+1,1))</f>
        <v>441.15969139782891</v>
      </c>
      <c r="BJ187" s="60">
        <f t="shared" si="146"/>
        <v>315.06466790224783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8.8675733422860506E-14</v>
      </c>
      <c r="CA187" s="14">
        <f t="shared" si="170"/>
        <v>1.3509285393066301E-12</v>
      </c>
      <c r="CB187" s="22">
        <f t="shared" si="171"/>
        <v>2.5073107750038623E-12</v>
      </c>
      <c r="CC187" s="60">
        <f t="shared" si="119"/>
        <v>289.67078632610924</v>
      </c>
      <c r="CD187" s="60">
        <f ca="1">AVERAGE(OFFSET($CC$3,0,0,'Données projet'!$E$12+1,1))-AVERAGE(OFFSET($H$3,0,0,'Données projet'!$E$12+1,1))</f>
        <v>312.59632808777332</v>
      </c>
      <c r="CE187" s="60">
        <f t="shared" si="148"/>
        <v>302.59481222418219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-1.1368683772161603E-13</v>
      </c>
      <c r="CU187" s="18">
        <f>CT187*VLOOKUP('Données projet'!$B$13,Paramètres!$A$1:$I$89,3,0)*VLOOKUP('Données projet'!$B$13,Paramètres!$A$1:$I$89,5,0)</f>
        <v>-1.0995790944434703E-13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603.52431522262032</v>
      </c>
      <c r="CZ187" s="60">
        <f t="shared" si="150"/>
        <v>313.56299786481338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-1.1368683772161603E-13</v>
      </c>
      <c r="DP187" s="18">
        <f>DO187*VLOOKUP('Données projet'!$B$14,Paramètres!$A$1:$I$89,3,0)*VLOOKUP('Données projet'!$B$14,Paramètres!$A$1:$I$89,5,0)</f>
        <v>-1.223725121235475E-13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661.93515988633499</v>
      </c>
      <c r="DU187" s="60">
        <f t="shared" si="152"/>
        <v>341.9250949809848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>
        <f>EJ187*VLOOKUP('Données projet'!$B$15,Paramètres!$A$1:$I$89,3,0)*VLOOKUP('Données projet'!$B$15,Paramètres!$A$1:$I$89,5,0)</f>
        <v>0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396.0878652679051</v>
      </c>
      <c r="EP187" s="60">
        <f t="shared" si="154"/>
        <v>327.26339199235406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-5.6843418860808015E-14</v>
      </c>
      <c r="FF187" s="18">
        <f>FE187*VLOOKUP('Données projet'!$B$16,Paramètres!$A$1:$I$89,3,0)*VLOOKUP('Données projet'!$B$16,Paramètres!$A$1:$I$89,5,0)</f>
        <v>-4.1677594708744434E-14</v>
      </c>
      <c r="FG187" s="14" t="e">
        <f t="shared" si="182"/>
        <v>#NUM!</v>
      </c>
      <c r="FH187" s="22" t="e">
        <f t="shared" si="183"/>
        <v>#NUM!</v>
      </c>
      <c r="FI187" s="60" t="e">
        <f t="shared" si="131"/>
        <v>#NUM!</v>
      </c>
      <c r="FJ187" s="60">
        <f ca="1">AVERAGE(OFFSET($FI$3,0,0,'Données projet'!$E$16+1,1))-AVERAGE(OFFSET($H$3,0,0,'Données projet'!$E$16+1,1))</f>
        <v>368.35775920359396</v>
      </c>
      <c r="FK187" s="60">
        <f t="shared" si="156"/>
        <v>395.5218438652638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-1.2505552149377763E-12</v>
      </c>
      <c r="GA187" s="18">
        <f>FZ187*VLOOKUP('Données projet'!$B$17,Paramètres!$A$1:$I$89,3,0)*VLOOKUP('Données projet'!$B$17,Paramètres!$A$1:$I$89,5,0)</f>
        <v>-1.0729763744166122E-12</v>
      </c>
      <c r="GB187" s="14" t="e">
        <f t="shared" si="185"/>
        <v>#NUM!</v>
      </c>
      <c r="GC187" s="22" t="e">
        <f t="shared" si="186"/>
        <v>#NUM!</v>
      </c>
      <c r="GD187" s="60" t="e">
        <f t="shared" si="134"/>
        <v>#NUM!</v>
      </c>
      <c r="GE187" s="60">
        <f ca="1">AVERAGE(OFFSET($GD$3,0,0,'Données projet'!$E$17+1,1))-AVERAGE(OFFSET($H$3,0,0,'Données projet'!$E$17+1,1))</f>
        <v>701.44583662096022</v>
      </c>
      <c r="GF187" s="60">
        <f t="shared" si="158"/>
        <v>331.25104323342907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-1.1368683772161603E-13</v>
      </c>
      <c r="GV187" s="18">
        <f>GU187*VLOOKUP('Données projet'!$B$18,Paramètres!$A$1:$I$89,3,0)*VLOOKUP('Données projet'!$B$18,Paramètres!$A$1:$I$89,5,0)</f>
        <v>-9.2222762759774927E-14</v>
      </c>
      <c r="GW187" s="14" t="e">
        <f t="shared" si="188"/>
        <v>#NUM!</v>
      </c>
      <c r="GX187" s="22" t="e">
        <f t="shared" si="189"/>
        <v>#NUM!</v>
      </c>
      <c r="GY187" s="60" t="e">
        <f t="shared" si="137"/>
        <v>#NUM!</v>
      </c>
      <c r="GZ187" s="60">
        <f ca="1">AVERAGE(OFFSET($GY$3,0,0,'Données projet'!$E$18+1,1))-AVERAGE(OFFSET($H$3,0,0,'Données projet'!$E$18+1,1))</f>
        <v>272.69564942740931</v>
      </c>
      <c r="HA187" s="60">
        <f t="shared" si="160"/>
        <v>316.57989180609252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25">
      <c r="A188" s="11">
        <f t="shared" si="161"/>
        <v>185</v>
      </c>
      <c r="B188" s="75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8">
        <f t="shared" si="110"/>
        <v>183.33333333333334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-1.0286385077051818E-13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570.08763950759544</v>
      </c>
      <c r="T188" s="60">
        <f t="shared" si="142"/>
        <v>297.32483725004136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-4.5224624045658861E-14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394.49874384716014</v>
      </c>
      <c r="AO188" s="60">
        <f t="shared" si="144"/>
        <v>423.72519584013378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5.4092197387944907E-14</v>
      </c>
      <c r="BF188" s="14">
        <f t="shared" si="167"/>
        <v>8.7287050538073676E-13</v>
      </c>
      <c r="BG188" s="22">
        <f t="shared" si="168"/>
        <v>1.6144600406554537E-12</v>
      </c>
      <c r="BH188" s="60">
        <f t="shared" si="116"/>
        <v>289.73432332845533</v>
      </c>
      <c r="BI188" s="60">
        <f ca="1">AVERAGE(OFFSET($BH$3,0,0,'Données projet'!$E$11+1,1))-AVERAGE(OFFSET($H$3,0,0,'Données projet'!$E$11+1,1))</f>
        <v>441.15969139782891</v>
      </c>
      <c r="BJ188" s="60">
        <f t="shared" si="146"/>
        <v>315.06466790224783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8.8675733422860506E-14</v>
      </c>
      <c r="CA188" s="14">
        <f t="shared" si="170"/>
        <v>1.3509285393066301E-12</v>
      </c>
      <c r="CB188" s="22">
        <f t="shared" si="171"/>
        <v>2.5073107750038623E-12</v>
      </c>
      <c r="CC188" s="60">
        <f t="shared" si="119"/>
        <v>289.73432332845624</v>
      </c>
      <c r="CD188" s="60">
        <f ca="1">AVERAGE(OFFSET($CC$3,0,0,'Données projet'!$E$12+1,1))-AVERAGE(OFFSET($H$3,0,0,'Données projet'!$E$12+1,1))</f>
        <v>312.59632808777332</v>
      </c>
      <c r="CE188" s="60">
        <f t="shared" si="148"/>
        <v>302.59481222418219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-1.1368683772161603E-13</v>
      </c>
      <c r="CU188" s="18">
        <f>CT188*VLOOKUP('Données projet'!$B$13,Paramètres!$A$1:$I$89,3,0)*VLOOKUP('Données projet'!$B$13,Paramètres!$A$1:$I$89,5,0)</f>
        <v>-1.0995790944434703E-13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603.52431522262032</v>
      </c>
      <c r="CZ188" s="60">
        <f t="shared" si="150"/>
        <v>313.56299786481338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-1.1368683772161603E-13</v>
      </c>
      <c r="DP188" s="18">
        <f>DO188*VLOOKUP('Données projet'!$B$14,Paramètres!$A$1:$I$89,3,0)*VLOOKUP('Données projet'!$B$14,Paramètres!$A$1:$I$89,5,0)</f>
        <v>-1.223725121235475E-13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661.93515988633499</v>
      </c>
      <c r="DU188" s="60">
        <f t="shared" si="152"/>
        <v>341.9250949809848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>
        <f>EJ188*VLOOKUP('Données projet'!$B$15,Paramètres!$A$1:$I$89,3,0)*VLOOKUP('Données projet'!$B$15,Paramètres!$A$1:$I$89,5,0)</f>
        <v>0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396.0878652679051</v>
      </c>
      <c r="EP188" s="60">
        <f t="shared" si="154"/>
        <v>327.26339199235406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-5.6843418860808015E-14</v>
      </c>
      <c r="FF188" s="18">
        <f>FE188*VLOOKUP('Données projet'!$B$16,Paramètres!$A$1:$I$89,3,0)*VLOOKUP('Données projet'!$B$16,Paramètres!$A$1:$I$89,5,0)</f>
        <v>-4.1677594708744434E-14</v>
      </c>
      <c r="FG188" s="14" t="e">
        <f t="shared" si="182"/>
        <v>#NUM!</v>
      </c>
      <c r="FH188" s="22" t="e">
        <f t="shared" si="183"/>
        <v>#NUM!</v>
      </c>
      <c r="FI188" s="60" t="e">
        <f t="shared" si="131"/>
        <v>#NUM!</v>
      </c>
      <c r="FJ188" s="60">
        <f ca="1">AVERAGE(OFFSET($FI$3,0,0,'Données projet'!$E$16+1,1))-AVERAGE(OFFSET($H$3,0,0,'Données projet'!$E$16+1,1))</f>
        <v>368.35775920359396</v>
      </c>
      <c r="FK188" s="60">
        <f t="shared" si="156"/>
        <v>395.5218438652638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-1.2505552149377763E-12</v>
      </c>
      <c r="GA188" s="18">
        <f>FZ188*VLOOKUP('Données projet'!$B$17,Paramètres!$A$1:$I$89,3,0)*VLOOKUP('Données projet'!$B$17,Paramètres!$A$1:$I$89,5,0)</f>
        <v>-1.0729763744166122E-12</v>
      </c>
      <c r="GB188" s="14" t="e">
        <f t="shared" si="185"/>
        <v>#NUM!</v>
      </c>
      <c r="GC188" s="22" t="e">
        <f t="shared" si="186"/>
        <v>#NUM!</v>
      </c>
      <c r="GD188" s="60" t="e">
        <f t="shared" si="134"/>
        <v>#NUM!</v>
      </c>
      <c r="GE188" s="60">
        <f ca="1">AVERAGE(OFFSET($GD$3,0,0,'Données projet'!$E$17+1,1))-AVERAGE(OFFSET($H$3,0,0,'Données projet'!$E$17+1,1))</f>
        <v>701.44583662096022</v>
      </c>
      <c r="GF188" s="60">
        <f t="shared" si="158"/>
        <v>331.25104323342907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-1.1368683772161603E-13</v>
      </c>
      <c r="GV188" s="18">
        <f>GU188*VLOOKUP('Données projet'!$B$18,Paramètres!$A$1:$I$89,3,0)*VLOOKUP('Données projet'!$B$18,Paramètres!$A$1:$I$89,5,0)</f>
        <v>-9.2222762759774927E-14</v>
      </c>
      <c r="GW188" s="14" t="e">
        <f t="shared" si="188"/>
        <v>#NUM!</v>
      </c>
      <c r="GX188" s="22" t="e">
        <f t="shared" si="189"/>
        <v>#NUM!</v>
      </c>
      <c r="GY188" s="60" t="e">
        <f t="shared" si="137"/>
        <v>#NUM!</v>
      </c>
      <c r="GZ188" s="60">
        <f ca="1">AVERAGE(OFFSET($GY$3,0,0,'Données projet'!$E$18+1,1))-AVERAGE(OFFSET($H$3,0,0,'Données projet'!$E$18+1,1))</f>
        <v>272.69564942740931</v>
      </c>
      <c r="HA188" s="60">
        <f t="shared" si="160"/>
        <v>316.57989180609252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25">
      <c r="A189" s="11">
        <f t="shared" si="161"/>
        <v>186</v>
      </c>
      <c r="B189" s="75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8">
        <f t="shared" si="110"/>
        <v>183.33333333333334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-1.0286385077051818E-13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570.08763950759544</v>
      </c>
      <c r="T189" s="60">
        <f t="shared" si="142"/>
        <v>297.32483725004136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-4.5224624045658861E-14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394.49874384716014</v>
      </c>
      <c r="AO189" s="60">
        <f t="shared" si="144"/>
        <v>423.72519584013378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5.4092197387944907E-14</v>
      </c>
      <c r="BF189" s="14">
        <f t="shared" si="167"/>
        <v>8.7287050538073676E-13</v>
      </c>
      <c r="BG189" s="22">
        <f t="shared" si="168"/>
        <v>1.6144600406554537E-12</v>
      </c>
      <c r="BH189" s="60">
        <f t="shared" si="116"/>
        <v>289.796758105859</v>
      </c>
      <c r="BI189" s="60">
        <f ca="1">AVERAGE(OFFSET($BH$3,0,0,'Données projet'!$E$11+1,1))-AVERAGE(OFFSET($H$3,0,0,'Données projet'!$E$11+1,1))</f>
        <v>441.15969139782891</v>
      </c>
      <c r="BJ189" s="60">
        <f t="shared" si="146"/>
        <v>315.06466790224783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8.8675733422860506E-14</v>
      </c>
      <c r="CA189" s="14">
        <f t="shared" si="170"/>
        <v>1.3509285393066301E-12</v>
      </c>
      <c r="CB189" s="22">
        <f t="shared" si="171"/>
        <v>2.5073107750038623E-12</v>
      </c>
      <c r="CC189" s="60">
        <f t="shared" si="119"/>
        <v>289.79675810585991</v>
      </c>
      <c r="CD189" s="60">
        <f ca="1">AVERAGE(OFFSET($CC$3,0,0,'Données projet'!$E$12+1,1))-AVERAGE(OFFSET($H$3,0,0,'Données projet'!$E$12+1,1))</f>
        <v>312.59632808777332</v>
      </c>
      <c r="CE189" s="60">
        <f t="shared" si="148"/>
        <v>302.59481222418219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-1.1368683772161603E-13</v>
      </c>
      <c r="CU189" s="18">
        <f>CT189*VLOOKUP('Données projet'!$B$13,Paramètres!$A$1:$I$89,3,0)*VLOOKUP('Données projet'!$B$13,Paramètres!$A$1:$I$89,5,0)</f>
        <v>-1.0995790944434703E-13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603.52431522262032</v>
      </c>
      <c r="CZ189" s="60">
        <f t="shared" si="150"/>
        <v>313.56299786481338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-1.1368683772161603E-13</v>
      </c>
      <c r="DP189" s="18">
        <f>DO189*VLOOKUP('Données projet'!$B$14,Paramètres!$A$1:$I$89,3,0)*VLOOKUP('Données projet'!$B$14,Paramètres!$A$1:$I$89,5,0)</f>
        <v>-1.223725121235475E-13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661.93515988633499</v>
      </c>
      <c r="DU189" s="60">
        <f t="shared" si="152"/>
        <v>341.9250949809848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>
        <f>EJ189*VLOOKUP('Données projet'!$B$15,Paramètres!$A$1:$I$89,3,0)*VLOOKUP('Données projet'!$B$15,Paramètres!$A$1:$I$89,5,0)</f>
        <v>0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396.0878652679051</v>
      </c>
      <c r="EP189" s="60">
        <f t="shared" si="154"/>
        <v>327.26339199235406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-5.6843418860808015E-14</v>
      </c>
      <c r="FF189" s="18">
        <f>FE189*VLOOKUP('Données projet'!$B$16,Paramètres!$A$1:$I$89,3,0)*VLOOKUP('Données projet'!$B$16,Paramètres!$A$1:$I$89,5,0)</f>
        <v>-4.1677594708744434E-14</v>
      </c>
      <c r="FG189" s="14" t="e">
        <f t="shared" si="182"/>
        <v>#NUM!</v>
      </c>
      <c r="FH189" s="22" t="e">
        <f t="shared" si="183"/>
        <v>#NUM!</v>
      </c>
      <c r="FI189" s="60" t="e">
        <f t="shared" si="131"/>
        <v>#NUM!</v>
      </c>
      <c r="FJ189" s="60">
        <f ca="1">AVERAGE(OFFSET($FI$3,0,0,'Données projet'!$E$16+1,1))-AVERAGE(OFFSET($H$3,0,0,'Données projet'!$E$16+1,1))</f>
        <v>368.35775920359396</v>
      </c>
      <c r="FK189" s="60">
        <f t="shared" si="156"/>
        <v>395.5218438652638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-1.2505552149377763E-12</v>
      </c>
      <c r="GA189" s="18">
        <f>FZ189*VLOOKUP('Données projet'!$B$17,Paramètres!$A$1:$I$89,3,0)*VLOOKUP('Données projet'!$B$17,Paramètres!$A$1:$I$89,5,0)</f>
        <v>-1.0729763744166122E-12</v>
      </c>
      <c r="GB189" s="14" t="e">
        <f t="shared" si="185"/>
        <v>#NUM!</v>
      </c>
      <c r="GC189" s="22" t="e">
        <f t="shared" si="186"/>
        <v>#NUM!</v>
      </c>
      <c r="GD189" s="60" t="e">
        <f t="shared" si="134"/>
        <v>#NUM!</v>
      </c>
      <c r="GE189" s="60">
        <f ca="1">AVERAGE(OFFSET($GD$3,0,0,'Données projet'!$E$17+1,1))-AVERAGE(OFFSET($H$3,0,0,'Données projet'!$E$17+1,1))</f>
        <v>701.44583662096022</v>
      </c>
      <c r="GF189" s="60">
        <f t="shared" si="158"/>
        <v>331.25104323342907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-1.1368683772161603E-13</v>
      </c>
      <c r="GV189" s="18">
        <f>GU189*VLOOKUP('Données projet'!$B$18,Paramètres!$A$1:$I$89,3,0)*VLOOKUP('Données projet'!$B$18,Paramètres!$A$1:$I$89,5,0)</f>
        <v>-9.2222762759774927E-14</v>
      </c>
      <c r="GW189" s="14" t="e">
        <f t="shared" si="188"/>
        <v>#NUM!</v>
      </c>
      <c r="GX189" s="22" t="e">
        <f t="shared" si="189"/>
        <v>#NUM!</v>
      </c>
      <c r="GY189" s="60" t="e">
        <f t="shared" si="137"/>
        <v>#NUM!</v>
      </c>
      <c r="GZ189" s="60">
        <f ca="1">AVERAGE(OFFSET($GY$3,0,0,'Données projet'!$E$18+1,1))-AVERAGE(OFFSET($H$3,0,0,'Données projet'!$E$18+1,1))</f>
        <v>272.69564942740931</v>
      </c>
      <c r="HA189" s="60">
        <f t="shared" si="160"/>
        <v>316.57989180609252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25">
      <c r="A190" s="11">
        <f t="shared" si="161"/>
        <v>187</v>
      </c>
      <c r="B190" s="75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8">
        <f t="shared" si="110"/>
        <v>183.33333333333334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-1.0286385077051818E-13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570.08763950759544</v>
      </c>
      <c r="T190" s="60">
        <f t="shared" si="142"/>
        <v>297.32483725004136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-4.5224624045658861E-14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394.49874384716014</v>
      </c>
      <c r="AO190" s="60">
        <f t="shared" si="144"/>
        <v>423.72519584013378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5.4092197387944907E-14</v>
      </c>
      <c r="BF190" s="14">
        <f t="shared" si="167"/>
        <v>8.7287050538073676E-13</v>
      </c>
      <c r="BG190" s="22">
        <f t="shared" si="168"/>
        <v>1.6144600406554537E-12</v>
      </c>
      <c r="BH190" s="60">
        <f t="shared" si="116"/>
        <v>289.858109779458</v>
      </c>
      <c r="BI190" s="60">
        <f ca="1">AVERAGE(OFFSET($BH$3,0,0,'Données projet'!$E$11+1,1))-AVERAGE(OFFSET($H$3,0,0,'Données projet'!$E$11+1,1))</f>
        <v>441.15969139782891</v>
      </c>
      <c r="BJ190" s="60">
        <f t="shared" si="146"/>
        <v>315.06466790224783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8.8675733422860506E-14</v>
      </c>
      <c r="CA190" s="14">
        <f t="shared" si="170"/>
        <v>1.3509285393066301E-12</v>
      </c>
      <c r="CB190" s="22">
        <f t="shared" si="171"/>
        <v>2.5073107750038623E-12</v>
      </c>
      <c r="CC190" s="60">
        <f t="shared" si="119"/>
        <v>289.85810977945891</v>
      </c>
      <c r="CD190" s="60">
        <f ca="1">AVERAGE(OFFSET($CC$3,0,0,'Données projet'!$E$12+1,1))-AVERAGE(OFFSET($H$3,0,0,'Données projet'!$E$12+1,1))</f>
        <v>312.59632808777332</v>
      </c>
      <c r="CE190" s="60">
        <f t="shared" si="148"/>
        <v>302.59481222418219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-1.1368683772161603E-13</v>
      </c>
      <c r="CU190" s="18">
        <f>CT190*VLOOKUP('Données projet'!$B$13,Paramètres!$A$1:$I$89,3,0)*VLOOKUP('Données projet'!$B$13,Paramètres!$A$1:$I$89,5,0)</f>
        <v>-1.0995790944434703E-13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603.52431522262032</v>
      </c>
      <c r="CZ190" s="60">
        <f t="shared" si="150"/>
        <v>313.56299786481338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-1.1368683772161603E-13</v>
      </c>
      <c r="DP190" s="18">
        <f>DO190*VLOOKUP('Données projet'!$B$14,Paramètres!$A$1:$I$89,3,0)*VLOOKUP('Données projet'!$B$14,Paramètres!$A$1:$I$89,5,0)</f>
        <v>-1.223725121235475E-13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661.93515988633499</v>
      </c>
      <c r="DU190" s="60">
        <f t="shared" si="152"/>
        <v>341.9250949809848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>
        <f>EJ190*VLOOKUP('Données projet'!$B$15,Paramètres!$A$1:$I$89,3,0)*VLOOKUP('Données projet'!$B$15,Paramètres!$A$1:$I$89,5,0)</f>
        <v>0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396.0878652679051</v>
      </c>
      <c r="EP190" s="60">
        <f t="shared" si="154"/>
        <v>327.26339199235406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-5.6843418860808015E-14</v>
      </c>
      <c r="FF190" s="18">
        <f>FE190*VLOOKUP('Données projet'!$B$16,Paramètres!$A$1:$I$89,3,0)*VLOOKUP('Données projet'!$B$16,Paramètres!$A$1:$I$89,5,0)</f>
        <v>-4.1677594708744434E-14</v>
      </c>
      <c r="FG190" s="14" t="e">
        <f t="shared" si="182"/>
        <v>#NUM!</v>
      </c>
      <c r="FH190" s="22" t="e">
        <f t="shared" si="183"/>
        <v>#NUM!</v>
      </c>
      <c r="FI190" s="60" t="e">
        <f t="shared" si="131"/>
        <v>#NUM!</v>
      </c>
      <c r="FJ190" s="60">
        <f ca="1">AVERAGE(OFFSET($FI$3,0,0,'Données projet'!$E$16+1,1))-AVERAGE(OFFSET($H$3,0,0,'Données projet'!$E$16+1,1))</f>
        <v>368.35775920359396</v>
      </c>
      <c r="FK190" s="60">
        <f t="shared" si="156"/>
        <v>395.5218438652638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-1.2505552149377763E-12</v>
      </c>
      <c r="GA190" s="18">
        <f>FZ190*VLOOKUP('Données projet'!$B$17,Paramètres!$A$1:$I$89,3,0)*VLOOKUP('Données projet'!$B$17,Paramètres!$A$1:$I$89,5,0)</f>
        <v>-1.0729763744166122E-12</v>
      </c>
      <c r="GB190" s="14" t="e">
        <f t="shared" si="185"/>
        <v>#NUM!</v>
      </c>
      <c r="GC190" s="22" t="e">
        <f t="shared" si="186"/>
        <v>#NUM!</v>
      </c>
      <c r="GD190" s="60" t="e">
        <f t="shared" si="134"/>
        <v>#NUM!</v>
      </c>
      <c r="GE190" s="60">
        <f ca="1">AVERAGE(OFFSET($GD$3,0,0,'Données projet'!$E$17+1,1))-AVERAGE(OFFSET($H$3,0,0,'Données projet'!$E$17+1,1))</f>
        <v>701.44583662096022</v>
      </c>
      <c r="GF190" s="60">
        <f t="shared" si="158"/>
        <v>331.25104323342907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-1.1368683772161603E-13</v>
      </c>
      <c r="GV190" s="18">
        <f>GU190*VLOOKUP('Données projet'!$B$18,Paramètres!$A$1:$I$89,3,0)*VLOOKUP('Données projet'!$B$18,Paramètres!$A$1:$I$89,5,0)</f>
        <v>-9.2222762759774927E-14</v>
      </c>
      <c r="GW190" s="14" t="e">
        <f t="shared" si="188"/>
        <v>#NUM!</v>
      </c>
      <c r="GX190" s="22" t="e">
        <f t="shared" si="189"/>
        <v>#NUM!</v>
      </c>
      <c r="GY190" s="60" t="e">
        <f t="shared" si="137"/>
        <v>#NUM!</v>
      </c>
      <c r="GZ190" s="60">
        <f ca="1">AVERAGE(OFFSET($GY$3,0,0,'Données projet'!$E$18+1,1))-AVERAGE(OFFSET($H$3,0,0,'Données projet'!$E$18+1,1))</f>
        <v>272.69564942740931</v>
      </c>
      <c r="HA190" s="60">
        <f t="shared" si="160"/>
        <v>316.57989180609252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25">
      <c r="A191" s="11">
        <f t="shared" si="161"/>
        <v>188</v>
      </c>
      <c r="B191" s="75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8">
        <f t="shared" si="110"/>
        <v>183.33333333333334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-1.0286385077051818E-13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570.08763950759544</v>
      </c>
      <c r="T191" s="60">
        <f t="shared" si="142"/>
        <v>297.32483725004136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-4.5224624045658861E-14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394.49874384716014</v>
      </c>
      <c r="AO191" s="60">
        <f t="shared" si="144"/>
        <v>423.72519584013378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5.4092197387944907E-14</v>
      </c>
      <c r="BF191" s="14">
        <f t="shared" si="167"/>
        <v>8.7287050538073676E-13</v>
      </c>
      <c r="BG191" s="22">
        <f t="shared" si="168"/>
        <v>1.6144600406554537E-12</v>
      </c>
      <c r="BH191" s="60">
        <f t="shared" si="116"/>
        <v>289.91839713868183</v>
      </c>
      <c r="BI191" s="60">
        <f ca="1">AVERAGE(OFFSET($BH$3,0,0,'Données projet'!$E$11+1,1))-AVERAGE(OFFSET($H$3,0,0,'Données projet'!$E$11+1,1))</f>
        <v>441.15969139782891</v>
      </c>
      <c r="BJ191" s="60">
        <f t="shared" si="146"/>
        <v>315.06466790224783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8.8675733422860506E-14</v>
      </c>
      <c r="CA191" s="14">
        <f t="shared" si="170"/>
        <v>1.3509285393066301E-12</v>
      </c>
      <c r="CB191" s="22">
        <f t="shared" si="171"/>
        <v>2.5073107750038623E-12</v>
      </c>
      <c r="CC191" s="60">
        <f t="shared" si="119"/>
        <v>289.91839713868274</v>
      </c>
      <c r="CD191" s="60">
        <f ca="1">AVERAGE(OFFSET($CC$3,0,0,'Données projet'!$E$12+1,1))-AVERAGE(OFFSET($H$3,0,0,'Données projet'!$E$12+1,1))</f>
        <v>312.59632808777332</v>
      </c>
      <c r="CE191" s="60">
        <f t="shared" si="148"/>
        <v>302.59481222418219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-1.1368683772161603E-13</v>
      </c>
      <c r="CU191" s="18">
        <f>CT191*VLOOKUP('Données projet'!$B$13,Paramètres!$A$1:$I$89,3,0)*VLOOKUP('Données projet'!$B$13,Paramètres!$A$1:$I$89,5,0)</f>
        <v>-1.0995790944434703E-13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603.52431522262032</v>
      </c>
      <c r="CZ191" s="60">
        <f t="shared" si="150"/>
        <v>313.56299786481338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-1.1368683772161603E-13</v>
      </c>
      <c r="DP191" s="18">
        <f>DO191*VLOOKUP('Données projet'!$B$14,Paramètres!$A$1:$I$89,3,0)*VLOOKUP('Données projet'!$B$14,Paramètres!$A$1:$I$89,5,0)</f>
        <v>-1.223725121235475E-13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661.93515988633499</v>
      </c>
      <c r="DU191" s="60">
        <f t="shared" si="152"/>
        <v>341.9250949809848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>
        <f>EJ191*VLOOKUP('Données projet'!$B$15,Paramètres!$A$1:$I$89,3,0)*VLOOKUP('Données projet'!$B$15,Paramètres!$A$1:$I$89,5,0)</f>
        <v>0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396.0878652679051</v>
      </c>
      <c r="EP191" s="60">
        <f t="shared" si="154"/>
        <v>327.26339199235406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-5.6843418860808015E-14</v>
      </c>
      <c r="FF191" s="18">
        <f>FE191*VLOOKUP('Données projet'!$B$16,Paramètres!$A$1:$I$89,3,0)*VLOOKUP('Données projet'!$B$16,Paramètres!$A$1:$I$89,5,0)</f>
        <v>-4.1677594708744434E-14</v>
      </c>
      <c r="FG191" s="14" t="e">
        <f t="shared" si="182"/>
        <v>#NUM!</v>
      </c>
      <c r="FH191" s="22" t="e">
        <f t="shared" si="183"/>
        <v>#NUM!</v>
      </c>
      <c r="FI191" s="60" t="e">
        <f t="shared" si="131"/>
        <v>#NUM!</v>
      </c>
      <c r="FJ191" s="60">
        <f ca="1">AVERAGE(OFFSET($FI$3,0,0,'Données projet'!$E$16+1,1))-AVERAGE(OFFSET($H$3,0,0,'Données projet'!$E$16+1,1))</f>
        <v>368.35775920359396</v>
      </c>
      <c r="FK191" s="60">
        <f t="shared" si="156"/>
        <v>395.5218438652638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-1.2505552149377763E-12</v>
      </c>
      <c r="GA191" s="18">
        <f>FZ191*VLOOKUP('Données projet'!$B$17,Paramètres!$A$1:$I$89,3,0)*VLOOKUP('Données projet'!$B$17,Paramètres!$A$1:$I$89,5,0)</f>
        <v>-1.0729763744166122E-12</v>
      </c>
      <c r="GB191" s="14" t="e">
        <f t="shared" si="185"/>
        <v>#NUM!</v>
      </c>
      <c r="GC191" s="22" t="e">
        <f t="shared" si="186"/>
        <v>#NUM!</v>
      </c>
      <c r="GD191" s="60" t="e">
        <f t="shared" si="134"/>
        <v>#NUM!</v>
      </c>
      <c r="GE191" s="60">
        <f ca="1">AVERAGE(OFFSET($GD$3,0,0,'Données projet'!$E$17+1,1))-AVERAGE(OFFSET($H$3,0,0,'Données projet'!$E$17+1,1))</f>
        <v>701.44583662096022</v>
      </c>
      <c r="GF191" s="60">
        <f t="shared" si="158"/>
        <v>331.25104323342907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-1.1368683772161603E-13</v>
      </c>
      <c r="GV191" s="18">
        <f>GU191*VLOOKUP('Données projet'!$B$18,Paramètres!$A$1:$I$89,3,0)*VLOOKUP('Données projet'!$B$18,Paramètres!$A$1:$I$89,5,0)</f>
        <v>-9.2222762759774927E-14</v>
      </c>
      <c r="GW191" s="14" t="e">
        <f t="shared" si="188"/>
        <v>#NUM!</v>
      </c>
      <c r="GX191" s="22" t="e">
        <f t="shared" si="189"/>
        <v>#NUM!</v>
      </c>
      <c r="GY191" s="60" t="e">
        <f t="shared" si="137"/>
        <v>#NUM!</v>
      </c>
      <c r="GZ191" s="60">
        <f ca="1">AVERAGE(OFFSET($GY$3,0,0,'Données projet'!$E$18+1,1))-AVERAGE(OFFSET($H$3,0,0,'Données projet'!$E$18+1,1))</f>
        <v>272.69564942740931</v>
      </c>
      <c r="HA191" s="60">
        <f t="shared" si="160"/>
        <v>316.57989180609252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25">
      <c r="A192" s="11">
        <f t="shared" si="161"/>
        <v>189</v>
      </c>
      <c r="B192" s="75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8">
        <f t="shared" si="110"/>
        <v>183.33333333333334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-1.0286385077051818E-13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570.08763950759544</v>
      </c>
      <c r="T192" s="60">
        <f t="shared" si="142"/>
        <v>297.32483725004136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-4.5224624045658861E-14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394.49874384716014</v>
      </c>
      <c r="AO192" s="60">
        <f t="shared" si="144"/>
        <v>423.72519584013378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5.4092197387944907E-14</v>
      </c>
      <c r="BF192" s="14">
        <f t="shared" si="167"/>
        <v>8.7287050538073676E-13</v>
      </c>
      <c r="BG192" s="22">
        <f t="shared" si="168"/>
        <v>1.6144600406554537E-12</v>
      </c>
      <c r="BH192" s="60">
        <f t="shared" si="116"/>
        <v>289.97763864700545</v>
      </c>
      <c r="BI192" s="60">
        <f ca="1">AVERAGE(OFFSET($BH$3,0,0,'Données projet'!$E$11+1,1))-AVERAGE(OFFSET($H$3,0,0,'Données projet'!$E$11+1,1))</f>
        <v>441.15969139782891</v>
      </c>
      <c r="BJ192" s="60">
        <f t="shared" si="146"/>
        <v>315.06466790224783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8.8675733422860506E-14</v>
      </c>
      <c r="CA192" s="14">
        <f t="shared" si="170"/>
        <v>1.3509285393066301E-12</v>
      </c>
      <c r="CB192" s="22">
        <f t="shared" si="171"/>
        <v>2.5073107750038623E-12</v>
      </c>
      <c r="CC192" s="60">
        <f t="shared" si="119"/>
        <v>289.97763864700636</v>
      </c>
      <c r="CD192" s="60">
        <f ca="1">AVERAGE(OFFSET($CC$3,0,0,'Données projet'!$E$12+1,1))-AVERAGE(OFFSET($H$3,0,0,'Données projet'!$E$12+1,1))</f>
        <v>312.59632808777332</v>
      </c>
      <c r="CE192" s="60">
        <f t="shared" si="148"/>
        <v>302.59481222418219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-1.1368683772161603E-13</v>
      </c>
      <c r="CU192" s="18">
        <f>CT192*VLOOKUP('Données projet'!$B$13,Paramètres!$A$1:$I$89,3,0)*VLOOKUP('Données projet'!$B$13,Paramètres!$A$1:$I$89,5,0)</f>
        <v>-1.0995790944434703E-13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603.52431522262032</v>
      </c>
      <c r="CZ192" s="60">
        <f t="shared" si="150"/>
        <v>313.56299786481338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-1.1368683772161603E-13</v>
      </c>
      <c r="DP192" s="18">
        <f>DO192*VLOOKUP('Données projet'!$B$14,Paramètres!$A$1:$I$89,3,0)*VLOOKUP('Données projet'!$B$14,Paramètres!$A$1:$I$89,5,0)</f>
        <v>-1.223725121235475E-13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661.93515988633499</v>
      </c>
      <c r="DU192" s="60">
        <f t="shared" si="152"/>
        <v>341.9250949809848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>
        <f>EJ192*VLOOKUP('Données projet'!$B$15,Paramètres!$A$1:$I$89,3,0)*VLOOKUP('Données projet'!$B$15,Paramètres!$A$1:$I$89,5,0)</f>
        <v>0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396.0878652679051</v>
      </c>
      <c r="EP192" s="60">
        <f t="shared" si="154"/>
        <v>327.26339199235406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-5.6843418860808015E-14</v>
      </c>
      <c r="FF192" s="18">
        <f>FE192*VLOOKUP('Données projet'!$B$16,Paramètres!$A$1:$I$89,3,0)*VLOOKUP('Données projet'!$B$16,Paramètres!$A$1:$I$89,5,0)</f>
        <v>-4.1677594708744434E-14</v>
      </c>
      <c r="FG192" s="14" t="e">
        <f t="shared" si="182"/>
        <v>#NUM!</v>
      </c>
      <c r="FH192" s="22" t="e">
        <f t="shared" si="183"/>
        <v>#NUM!</v>
      </c>
      <c r="FI192" s="60" t="e">
        <f t="shared" si="131"/>
        <v>#NUM!</v>
      </c>
      <c r="FJ192" s="60">
        <f ca="1">AVERAGE(OFFSET($FI$3,0,0,'Données projet'!$E$16+1,1))-AVERAGE(OFFSET($H$3,0,0,'Données projet'!$E$16+1,1))</f>
        <v>368.35775920359396</v>
      </c>
      <c r="FK192" s="60">
        <f t="shared" si="156"/>
        <v>395.5218438652638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-1.2505552149377763E-12</v>
      </c>
      <c r="GA192" s="18">
        <f>FZ192*VLOOKUP('Données projet'!$B$17,Paramètres!$A$1:$I$89,3,0)*VLOOKUP('Données projet'!$B$17,Paramètres!$A$1:$I$89,5,0)</f>
        <v>-1.0729763744166122E-12</v>
      </c>
      <c r="GB192" s="14" t="e">
        <f t="shared" si="185"/>
        <v>#NUM!</v>
      </c>
      <c r="GC192" s="22" t="e">
        <f t="shared" si="186"/>
        <v>#NUM!</v>
      </c>
      <c r="GD192" s="60" t="e">
        <f t="shared" si="134"/>
        <v>#NUM!</v>
      </c>
      <c r="GE192" s="60">
        <f ca="1">AVERAGE(OFFSET($GD$3,0,0,'Données projet'!$E$17+1,1))-AVERAGE(OFFSET($H$3,0,0,'Données projet'!$E$17+1,1))</f>
        <v>701.44583662096022</v>
      </c>
      <c r="GF192" s="60">
        <f t="shared" si="158"/>
        <v>331.25104323342907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-1.1368683772161603E-13</v>
      </c>
      <c r="GV192" s="18">
        <f>GU192*VLOOKUP('Données projet'!$B$18,Paramètres!$A$1:$I$89,3,0)*VLOOKUP('Données projet'!$B$18,Paramètres!$A$1:$I$89,5,0)</f>
        <v>-9.2222762759774927E-14</v>
      </c>
      <c r="GW192" s="14" t="e">
        <f t="shared" si="188"/>
        <v>#NUM!</v>
      </c>
      <c r="GX192" s="22" t="e">
        <f t="shared" si="189"/>
        <v>#NUM!</v>
      </c>
      <c r="GY192" s="60" t="e">
        <f t="shared" si="137"/>
        <v>#NUM!</v>
      </c>
      <c r="GZ192" s="60">
        <f ca="1">AVERAGE(OFFSET($GY$3,0,0,'Données projet'!$E$18+1,1))-AVERAGE(OFFSET($H$3,0,0,'Données projet'!$E$18+1,1))</f>
        <v>272.69564942740931</v>
      </c>
      <c r="HA192" s="60">
        <f t="shared" si="160"/>
        <v>316.57989180609252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25">
      <c r="A193" s="11">
        <f t="shared" si="161"/>
        <v>190</v>
      </c>
      <c r="B193" s="75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8">
        <f t="shared" si="110"/>
        <v>183.33333333333334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-1.0286385077051818E-13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570.08763950759544</v>
      </c>
      <c r="T193" s="60">
        <f t="shared" si="142"/>
        <v>297.32483725004136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-4.5224624045658861E-14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394.49874384716014</v>
      </c>
      <c r="AO193" s="60">
        <f t="shared" si="144"/>
        <v>423.72519584013378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5.4092197387944907E-14</v>
      </c>
      <c r="BF193" s="14">
        <f t="shared" si="167"/>
        <v>8.7287050538073676E-13</v>
      </c>
      <c r="BG193" s="22">
        <f t="shared" si="168"/>
        <v>1.6144600406554537E-12</v>
      </c>
      <c r="BH193" s="60">
        <f t="shared" si="116"/>
        <v>290.03585244760387</v>
      </c>
      <c r="BI193" s="60">
        <f ca="1">AVERAGE(OFFSET($BH$3,0,0,'Données projet'!$E$11+1,1))-AVERAGE(OFFSET($H$3,0,0,'Données projet'!$E$11+1,1))</f>
        <v>441.15969139782891</v>
      </c>
      <c r="BJ193" s="60">
        <f t="shared" si="146"/>
        <v>315.06466790224783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8.8675733422860506E-14</v>
      </c>
      <c r="CA193" s="14">
        <f t="shared" si="170"/>
        <v>1.3509285393066301E-12</v>
      </c>
      <c r="CB193" s="22">
        <f t="shared" si="171"/>
        <v>2.5073107750038623E-12</v>
      </c>
      <c r="CC193" s="60">
        <f t="shared" si="119"/>
        <v>290.03585244760478</v>
      </c>
      <c r="CD193" s="60">
        <f ca="1">AVERAGE(OFFSET($CC$3,0,0,'Données projet'!$E$12+1,1))-AVERAGE(OFFSET($H$3,0,0,'Données projet'!$E$12+1,1))</f>
        <v>312.59632808777332</v>
      </c>
      <c r="CE193" s="60">
        <f t="shared" si="148"/>
        <v>302.59481222418219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-1.1368683772161603E-13</v>
      </c>
      <c r="CU193" s="18">
        <f>CT193*VLOOKUP('Données projet'!$B$13,Paramètres!$A$1:$I$89,3,0)*VLOOKUP('Données projet'!$B$13,Paramètres!$A$1:$I$89,5,0)</f>
        <v>-1.0995790944434703E-13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603.52431522262032</v>
      </c>
      <c r="CZ193" s="60">
        <f t="shared" si="150"/>
        <v>313.56299786481338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-1.1368683772161603E-13</v>
      </c>
      <c r="DP193" s="18">
        <f>DO193*VLOOKUP('Données projet'!$B$14,Paramètres!$A$1:$I$89,3,0)*VLOOKUP('Données projet'!$B$14,Paramètres!$A$1:$I$89,5,0)</f>
        <v>-1.223725121235475E-13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661.93515988633499</v>
      </c>
      <c r="DU193" s="60">
        <f t="shared" si="152"/>
        <v>341.9250949809848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>
        <f>EJ193*VLOOKUP('Données projet'!$B$15,Paramètres!$A$1:$I$89,3,0)*VLOOKUP('Données projet'!$B$15,Paramètres!$A$1:$I$89,5,0)</f>
        <v>0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396.0878652679051</v>
      </c>
      <c r="EP193" s="60">
        <f t="shared" si="154"/>
        <v>327.26339199235406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-5.6843418860808015E-14</v>
      </c>
      <c r="FF193" s="18">
        <f>FE193*VLOOKUP('Données projet'!$B$16,Paramètres!$A$1:$I$89,3,0)*VLOOKUP('Données projet'!$B$16,Paramètres!$A$1:$I$89,5,0)</f>
        <v>-4.1677594708744434E-14</v>
      </c>
      <c r="FG193" s="14" t="e">
        <f t="shared" si="182"/>
        <v>#NUM!</v>
      </c>
      <c r="FH193" s="22" t="e">
        <f t="shared" si="183"/>
        <v>#NUM!</v>
      </c>
      <c r="FI193" s="60" t="e">
        <f t="shared" si="131"/>
        <v>#NUM!</v>
      </c>
      <c r="FJ193" s="60">
        <f ca="1">AVERAGE(OFFSET($FI$3,0,0,'Données projet'!$E$16+1,1))-AVERAGE(OFFSET($H$3,0,0,'Données projet'!$E$16+1,1))</f>
        <v>368.35775920359396</v>
      </c>
      <c r="FK193" s="60">
        <f t="shared" si="156"/>
        <v>395.5218438652638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-1.2505552149377763E-12</v>
      </c>
      <c r="GA193" s="18">
        <f>FZ193*VLOOKUP('Données projet'!$B$17,Paramètres!$A$1:$I$89,3,0)*VLOOKUP('Données projet'!$B$17,Paramètres!$A$1:$I$89,5,0)</f>
        <v>-1.0729763744166122E-12</v>
      </c>
      <c r="GB193" s="14" t="e">
        <f t="shared" si="185"/>
        <v>#NUM!</v>
      </c>
      <c r="GC193" s="22" t="e">
        <f t="shared" si="186"/>
        <v>#NUM!</v>
      </c>
      <c r="GD193" s="60" t="e">
        <f t="shared" si="134"/>
        <v>#NUM!</v>
      </c>
      <c r="GE193" s="60">
        <f ca="1">AVERAGE(OFFSET($GD$3,0,0,'Données projet'!$E$17+1,1))-AVERAGE(OFFSET($H$3,0,0,'Données projet'!$E$17+1,1))</f>
        <v>701.44583662096022</v>
      </c>
      <c r="GF193" s="60">
        <f t="shared" si="158"/>
        <v>331.25104323342907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-1.1368683772161603E-13</v>
      </c>
      <c r="GV193" s="18">
        <f>GU193*VLOOKUP('Données projet'!$B$18,Paramètres!$A$1:$I$89,3,0)*VLOOKUP('Données projet'!$B$18,Paramètres!$A$1:$I$89,5,0)</f>
        <v>-9.2222762759774927E-14</v>
      </c>
      <c r="GW193" s="14" t="e">
        <f t="shared" si="188"/>
        <v>#NUM!</v>
      </c>
      <c r="GX193" s="22" t="e">
        <f t="shared" si="189"/>
        <v>#NUM!</v>
      </c>
      <c r="GY193" s="60" t="e">
        <f t="shared" si="137"/>
        <v>#NUM!</v>
      </c>
      <c r="GZ193" s="60">
        <f ca="1">AVERAGE(OFFSET($GY$3,0,0,'Données projet'!$E$18+1,1))-AVERAGE(OFFSET($H$3,0,0,'Données projet'!$E$18+1,1))</f>
        <v>272.69564942740931</v>
      </c>
      <c r="HA193" s="60">
        <f t="shared" si="160"/>
        <v>316.57989180609252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25">
      <c r="A194" s="11">
        <f t="shared" si="161"/>
        <v>191</v>
      </c>
      <c r="B194" s="75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8">
        <f t="shared" si="110"/>
        <v>183.33333333333334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-1.0286385077051818E-13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570.08763950759544</v>
      </c>
      <c r="T194" s="60">
        <f t="shared" si="142"/>
        <v>297.32483725004136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-4.5224624045658861E-14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394.49874384716014</v>
      </c>
      <c r="AO194" s="60">
        <f t="shared" si="144"/>
        <v>423.72519584013378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5.4092197387944907E-14</v>
      </c>
      <c r="BF194" s="14">
        <f t="shared" si="167"/>
        <v>8.7287050538073676E-13</v>
      </c>
      <c r="BG194" s="22">
        <f t="shared" si="168"/>
        <v>1.6144600406554537E-12</v>
      </c>
      <c r="BH194" s="60">
        <f t="shared" si="116"/>
        <v>290.09305636890844</v>
      </c>
      <c r="BI194" s="60">
        <f ca="1">AVERAGE(OFFSET($BH$3,0,0,'Données projet'!$E$11+1,1))-AVERAGE(OFFSET($H$3,0,0,'Données projet'!$E$11+1,1))</f>
        <v>441.15969139782891</v>
      </c>
      <c r="BJ194" s="60">
        <f t="shared" si="146"/>
        <v>315.06466790224783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8.8675733422860506E-14</v>
      </c>
      <c r="CA194" s="14">
        <f t="shared" si="170"/>
        <v>1.3509285393066301E-12</v>
      </c>
      <c r="CB194" s="22">
        <f t="shared" si="171"/>
        <v>2.5073107750038623E-12</v>
      </c>
      <c r="CC194" s="60">
        <f t="shared" si="119"/>
        <v>290.09305636890934</v>
      </c>
      <c r="CD194" s="60">
        <f ca="1">AVERAGE(OFFSET($CC$3,0,0,'Données projet'!$E$12+1,1))-AVERAGE(OFFSET($H$3,0,0,'Données projet'!$E$12+1,1))</f>
        <v>312.59632808777332</v>
      </c>
      <c r="CE194" s="60">
        <f t="shared" si="148"/>
        <v>302.59481222418219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-1.1368683772161603E-13</v>
      </c>
      <c r="CU194" s="18">
        <f>CT194*VLOOKUP('Données projet'!$B$13,Paramètres!$A$1:$I$89,3,0)*VLOOKUP('Données projet'!$B$13,Paramètres!$A$1:$I$89,5,0)</f>
        <v>-1.0995790944434703E-13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603.52431522262032</v>
      </c>
      <c r="CZ194" s="60">
        <f t="shared" si="150"/>
        <v>313.56299786481338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-1.1368683772161603E-13</v>
      </c>
      <c r="DP194" s="18">
        <f>DO194*VLOOKUP('Données projet'!$B$14,Paramètres!$A$1:$I$89,3,0)*VLOOKUP('Données projet'!$B$14,Paramètres!$A$1:$I$89,5,0)</f>
        <v>-1.223725121235475E-13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661.93515988633499</v>
      </c>
      <c r="DU194" s="60">
        <f t="shared" si="152"/>
        <v>341.9250949809848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>
        <f>EJ194*VLOOKUP('Données projet'!$B$15,Paramètres!$A$1:$I$89,3,0)*VLOOKUP('Données projet'!$B$15,Paramètres!$A$1:$I$89,5,0)</f>
        <v>0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396.0878652679051</v>
      </c>
      <c r="EP194" s="60">
        <f t="shared" si="154"/>
        <v>327.26339199235406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-5.6843418860808015E-14</v>
      </c>
      <c r="FF194" s="18">
        <f>FE194*VLOOKUP('Données projet'!$B$16,Paramètres!$A$1:$I$89,3,0)*VLOOKUP('Données projet'!$B$16,Paramètres!$A$1:$I$89,5,0)</f>
        <v>-4.1677594708744434E-14</v>
      </c>
      <c r="FG194" s="14" t="e">
        <f t="shared" si="182"/>
        <v>#NUM!</v>
      </c>
      <c r="FH194" s="22" t="e">
        <f t="shared" si="183"/>
        <v>#NUM!</v>
      </c>
      <c r="FI194" s="60" t="e">
        <f t="shared" si="131"/>
        <v>#NUM!</v>
      </c>
      <c r="FJ194" s="60">
        <f ca="1">AVERAGE(OFFSET($FI$3,0,0,'Données projet'!$E$16+1,1))-AVERAGE(OFFSET($H$3,0,0,'Données projet'!$E$16+1,1))</f>
        <v>368.35775920359396</v>
      </c>
      <c r="FK194" s="60">
        <f t="shared" si="156"/>
        <v>395.5218438652638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-1.2505552149377763E-12</v>
      </c>
      <c r="GA194" s="18">
        <f>FZ194*VLOOKUP('Données projet'!$B$17,Paramètres!$A$1:$I$89,3,0)*VLOOKUP('Données projet'!$B$17,Paramètres!$A$1:$I$89,5,0)</f>
        <v>-1.0729763744166122E-12</v>
      </c>
      <c r="GB194" s="14" t="e">
        <f t="shared" si="185"/>
        <v>#NUM!</v>
      </c>
      <c r="GC194" s="22" t="e">
        <f t="shared" si="186"/>
        <v>#NUM!</v>
      </c>
      <c r="GD194" s="60" t="e">
        <f t="shared" si="134"/>
        <v>#NUM!</v>
      </c>
      <c r="GE194" s="60">
        <f ca="1">AVERAGE(OFFSET($GD$3,0,0,'Données projet'!$E$17+1,1))-AVERAGE(OFFSET($H$3,0,0,'Données projet'!$E$17+1,1))</f>
        <v>701.44583662096022</v>
      </c>
      <c r="GF194" s="60">
        <f t="shared" si="158"/>
        <v>331.25104323342907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-1.1368683772161603E-13</v>
      </c>
      <c r="GV194" s="18">
        <f>GU194*VLOOKUP('Données projet'!$B$18,Paramètres!$A$1:$I$89,3,0)*VLOOKUP('Données projet'!$B$18,Paramètres!$A$1:$I$89,5,0)</f>
        <v>-9.2222762759774927E-14</v>
      </c>
      <c r="GW194" s="14" t="e">
        <f t="shared" si="188"/>
        <v>#NUM!</v>
      </c>
      <c r="GX194" s="22" t="e">
        <f t="shared" si="189"/>
        <v>#NUM!</v>
      </c>
      <c r="GY194" s="60" t="e">
        <f t="shared" si="137"/>
        <v>#NUM!</v>
      </c>
      <c r="GZ194" s="60">
        <f ca="1">AVERAGE(OFFSET($GY$3,0,0,'Données projet'!$E$18+1,1))-AVERAGE(OFFSET($H$3,0,0,'Données projet'!$E$18+1,1))</f>
        <v>272.69564942740931</v>
      </c>
      <c r="HA194" s="60">
        <f t="shared" si="160"/>
        <v>316.57989180609252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25">
      <c r="A195" s="11">
        <f t="shared" si="161"/>
        <v>192</v>
      </c>
      <c r="B195" s="75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8">
        <f t="shared" si="110"/>
        <v>183.33333333333334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-1.0286385077051818E-13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570.08763950759544</v>
      </c>
      <c r="T195" s="60">
        <f t="shared" si="142"/>
        <v>297.32483725004136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-4.5224624045658861E-14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394.49874384716014</v>
      </c>
      <c r="AO195" s="60">
        <f t="shared" si="144"/>
        <v>423.72519584013378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5.4092197387944907E-14</v>
      </c>
      <c r="BF195" s="14">
        <f t="shared" si="167"/>
        <v>8.7287050538073676E-13</v>
      </c>
      <c r="BG195" s="22">
        <f t="shared" si="168"/>
        <v>1.6144600406554537E-12</v>
      </c>
      <c r="BH195" s="60">
        <f t="shared" si="116"/>
        <v>290.14926793006725</v>
      </c>
      <c r="BI195" s="60">
        <f ca="1">AVERAGE(OFFSET($BH$3,0,0,'Données projet'!$E$11+1,1))-AVERAGE(OFFSET($H$3,0,0,'Données projet'!$E$11+1,1))</f>
        <v>441.15969139782891</v>
      </c>
      <c r="BJ195" s="60">
        <f t="shared" si="146"/>
        <v>315.06466790224783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8.8675733422860506E-14</v>
      </c>
      <c r="CA195" s="14">
        <f t="shared" si="170"/>
        <v>1.3509285393066301E-12</v>
      </c>
      <c r="CB195" s="22">
        <f t="shared" si="171"/>
        <v>2.5073107750038623E-12</v>
      </c>
      <c r="CC195" s="60">
        <f t="shared" si="119"/>
        <v>290.14926793006816</v>
      </c>
      <c r="CD195" s="60">
        <f ca="1">AVERAGE(OFFSET($CC$3,0,0,'Données projet'!$E$12+1,1))-AVERAGE(OFFSET($H$3,0,0,'Données projet'!$E$12+1,1))</f>
        <v>312.59632808777332</v>
      </c>
      <c r="CE195" s="60">
        <f t="shared" si="148"/>
        <v>302.59481222418219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-1.1368683772161603E-13</v>
      </c>
      <c r="CU195" s="18">
        <f>CT195*VLOOKUP('Données projet'!$B$13,Paramètres!$A$1:$I$89,3,0)*VLOOKUP('Données projet'!$B$13,Paramètres!$A$1:$I$89,5,0)</f>
        <v>-1.0995790944434703E-13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603.52431522262032</v>
      </c>
      <c r="CZ195" s="60">
        <f t="shared" si="150"/>
        <v>313.56299786481338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-1.1368683772161603E-13</v>
      </c>
      <c r="DP195" s="18">
        <f>DO195*VLOOKUP('Données projet'!$B$14,Paramètres!$A$1:$I$89,3,0)*VLOOKUP('Données projet'!$B$14,Paramètres!$A$1:$I$89,5,0)</f>
        <v>-1.223725121235475E-13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661.93515988633499</v>
      </c>
      <c r="DU195" s="60">
        <f t="shared" si="152"/>
        <v>341.9250949809848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>
        <f>EJ195*VLOOKUP('Données projet'!$B$15,Paramètres!$A$1:$I$89,3,0)*VLOOKUP('Données projet'!$B$15,Paramètres!$A$1:$I$89,5,0)</f>
        <v>0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396.0878652679051</v>
      </c>
      <c r="EP195" s="60">
        <f t="shared" si="154"/>
        <v>327.26339199235406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-5.6843418860808015E-14</v>
      </c>
      <c r="FF195" s="18">
        <f>FE195*VLOOKUP('Données projet'!$B$16,Paramètres!$A$1:$I$89,3,0)*VLOOKUP('Données projet'!$B$16,Paramètres!$A$1:$I$89,5,0)</f>
        <v>-4.1677594708744434E-14</v>
      </c>
      <c r="FG195" s="14" t="e">
        <f t="shared" si="182"/>
        <v>#NUM!</v>
      </c>
      <c r="FH195" s="22" t="e">
        <f t="shared" si="183"/>
        <v>#NUM!</v>
      </c>
      <c r="FI195" s="60" t="e">
        <f t="shared" si="131"/>
        <v>#NUM!</v>
      </c>
      <c r="FJ195" s="60">
        <f ca="1">AVERAGE(OFFSET($FI$3,0,0,'Données projet'!$E$16+1,1))-AVERAGE(OFFSET($H$3,0,0,'Données projet'!$E$16+1,1))</f>
        <v>368.35775920359396</v>
      </c>
      <c r="FK195" s="60">
        <f t="shared" si="156"/>
        <v>395.5218438652638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-1.2505552149377763E-12</v>
      </c>
      <c r="GA195" s="18">
        <f>FZ195*VLOOKUP('Données projet'!$B$17,Paramètres!$A$1:$I$89,3,0)*VLOOKUP('Données projet'!$B$17,Paramètres!$A$1:$I$89,5,0)</f>
        <v>-1.0729763744166122E-12</v>
      </c>
      <c r="GB195" s="14" t="e">
        <f t="shared" si="185"/>
        <v>#NUM!</v>
      </c>
      <c r="GC195" s="22" t="e">
        <f t="shared" si="186"/>
        <v>#NUM!</v>
      </c>
      <c r="GD195" s="60" t="e">
        <f t="shared" si="134"/>
        <v>#NUM!</v>
      </c>
      <c r="GE195" s="60">
        <f ca="1">AVERAGE(OFFSET($GD$3,0,0,'Données projet'!$E$17+1,1))-AVERAGE(OFFSET($H$3,0,0,'Données projet'!$E$17+1,1))</f>
        <v>701.44583662096022</v>
      </c>
      <c r="GF195" s="60">
        <f t="shared" si="158"/>
        <v>331.25104323342907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-1.1368683772161603E-13</v>
      </c>
      <c r="GV195" s="18">
        <f>GU195*VLOOKUP('Données projet'!$B$18,Paramètres!$A$1:$I$89,3,0)*VLOOKUP('Données projet'!$B$18,Paramètres!$A$1:$I$89,5,0)</f>
        <v>-9.2222762759774927E-14</v>
      </c>
      <c r="GW195" s="14" t="e">
        <f t="shared" si="188"/>
        <v>#NUM!</v>
      </c>
      <c r="GX195" s="22" t="e">
        <f t="shared" si="189"/>
        <v>#NUM!</v>
      </c>
      <c r="GY195" s="60" t="e">
        <f t="shared" si="137"/>
        <v>#NUM!</v>
      </c>
      <c r="GZ195" s="60">
        <f ca="1">AVERAGE(OFFSET($GY$3,0,0,'Données projet'!$E$18+1,1))-AVERAGE(OFFSET($H$3,0,0,'Données projet'!$E$18+1,1))</f>
        <v>272.69564942740931</v>
      </c>
      <c r="HA195" s="60">
        <f t="shared" si="160"/>
        <v>316.57989180609252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25">
      <c r="A196" s="11">
        <f t="shared" si="161"/>
        <v>193</v>
      </c>
      <c r="B196" s="75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8">
        <f t="shared" ref="H196:H203" si="192">(B196+E196+F196)*44/12+(C196+D196)*0.475*44/12</f>
        <v>183.33333333333334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-1.0286385077051818E-13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570.08763950759544</v>
      </c>
      <c r="T196" s="60">
        <f t="shared" si="142"/>
        <v>297.32483725004136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-4.5224624045658861E-14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394.49874384716014</v>
      </c>
      <c r="AO196" s="60">
        <f t="shared" si="144"/>
        <v>423.72519584013378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5.4092197387944907E-14</v>
      </c>
      <c r="BF196" s="14">
        <f t="shared" si="167"/>
        <v>8.7287050538073676E-13</v>
      </c>
      <c r="BG196" s="22">
        <f t="shared" si="168"/>
        <v>1.6144600406554537E-12</v>
      </c>
      <c r="BH196" s="60">
        <f t="shared" ref="BH196:BH203" si="194">BG196+(AY196+AZ196)*44/12</f>
        <v>290.2045043463101</v>
      </c>
      <c r="BI196" s="60">
        <f ca="1">AVERAGE(OFFSET($BH$3,0,0,'Données projet'!$E$11+1,1))-AVERAGE(OFFSET($H$3,0,0,'Données projet'!$E$11+1,1))</f>
        <v>441.15969139782891</v>
      </c>
      <c r="BJ196" s="60">
        <f t="shared" si="146"/>
        <v>315.06466790224783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8.8675733422860506E-14</v>
      </c>
      <c r="CA196" s="14">
        <f t="shared" si="170"/>
        <v>1.3509285393066301E-12</v>
      </c>
      <c r="CB196" s="22">
        <f t="shared" si="171"/>
        <v>2.5073107750038623E-12</v>
      </c>
      <c r="CC196" s="60">
        <f t="shared" ref="CC196:CC203" si="195">CB196+(BT196+BU196)*44/12</f>
        <v>290.20450434631101</v>
      </c>
      <c r="CD196" s="60">
        <f ca="1">AVERAGE(OFFSET($CC$3,0,0,'Données projet'!$E$12+1,1))-AVERAGE(OFFSET($H$3,0,0,'Données projet'!$E$12+1,1))</f>
        <v>312.59632808777332</v>
      </c>
      <c r="CE196" s="60">
        <f t="shared" si="148"/>
        <v>302.59481222418219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-1.1368683772161603E-13</v>
      </c>
      <c r="CU196" s="18">
        <f>CT196*VLOOKUP('Données projet'!$B$13,Paramètres!$A$1:$I$89,3,0)*VLOOKUP('Données projet'!$B$13,Paramètres!$A$1:$I$89,5,0)</f>
        <v>-1.0995790944434703E-13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603.52431522262032</v>
      </c>
      <c r="CZ196" s="60">
        <f t="shared" si="150"/>
        <v>313.56299786481338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-1.1368683772161603E-13</v>
      </c>
      <c r="DP196" s="18">
        <f>DO196*VLOOKUP('Données projet'!$B$14,Paramètres!$A$1:$I$89,3,0)*VLOOKUP('Données projet'!$B$14,Paramètres!$A$1:$I$89,5,0)</f>
        <v>-1.223725121235475E-13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661.93515988633499</v>
      </c>
      <c r="DU196" s="60">
        <f t="shared" si="152"/>
        <v>341.9250949809848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>
        <f>EJ196*VLOOKUP('Données projet'!$B$15,Paramètres!$A$1:$I$89,3,0)*VLOOKUP('Données projet'!$B$15,Paramètres!$A$1:$I$89,5,0)</f>
        <v>0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396.0878652679051</v>
      </c>
      <c r="EP196" s="60">
        <f t="shared" si="154"/>
        <v>327.26339199235406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-5.6843418860808015E-14</v>
      </c>
      <c r="FF196" s="18">
        <f>FE196*VLOOKUP('Données projet'!$B$16,Paramètres!$A$1:$I$89,3,0)*VLOOKUP('Données projet'!$B$16,Paramètres!$A$1:$I$89,5,0)</f>
        <v>-4.1677594708744434E-14</v>
      </c>
      <c r="FG196" s="14" t="e">
        <f t="shared" si="182"/>
        <v>#NUM!</v>
      </c>
      <c r="FH196" s="22" t="e">
        <f t="shared" si="183"/>
        <v>#NUM!</v>
      </c>
      <c r="FI196" s="60" t="e">
        <f t="shared" ref="FI196:FI203" si="199">FH196+(EZ196+FA196)*44/12</f>
        <v>#NUM!</v>
      </c>
      <c r="FJ196" s="60">
        <f ca="1">AVERAGE(OFFSET($FI$3,0,0,'Données projet'!$E$16+1,1))-AVERAGE(OFFSET($H$3,0,0,'Données projet'!$E$16+1,1))</f>
        <v>368.35775920359396</v>
      </c>
      <c r="FK196" s="60">
        <f t="shared" si="156"/>
        <v>395.5218438652638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-1.2505552149377763E-12</v>
      </c>
      <c r="GA196" s="18">
        <f>FZ196*VLOOKUP('Données projet'!$B$17,Paramètres!$A$1:$I$89,3,0)*VLOOKUP('Données projet'!$B$17,Paramètres!$A$1:$I$89,5,0)</f>
        <v>-1.0729763744166122E-12</v>
      </c>
      <c r="GB196" s="14" t="e">
        <f t="shared" si="185"/>
        <v>#NUM!</v>
      </c>
      <c r="GC196" s="22" t="e">
        <f t="shared" si="186"/>
        <v>#NUM!</v>
      </c>
      <c r="GD196" s="60" t="e">
        <f t="shared" ref="GD196:GD203" si="200">GC196+(FU196+FV196)*44/12</f>
        <v>#NUM!</v>
      </c>
      <c r="GE196" s="60">
        <f ca="1">AVERAGE(OFFSET($GD$3,0,0,'Données projet'!$E$17+1,1))-AVERAGE(OFFSET($H$3,0,0,'Données projet'!$E$17+1,1))</f>
        <v>701.44583662096022</v>
      </c>
      <c r="GF196" s="60">
        <f t="shared" si="158"/>
        <v>331.25104323342907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-1.1368683772161603E-13</v>
      </c>
      <c r="GV196" s="18">
        <f>GU196*VLOOKUP('Données projet'!$B$18,Paramètres!$A$1:$I$89,3,0)*VLOOKUP('Données projet'!$B$18,Paramètres!$A$1:$I$89,5,0)</f>
        <v>-9.2222762759774927E-14</v>
      </c>
      <c r="GW196" s="14" t="e">
        <f t="shared" si="188"/>
        <v>#NUM!</v>
      </c>
      <c r="GX196" s="22" t="e">
        <f t="shared" si="189"/>
        <v>#NUM!</v>
      </c>
      <c r="GY196" s="60" t="e">
        <f t="shared" ref="GY196:GY203" si="201">GX196+(GP196+GQ196)*44/12</f>
        <v>#NUM!</v>
      </c>
      <c r="GZ196" s="60">
        <f ca="1">AVERAGE(OFFSET($GY$3,0,0,'Données projet'!$E$18+1,1))-AVERAGE(OFFSET($H$3,0,0,'Données projet'!$E$18+1,1))</f>
        <v>272.69564942740931</v>
      </c>
      <c r="HA196" s="60">
        <f t="shared" si="160"/>
        <v>316.57989180609252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25">
      <c r="A197" s="11">
        <f t="shared" si="161"/>
        <v>194</v>
      </c>
      <c r="B197" s="75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8">
        <f t="shared" si="192"/>
        <v>183.33333333333334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-1.0286385077051818E-13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570.08763950759544</v>
      </c>
      <c r="T197" s="60">
        <f t="shared" ref="T197:T203" si="204">$T$3</f>
        <v>297.32483725004136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-4.5224624045658861E-14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394.49874384716014</v>
      </c>
      <c r="AO197" s="60">
        <f t="shared" ref="AO197:AO203" si="205">$AO$3</f>
        <v>423.72519584013378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5.4092197387944907E-14</v>
      </c>
      <c r="BF197" s="14">
        <f t="shared" si="167"/>
        <v>8.7287050538073676E-13</v>
      </c>
      <c r="BG197" s="22">
        <f t="shared" si="168"/>
        <v>1.6144600406554537E-12</v>
      </c>
      <c r="BH197" s="60">
        <f t="shared" si="194"/>
        <v>290.25878253422133</v>
      </c>
      <c r="BI197" s="60">
        <f ca="1">AVERAGE(OFFSET($BH$3,0,0,'Données projet'!$E$11+1,1))-AVERAGE(OFFSET($H$3,0,0,'Données projet'!$E$11+1,1))</f>
        <v>441.15969139782891</v>
      </c>
      <c r="BJ197" s="60">
        <f t="shared" ref="BJ197:BJ203" si="206">$BJ$3</f>
        <v>315.06466790224783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8.8675733422860506E-14</v>
      </c>
      <c r="CA197" s="14">
        <f t="shared" si="170"/>
        <v>1.3509285393066301E-12</v>
      </c>
      <c r="CB197" s="22">
        <f t="shared" si="171"/>
        <v>2.5073107750038623E-12</v>
      </c>
      <c r="CC197" s="60">
        <f t="shared" si="195"/>
        <v>290.25878253422223</v>
      </c>
      <c r="CD197" s="60">
        <f ca="1">AVERAGE(OFFSET($CC$3,0,0,'Données projet'!$E$12+1,1))-AVERAGE(OFFSET($H$3,0,0,'Données projet'!$E$12+1,1))</f>
        <v>312.59632808777332</v>
      </c>
      <c r="CE197" s="60">
        <f t="shared" ref="CE197:CE203" si="207">$CE$3</f>
        <v>302.59481222418219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-1.1368683772161603E-13</v>
      </c>
      <c r="CU197" s="18">
        <f>CT197*VLOOKUP('Données projet'!$B$13,Paramètres!$A$1:$I$89,3,0)*VLOOKUP('Données projet'!$B$13,Paramètres!$A$1:$I$89,5,0)</f>
        <v>-1.0995790944434703E-13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603.52431522262032</v>
      </c>
      <c r="CZ197" s="60">
        <f t="shared" ref="CZ197:CZ203" si="208">$CZ$3</f>
        <v>313.56299786481338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-1.1368683772161603E-13</v>
      </c>
      <c r="DP197" s="18">
        <f>DO197*VLOOKUP('Données projet'!$B$14,Paramètres!$A$1:$I$89,3,0)*VLOOKUP('Données projet'!$B$14,Paramètres!$A$1:$I$89,5,0)</f>
        <v>-1.223725121235475E-13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661.93515988633499</v>
      </c>
      <c r="DU197" s="60">
        <f t="shared" ref="DU197:DU203" si="209">$DU$3</f>
        <v>341.9250949809848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>
        <f>EJ197*VLOOKUP('Données projet'!$B$15,Paramètres!$A$1:$I$89,3,0)*VLOOKUP('Données projet'!$B$15,Paramètres!$A$1:$I$89,5,0)</f>
        <v>0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396.0878652679051</v>
      </c>
      <c r="EP197" s="60">
        <f t="shared" ref="EP197:EP203" si="210">$EP$3</f>
        <v>327.26339199235406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-5.6843418860808015E-14</v>
      </c>
      <c r="FF197" s="18">
        <f>FE197*VLOOKUP('Données projet'!$B$16,Paramètres!$A$1:$I$89,3,0)*VLOOKUP('Données projet'!$B$16,Paramètres!$A$1:$I$89,5,0)</f>
        <v>-4.1677594708744434E-14</v>
      </c>
      <c r="FG197" s="14" t="e">
        <f t="shared" si="182"/>
        <v>#NUM!</v>
      </c>
      <c r="FH197" s="22" t="e">
        <f t="shared" si="183"/>
        <v>#NUM!</v>
      </c>
      <c r="FI197" s="60" t="e">
        <f t="shared" si="199"/>
        <v>#NUM!</v>
      </c>
      <c r="FJ197" s="60">
        <f ca="1">AVERAGE(OFFSET($FI$3,0,0,'Données projet'!$E$16+1,1))-AVERAGE(OFFSET($H$3,0,0,'Données projet'!$E$16+1,1))</f>
        <v>368.35775920359396</v>
      </c>
      <c r="FK197" s="60">
        <f t="shared" ref="FK197:FK203" si="211">$FK$3</f>
        <v>395.5218438652638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-1.2505552149377763E-12</v>
      </c>
      <c r="GA197" s="18">
        <f>FZ197*VLOOKUP('Données projet'!$B$17,Paramètres!$A$1:$I$89,3,0)*VLOOKUP('Données projet'!$B$17,Paramètres!$A$1:$I$89,5,0)</f>
        <v>-1.0729763744166122E-12</v>
      </c>
      <c r="GB197" s="14" t="e">
        <f t="shared" si="185"/>
        <v>#NUM!</v>
      </c>
      <c r="GC197" s="22" t="e">
        <f t="shared" si="186"/>
        <v>#NUM!</v>
      </c>
      <c r="GD197" s="60" t="e">
        <f t="shared" si="200"/>
        <v>#NUM!</v>
      </c>
      <c r="GE197" s="60">
        <f ca="1">AVERAGE(OFFSET($GD$3,0,0,'Données projet'!$E$17+1,1))-AVERAGE(OFFSET($H$3,0,0,'Données projet'!$E$17+1,1))</f>
        <v>701.44583662096022</v>
      </c>
      <c r="GF197" s="60">
        <f t="shared" ref="GF197:GF203" si="212">$GF$3</f>
        <v>331.25104323342907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-1.1368683772161603E-13</v>
      </c>
      <c r="GV197" s="18">
        <f>GU197*VLOOKUP('Données projet'!$B$18,Paramètres!$A$1:$I$89,3,0)*VLOOKUP('Données projet'!$B$18,Paramètres!$A$1:$I$89,5,0)</f>
        <v>-9.2222762759774927E-14</v>
      </c>
      <c r="GW197" s="14" t="e">
        <f t="shared" si="188"/>
        <v>#NUM!</v>
      </c>
      <c r="GX197" s="22" t="e">
        <f t="shared" si="189"/>
        <v>#NUM!</v>
      </c>
      <c r="GY197" s="60" t="e">
        <f t="shared" si="201"/>
        <v>#NUM!</v>
      </c>
      <c r="GZ197" s="60">
        <f ca="1">AVERAGE(OFFSET($GY$3,0,0,'Données projet'!$E$18+1,1))-AVERAGE(OFFSET($H$3,0,0,'Données projet'!$E$18+1,1))</f>
        <v>272.69564942740931</v>
      </c>
      <c r="HA197" s="60">
        <f t="shared" ref="HA197:HA203" si="213">$HA$3</f>
        <v>316.57989180609252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25">
      <c r="A198" s="11">
        <f t="shared" si="161"/>
        <v>195</v>
      </c>
      <c r="B198" s="75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8">
        <f t="shared" si="192"/>
        <v>183.33333333333334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-1.0286385077051818E-13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570.08763950759544</v>
      </c>
      <c r="T198" s="60">
        <f t="shared" si="204"/>
        <v>297.32483725004136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-4.5224624045658861E-14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394.49874384716014</v>
      </c>
      <c r="AO198" s="60">
        <f t="shared" si="205"/>
        <v>423.72519584013378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5.4092197387944907E-14</v>
      </c>
      <c r="BF198" s="14">
        <f t="shared" si="167"/>
        <v>8.7287050538073676E-13</v>
      </c>
      <c r="BG198" s="22">
        <f t="shared" si="168"/>
        <v>1.6144600406554537E-12</v>
      </c>
      <c r="BH198" s="60">
        <f t="shared" si="194"/>
        <v>290.31211911692009</v>
      </c>
      <c r="BI198" s="60">
        <f ca="1">AVERAGE(OFFSET($BH$3,0,0,'Données projet'!$E$11+1,1))-AVERAGE(OFFSET($H$3,0,0,'Données projet'!$E$11+1,1))</f>
        <v>441.15969139782891</v>
      </c>
      <c r="BJ198" s="60">
        <f t="shared" si="206"/>
        <v>315.06466790224783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8.8675733422860506E-14</v>
      </c>
      <c r="CA198" s="14">
        <f t="shared" si="170"/>
        <v>1.3509285393066301E-12</v>
      </c>
      <c r="CB198" s="22">
        <f t="shared" si="171"/>
        <v>2.5073107750038623E-12</v>
      </c>
      <c r="CC198" s="60">
        <f t="shared" si="195"/>
        <v>290.312119116921</v>
      </c>
      <c r="CD198" s="60">
        <f ca="1">AVERAGE(OFFSET($CC$3,0,0,'Données projet'!$E$12+1,1))-AVERAGE(OFFSET($H$3,0,0,'Données projet'!$E$12+1,1))</f>
        <v>312.59632808777332</v>
      </c>
      <c r="CE198" s="60">
        <f t="shared" si="207"/>
        <v>302.59481222418219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-1.1368683772161603E-13</v>
      </c>
      <c r="CU198" s="18">
        <f>CT198*VLOOKUP('Données projet'!$B$13,Paramètres!$A$1:$I$89,3,0)*VLOOKUP('Données projet'!$B$13,Paramètres!$A$1:$I$89,5,0)</f>
        <v>-1.0995790944434703E-13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603.52431522262032</v>
      </c>
      <c r="CZ198" s="60">
        <f t="shared" si="208"/>
        <v>313.56299786481338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-1.1368683772161603E-13</v>
      </c>
      <c r="DP198" s="18">
        <f>DO198*VLOOKUP('Données projet'!$B$14,Paramètres!$A$1:$I$89,3,0)*VLOOKUP('Données projet'!$B$14,Paramètres!$A$1:$I$89,5,0)</f>
        <v>-1.223725121235475E-13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661.93515988633499</v>
      </c>
      <c r="DU198" s="60">
        <f t="shared" si="209"/>
        <v>341.9250949809848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>
        <f>EJ198*VLOOKUP('Données projet'!$B$15,Paramètres!$A$1:$I$89,3,0)*VLOOKUP('Données projet'!$B$15,Paramètres!$A$1:$I$89,5,0)</f>
        <v>0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396.0878652679051</v>
      </c>
      <c r="EP198" s="60">
        <f t="shared" si="210"/>
        <v>327.26339199235406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-5.6843418860808015E-14</v>
      </c>
      <c r="FF198" s="18">
        <f>FE198*VLOOKUP('Données projet'!$B$16,Paramètres!$A$1:$I$89,3,0)*VLOOKUP('Données projet'!$B$16,Paramètres!$A$1:$I$89,5,0)</f>
        <v>-4.1677594708744434E-14</v>
      </c>
      <c r="FG198" s="14" t="e">
        <f t="shared" si="182"/>
        <v>#NUM!</v>
      </c>
      <c r="FH198" s="22" t="e">
        <f t="shared" si="183"/>
        <v>#NUM!</v>
      </c>
      <c r="FI198" s="60" t="e">
        <f t="shared" si="199"/>
        <v>#NUM!</v>
      </c>
      <c r="FJ198" s="60">
        <f ca="1">AVERAGE(OFFSET($FI$3,0,0,'Données projet'!$E$16+1,1))-AVERAGE(OFFSET($H$3,0,0,'Données projet'!$E$16+1,1))</f>
        <v>368.35775920359396</v>
      </c>
      <c r="FK198" s="60">
        <f t="shared" si="211"/>
        <v>395.5218438652638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-1.2505552149377763E-12</v>
      </c>
      <c r="GA198" s="18">
        <f>FZ198*VLOOKUP('Données projet'!$B$17,Paramètres!$A$1:$I$89,3,0)*VLOOKUP('Données projet'!$B$17,Paramètres!$A$1:$I$89,5,0)</f>
        <v>-1.0729763744166122E-12</v>
      </c>
      <c r="GB198" s="14" t="e">
        <f t="shared" si="185"/>
        <v>#NUM!</v>
      </c>
      <c r="GC198" s="22" t="e">
        <f t="shared" si="186"/>
        <v>#NUM!</v>
      </c>
      <c r="GD198" s="60" t="e">
        <f t="shared" si="200"/>
        <v>#NUM!</v>
      </c>
      <c r="GE198" s="60">
        <f ca="1">AVERAGE(OFFSET($GD$3,0,0,'Données projet'!$E$17+1,1))-AVERAGE(OFFSET($H$3,0,0,'Données projet'!$E$17+1,1))</f>
        <v>701.44583662096022</v>
      </c>
      <c r="GF198" s="60">
        <f t="shared" si="212"/>
        <v>331.25104323342907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-1.1368683772161603E-13</v>
      </c>
      <c r="GV198" s="18">
        <f>GU198*VLOOKUP('Données projet'!$B$18,Paramètres!$A$1:$I$89,3,0)*VLOOKUP('Données projet'!$B$18,Paramètres!$A$1:$I$89,5,0)</f>
        <v>-9.2222762759774927E-14</v>
      </c>
      <c r="GW198" s="14" t="e">
        <f t="shared" si="188"/>
        <v>#NUM!</v>
      </c>
      <c r="GX198" s="22" t="e">
        <f t="shared" si="189"/>
        <v>#NUM!</v>
      </c>
      <c r="GY198" s="60" t="e">
        <f t="shared" si="201"/>
        <v>#NUM!</v>
      </c>
      <c r="GZ198" s="60">
        <f ca="1">AVERAGE(OFFSET($GY$3,0,0,'Données projet'!$E$18+1,1))-AVERAGE(OFFSET($H$3,0,0,'Données projet'!$E$18+1,1))</f>
        <v>272.69564942740931</v>
      </c>
      <c r="HA198" s="60">
        <f t="shared" si="213"/>
        <v>316.57989180609252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25">
      <c r="A199" s="11">
        <f t="shared" si="161"/>
        <v>196</v>
      </c>
      <c r="B199" s="75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8">
        <f t="shared" si="192"/>
        <v>183.33333333333334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-1.0286385077051818E-13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570.08763950759544</v>
      </c>
      <c r="T199" s="60">
        <f t="shared" si="204"/>
        <v>297.32483725004136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-4.5224624045658861E-14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394.49874384716014</v>
      </c>
      <c r="AO199" s="60">
        <f t="shared" si="205"/>
        <v>423.72519584013378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5.4092197387944907E-14</v>
      </c>
      <c r="BF199" s="14">
        <f t="shared" si="167"/>
        <v>8.7287050538073676E-13</v>
      </c>
      <c r="BG199" s="22">
        <f t="shared" si="168"/>
        <v>1.6144600406554537E-12</v>
      </c>
      <c r="BH199" s="60">
        <f t="shared" si="194"/>
        <v>290.36453042915178</v>
      </c>
      <c r="BI199" s="60">
        <f ca="1">AVERAGE(OFFSET($BH$3,0,0,'Données projet'!$E$11+1,1))-AVERAGE(OFFSET($H$3,0,0,'Données projet'!$E$11+1,1))</f>
        <v>441.15969139782891</v>
      </c>
      <c r="BJ199" s="60">
        <f t="shared" si="206"/>
        <v>315.06466790224783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8.8675733422860506E-14</v>
      </c>
      <c r="CA199" s="14">
        <f t="shared" si="170"/>
        <v>1.3509285393066301E-12</v>
      </c>
      <c r="CB199" s="22">
        <f t="shared" si="171"/>
        <v>2.5073107750038623E-12</v>
      </c>
      <c r="CC199" s="60">
        <f t="shared" si="195"/>
        <v>290.36453042915269</v>
      </c>
      <c r="CD199" s="60">
        <f ca="1">AVERAGE(OFFSET($CC$3,0,0,'Données projet'!$E$12+1,1))-AVERAGE(OFFSET($H$3,0,0,'Données projet'!$E$12+1,1))</f>
        <v>312.59632808777332</v>
      </c>
      <c r="CE199" s="60">
        <f t="shared" si="207"/>
        <v>302.59481222418219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-1.1368683772161603E-13</v>
      </c>
      <c r="CU199" s="18">
        <f>CT199*VLOOKUP('Données projet'!$B$13,Paramètres!$A$1:$I$89,3,0)*VLOOKUP('Données projet'!$B$13,Paramètres!$A$1:$I$89,5,0)</f>
        <v>-1.0995790944434703E-13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603.52431522262032</v>
      </c>
      <c r="CZ199" s="60">
        <f t="shared" si="208"/>
        <v>313.56299786481338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-1.1368683772161603E-13</v>
      </c>
      <c r="DP199" s="18">
        <f>DO199*VLOOKUP('Données projet'!$B$14,Paramètres!$A$1:$I$89,3,0)*VLOOKUP('Données projet'!$B$14,Paramètres!$A$1:$I$89,5,0)</f>
        <v>-1.223725121235475E-13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661.93515988633499</v>
      </c>
      <c r="DU199" s="60">
        <f t="shared" si="209"/>
        <v>341.9250949809848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>
        <f>EJ199*VLOOKUP('Données projet'!$B$15,Paramètres!$A$1:$I$89,3,0)*VLOOKUP('Données projet'!$B$15,Paramètres!$A$1:$I$89,5,0)</f>
        <v>0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396.0878652679051</v>
      </c>
      <c r="EP199" s="60">
        <f t="shared" si="210"/>
        <v>327.26339199235406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-5.6843418860808015E-14</v>
      </c>
      <c r="FF199" s="18">
        <f>FE199*VLOOKUP('Données projet'!$B$16,Paramètres!$A$1:$I$89,3,0)*VLOOKUP('Données projet'!$B$16,Paramètres!$A$1:$I$89,5,0)</f>
        <v>-4.1677594708744434E-14</v>
      </c>
      <c r="FG199" s="14" t="e">
        <f t="shared" si="182"/>
        <v>#NUM!</v>
      </c>
      <c r="FH199" s="22" t="e">
        <f t="shared" si="183"/>
        <v>#NUM!</v>
      </c>
      <c r="FI199" s="60" t="e">
        <f t="shared" si="199"/>
        <v>#NUM!</v>
      </c>
      <c r="FJ199" s="60">
        <f ca="1">AVERAGE(OFFSET($FI$3,0,0,'Données projet'!$E$16+1,1))-AVERAGE(OFFSET($H$3,0,0,'Données projet'!$E$16+1,1))</f>
        <v>368.35775920359396</v>
      </c>
      <c r="FK199" s="60">
        <f t="shared" si="211"/>
        <v>395.5218438652638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-1.2505552149377763E-12</v>
      </c>
      <c r="GA199" s="18">
        <f>FZ199*VLOOKUP('Données projet'!$B$17,Paramètres!$A$1:$I$89,3,0)*VLOOKUP('Données projet'!$B$17,Paramètres!$A$1:$I$89,5,0)</f>
        <v>-1.0729763744166122E-12</v>
      </c>
      <c r="GB199" s="14" t="e">
        <f t="shared" si="185"/>
        <v>#NUM!</v>
      </c>
      <c r="GC199" s="22" t="e">
        <f t="shared" si="186"/>
        <v>#NUM!</v>
      </c>
      <c r="GD199" s="60" t="e">
        <f t="shared" si="200"/>
        <v>#NUM!</v>
      </c>
      <c r="GE199" s="60">
        <f ca="1">AVERAGE(OFFSET($GD$3,0,0,'Données projet'!$E$17+1,1))-AVERAGE(OFFSET($H$3,0,0,'Données projet'!$E$17+1,1))</f>
        <v>701.44583662096022</v>
      </c>
      <c r="GF199" s="60">
        <f t="shared" si="212"/>
        <v>331.25104323342907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-1.1368683772161603E-13</v>
      </c>
      <c r="GV199" s="18">
        <f>GU199*VLOOKUP('Données projet'!$B$18,Paramètres!$A$1:$I$89,3,0)*VLOOKUP('Données projet'!$B$18,Paramètres!$A$1:$I$89,5,0)</f>
        <v>-9.2222762759774927E-14</v>
      </c>
      <c r="GW199" s="14" t="e">
        <f t="shared" si="188"/>
        <v>#NUM!</v>
      </c>
      <c r="GX199" s="22" t="e">
        <f t="shared" si="189"/>
        <v>#NUM!</v>
      </c>
      <c r="GY199" s="60" t="e">
        <f t="shared" si="201"/>
        <v>#NUM!</v>
      </c>
      <c r="GZ199" s="60">
        <f ca="1">AVERAGE(OFFSET($GY$3,0,0,'Données projet'!$E$18+1,1))-AVERAGE(OFFSET($H$3,0,0,'Données projet'!$E$18+1,1))</f>
        <v>272.69564942740931</v>
      </c>
      <c r="HA199" s="60">
        <f t="shared" si="213"/>
        <v>316.57989180609252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25">
      <c r="A200" s="11">
        <f t="shared" si="161"/>
        <v>197</v>
      </c>
      <c r="B200" s="75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8">
        <f t="shared" si="192"/>
        <v>183.33333333333334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-1.0286385077051818E-13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570.08763950759544</v>
      </c>
      <c r="T200" s="60">
        <f t="shared" si="204"/>
        <v>297.32483725004136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-4.5224624045658861E-14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394.49874384716014</v>
      </c>
      <c r="AO200" s="60">
        <f t="shared" si="205"/>
        <v>423.72519584013378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5.4092197387944907E-14</v>
      </c>
      <c r="BF200" s="14">
        <f t="shared" si="167"/>
        <v>8.7287050538073676E-13</v>
      </c>
      <c r="BG200" s="22">
        <f t="shared" si="168"/>
        <v>1.6144600406554537E-12</v>
      </c>
      <c r="BH200" s="60">
        <f t="shared" si="194"/>
        <v>290.41603252229038</v>
      </c>
      <c r="BI200" s="60">
        <f ca="1">AVERAGE(OFFSET($BH$3,0,0,'Données projet'!$E$11+1,1))-AVERAGE(OFFSET($H$3,0,0,'Données projet'!$E$11+1,1))</f>
        <v>441.15969139782891</v>
      </c>
      <c r="BJ200" s="60">
        <f t="shared" si="206"/>
        <v>315.06466790224783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8.8675733422860506E-14</v>
      </c>
      <c r="CA200" s="14">
        <f t="shared" si="170"/>
        <v>1.3509285393066301E-12</v>
      </c>
      <c r="CB200" s="22">
        <f t="shared" si="171"/>
        <v>2.5073107750038623E-12</v>
      </c>
      <c r="CC200" s="60">
        <f t="shared" si="195"/>
        <v>290.41603252229129</v>
      </c>
      <c r="CD200" s="60">
        <f ca="1">AVERAGE(OFFSET($CC$3,0,0,'Données projet'!$E$12+1,1))-AVERAGE(OFFSET($H$3,0,0,'Données projet'!$E$12+1,1))</f>
        <v>312.59632808777332</v>
      </c>
      <c r="CE200" s="60">
        <f t="shared" si="207"/>
        <v>302.59481222418219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-1.1368683772161603E-13</v>
      </c>
      <c r="CU200" s="18">
        <f>CT200*VLOOKUP('Données projet'!$B$13,Paramètres!$A$1:$I$89,3,0)*VLOOKUP('Données projet'!$B$13,Paramètres!$A$1:$I$89,5,0)</f>
        <v>-1.0995790944434703E-13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603.52431522262032</v>
      </c>
      <c r="CZ200" s="60">
        <f t="shared" si="208"/>
        <v>313.56299786481338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-1.1368683772161603E-13</v>
      </c>
      <c r="DP200" s="18">
        <f>DO200*VLOOKUP('Données projet'!$B$14,Paramètres!$A$1:$I$89,3,0)*VLOOKUP('Données projet'!$B$14,Paramètres!$A$1:$I$89,5,0)</f>
        <v>-1.223725121235475E-13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661.93515988633499</v>
      </c>
      <c r="DU200" s="60">
        <f t="shared" si="209"/>
        <v>341.9250949809848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>
        <f>EJ200*VLOOKUP('Données projet'!$B$15,Paramètres!$A$1:$I$89,3,0)*VLOOKUP('Données projet'!$B$15,Paramètres!$A$1:$I$89,5,0)</f>
        <v>0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396.0878652679051</v>
      </c>
      <c r="EP200" s="60">
        <f t="shared" si="210"/>
        <v>327.26339199235406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-5.6843418860808015E-14</v>
      </c>
      <c r="FF200" s="18">
        <f>FE200*VLOOKUP('Données projet'!$B$16,Paramètres!$A$1:$I$89,3,0)*VLOOKUP('Données projet'!$B$16,Paramètres!$A$1:$I$89,5,0)</f>
        <v>-4.1677594708744434E-14</v>
      </c>
      <c r="FG200" s="14" t="e">
        <f t="shared" si="182"/>
        <v>#NUM!</v>
      </c>
      <c r="FH200" s="22" t="e">
        <f t="shared" si="183"/>
        <v>#NUM!</v>
      </c>
      <c r="FI200" s="60" t="e">
        <f t="shared" si="199"/>
        <v>#NUM!</v>
      </c>
      <c r="FJ200" s="60">
        <f ca="1">AVERAGE(OFFSET($FI$3,0,0,'Données projet'!$E$16+1,1))-AVERAGE(OFFSET($H$3,0,0,'Données projet'!$E$16+1,1))</f>
        <v>368.35775920359396</v>
      </c>
      <c r="FK200" s="60">
        <f t="shared" si="211"/>
        <v>395.5218438652638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-1.2505552149377763E-12</v>
      </c>
      <c r="GA200" s="18">
        <f>FZ200*VLOOKUP('Données projet'!$B$17,Paramètres!$A$1:$I$89,3,0)*VLOOKUP('Données projet'!$B$17,Paramètres!$A$1:$I$89,5,0)</f>
        <v>-1.0729763744166122E-12</v>
      </c>
      <c r="GB200" s="14" t="e">
        <f t="shared" si="185"/>
        <v>#NUM!</v>
      </c>
      <c r="GC200" s="22" t="e">
        <f t="shared" si="186"/>
        <v>#NUM!</v>
      </c>
      <c r="GD200" s="60" t="e">
        <f t="shared" si="200"/>
        <v>#NUM!</v>
      </c>
      <c r="GE200" s="60">
        <f ca="1">AVERAGE(OFFSET($GD$3,0,0,'Données projet'!$E$17+1,1))-AVERAGE(OFFSET($H$3,0,0,'Données projet'!$E$17+1,1))</f>
        <v>701.44583662096022</v>
      </c>
      <c r="GF200" s="60">
        <f t="shared" si="212"/>
        <v>331.25104323342907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-1.1368683772161603E-13</v>
      </c>
      <c r="GV200" s="18">
        <f>GU200*VLOOKUP('Données projet'!$B$18,Paramètres!$A$1:$I$89,3,0)*VLOOKUP('Données projet'!$B$18,Paramètres!$A$1:$I$89,5,0)</f>
        <v>-9.2222762759774927E-14</v>
      </c>
      <c r="GW200" s="14" t="e">
        <f t="shared" si="188"/>
        <v>#NUM!</v>
      </c>
      <c r="GX200" s="22" t="e">
        <f t="shared" si="189"/>
        <v>#NUM!</v>
      </c>
      <c r="GY200" s="60" t="e">
        <f t="shared" si="201"/>
        <v>#NUM!</v>
      </c>
      <c r="GZ200" s="60">
        <f ca="1">AVERAGE(OFFSET($GY$3,0,0,'Données projet'!$E$18+1,1))-AVERAGE(OFFSET($H$3,0,0,'Données projet'!$E$18+1,1))</f>
        <v>272.69564942740931</v>
      </c>
      <c r="HA200" s="60">
        <f t="shared" si="213"/>
        <v>316.57989180609252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25">
      <c r="A201" s="11">
        <f>A200+1</f>
        <v>198</v>
      </c>
      <c r="B201" s="75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8">
        <f t="shared" si="192"/>
        <v>183.33333333333334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-1.0286385077051818E-13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570.08763950759544</v>
      </c>
      <c r="T201" s="60">
        <f t="shared" si="204"/>
        <v>297.32483725004136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-4.5224624045658861E-14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394.49874384716014</v>
      </c>
      <c r="AO201" s="60">
        <f t="shared" si="205"/>
        <v>423.72519584013378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5.4092197387944907E-14</v>
      </c>
      <c r="BF201" s="14">
        <f t="shared" si="167"/>
        <v>8.7287050538073676E-13</v>
      </c>
      <c r="BG201" s="22">
        <f t="shared" si="168"/>
        <v>1.6144600406554537E-12</v>
      </c>
      <c r="BH201" s="60">
        <f t="shared" si="194"/>
        <v>290.4666411692545</v>
      </c>
      <c r="BI201" s="60">
        <f ca="1">AVERAGE(OFFSET($BH$3,0,0,'Données projet'!$E$11+1,1))-AVERAGE(OFFSET($H$3,0,0,'Données projet'!$E$11+1,1))</f>
        <v>441.15969139782891</v>
      </c>
      <c r="BJ201" s="60">
        <f t="shared" si="206"/>
        <v>315.06466790224783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8.8675733422860506E-14</v>
      </c>
      <c r="CA201" s="14">
        <f t="shared" si="170"/>
        <v>1.3509285393066301E-12</v>
      </c>
      <c r="CB201" s="22">
        <f t="shared" si="171"/>
        <v>2.5073107750038623E-12</v>
      </c>
      <c r="CC201" s="60">
        <f t="shared" si="195"/>
        <v>290.46664116925541</v>
      </c>
      <c r="CD201" s="60">
        <f ca="1">AVERAGE(OFFSET($CC$3,0,0,'Données projet'!$E$12+1,1))-AVERAGE(OFFSET($H$3,0,0,'Données projet'!$E$12+1,1))</f>
        <v>312.59632808777332</v>
      </c>
      <c r="CE201" s="60">
        <f t="shared" si="207"/>
        <v>302.59481222418219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-1.1368683772161603E-13</v>
      </c>
      <c r="CU201" s="18">
        <f>CT201*VLOOKUP('Données projet'!$B$13,Paramètres!$A$1:$I$89,3,0)*VLOOKUP('Données projet'!$B$13,Paramètres!$A$1:$I$89,5,0)</f>
        <v>-1.0995790944434703E-13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603.52431522262032</v>
      </c>
      <c r="CZ201" s="60">
        <f t="shared" si="208"/>
        <v>313.56299786481338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-1.1368683772161603E-13</v>
      </c>
      <c r="DP201" s="18">
        <f>DO201*VLOOKUP('Données projet'!$B$14,Paramètres!$A$1:$I$89,3,0)*VLOOKUP('Données projet'!$B$14,Paramètres!$A$1:$I$89,5,0)</f>
        <v>-1.223725121235475E-13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661.93515988633499</v>
      </c>
      <c r="DU201" s="60">
        <f t="shared" si="209"/>
        <v>341.9250949809848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>
        <f>EJ201*VLOOKUP('Données projet'!$B$15,Paramètres!$A$1:$I$89,3,0)*VLOOKUP('Données projet'!$B$15,Paramètres!$A$1:$I$89,5,0)</f>
        <v>0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396.0878652679051</v>
      </c>
      <c r="EP201" s="60">
        <f t="shared" si="210"/>
        <v>327.26339199235406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-5.6843418860808015E-14</v>
      </c>
      <c r="FF201" s="18">
        <f>FE201*VLOOKUP('Données projet'!$B$16,Paramètres!$A$1:$I$89,3,0)*VLOOKUP('Données projet'!$B$16,Paramètres!$A$1:$I$89,5,0)</f>
        <v>-4.1677594708744434E-14</v>
      </c>
      <c r="FG201" s="14" t="e">
        <f t="shared" si="182"/>
        <v>#NUM!</v>
      </c>
      <c r="FH201" s="22" t="e">
        <f t="shared" si="183"/>
        <v>#NUM!</v>
      </c>
      <c r="FI201" s="60" t="e">
        <f t="shared" si="199"/>
        <v>#NUM!</v>
      </c>
      <c r="FJ201" s="60">
        <f ca="1">AVERAGE(OFFSET($FI$3,0,0,'Données projet'!$E$16+1,1))-AVERAGE(OFFSET($H$3,0,0,'Données projet'!$E$16+1,1))</f>
        <v>368.35775920359396</v>
      </c>
      <c r="FK201" s="60">
        <f t="shared" si="211"/>
        <v>395.5218438652638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-1.2505552149377763E-12</v>
      </c>
      <c r="GA201" s="18">
        <f>FZ201*VLOOKUP('Données projet'!$B$17,Paramètres!$A$1:$I$89,3,0)*VLOOKUP('Données projet'!$B$17,Paramètres!$A$1:$I$89,5,0)</f>
        <v>-1.0729763744166122E-12</v>
      </c>
      <c r="GB201" s="14" t="e">
        <f t="shared" si="185"/>
        <v>#NUM!</v>
      </c>
      <c r="GC201" s="22" t="e">
        <f t="shared" si="186"/>
        <v>#NUM!</v>
      </c>
      <c r="GD201" s="60" t="e">
        <f t="shared" si="200"/>
        <v>#NUM!</v>
      </c>
      <c r="GE201" s="60">
        <f ca="1">AVERAGE(OFFSET($GD$3,0,0,'Données projet'!$E$17+1,1))-AVERAGE(OFFSET($H$3,0,0,'Données projet'!$E$17+1,1))</f>
        <v>701.44583662096022</v>
      </c>
      <c r="GF201" s="60">
        <f t="shared" si="212"/>
        <v>331.25104323342907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-1.1368683772161603E-13</v>
      </c>
      <c r="GV201" s="18">
        <f>GU201*VLOOKUP('Données projet'!$B$18,Paramètres!$A$1:$I$89,3,0)*VLOOKUP('Données projet'!$B$18,Paramètres!$A$1:$I$89,5,0)</f>
        <v>-9.2222762759774927E-14</v>
      </c>
      <c r="GW201" s="14" t="e">
        <f t="shared" si="188"/>
        <v>#NUM!</v>
      </c>
      <c r="GX201" s="22" t="e">
        <f t="shared" si="189"/>
        <v>#NUM!</v>
      </c>
      <c r="GY201" s="60" t="e">
        <f t="shared" si="201"/>
        <v>#NUM!</v>
      </c>
      <c r="GZ201" s="60">
        <f ca="1">AVERAGE(OFFSET($GY$3,0,0,'Données projet'!$E$18+1,1))-AVERAGE(OFFSET($H$3,0,0,'Données projet'!$E$18+1,1))</f>
        <v>272.69564942740931</v>
      </c>
      <c r="HA201" s="60">
        <f t="shared" si="213"/>
        <v>316.57989180609252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25">
      <c r="A202" s="11">
        <f t="shared" si="161"/>
        <v>199</v>
      </c>
      <c r="B202" s="75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8">
        <f t="shared" si="192"/>
        <v>183.33333333333334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-1.0286385077051818E-13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570.08763950759544</v>
      </c>
      <c r="T202" s="60">
        <f t="shared" si="204"/>
        <v>297.32483725004136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-4.5224624045658861E-14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394.49874384716014</v>
      </c>
      <c r="AO202" s="60">
        <f t="shared" si="205"/>
        <v>423.72519584013378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5.4092197387944907E-14</v>
      </c>
      <c r="BF202" s="14">
        <f t="shared" si="167"/>
        <v>8.7287050538073676E-13</v>
      </c>
      <c r="BG202" s="22">
        <f t="shared" si="168"/>
        <v>1.6144600406554537E-12</v>
      </c>
      <c r="BH202" s="60">
        <f t="shared" si="194"/>
        <v>290.51637186933772</v>
      </c>
      <c r="BI202" s="60">
        <f ca="1">AVERAGE(OFFSET($BH$3,0,0,'Données projet'!$E$11+1,1))-AVERAGE(OFFSET($H$3,0,0,'Données projet'!$E$11+1,1))</f>
        <v>441.15969139782891</v>
      </c>
      <c r="BJ202" s="60">
        <f t="shared" si="206"/>
        <v>315.06466790224783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8.8675733422860506E-14</v>
      </c>
      <c r="CA202" s="14">
        <f t="shared" si="170"/>
        <v>1.3509285393066301E-12</v>
      </c>
      <c r="CB202" s="22">
        <f t="shared" si="171"/>
        <v>2.5073107750038623E-12</v>
      </c>
      <c r="CC202" s="60">
        <f t="shared" si="195"/>
        <v>290.51637186933863</v>
      </c>
      <c r="CD202" s="60">
        <f ca="1">AVERAGE(OFFSET($CC$3,0,0,'Données projet'!$E$12+1,1))-AVERAGE(OFFSET($H$3,0,0,'Données projet'!$E$12+1,1))</f>
        <v>312.59632808777332</v>
      </c>
      <c r="CE202" s="60">
        <f t="shared" si="207"/>
        <v>302.59481222418219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-1.1368683772161603E-13</v>
      </c>
      <c r="CU202" s="18">
        <f>CT202*VLOOKUP('Données projet'!$B$13,Paramètres!$A$1:$I$89,3,0)*VLOOKUP('Données projet'!$B$13,Paramètres!$A$1:$I$89,5,0)</f>
        <v>-1.0995790944434703E-13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603.52431522262032</v>
      </c>
      <c r="CZ202" s="60">
        <f t="shared" si="208"/>
        <v>313.56299786481338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-1.1368683772161603E-13</v>
      </c>
      <c r="DP202" s="18">
        <f>DO202*VLOOKUP('Données projet'!$B$14,Paramètres!$A$1:$I$89,3,0)*VLOOKUP('Données projet'!$B$14,Paramètres!$A$1:$I$89,5,0)</f>
        <v>-1.223725121235475E-13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661.93515988633499</v>
      </c>
      <c r="DU202" s="60">
        <f t="shared" si="209"/>
        <v>341.9250949809848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>
        <f>EJ202*VLOOKUP('Données projet'!$B$15,Paramètres!$A$1:$I$89,3,0)*VLOOKUP('Données projet'!$B$15,Paramètres!$A$1:$I$89,5,0)</f>
        <v>0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396.0878652679051</v>
      </c>
      <c r="EP202" s="60">
        <f t="shared" si="210"/>
        <v>327.26339199235406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-5.6843418860808015E-14</v>
      </c>
      <c r="FF202" s="18">
        <f>FE202*VLOOKUP('Données projet'!$B$16,Paramètres!$A$1:$I$89,3,0)*VLOOKUP('Données projet'!$B$16,Paramètres!$A$1:$I$89,5,0)</f>
        <v>-4.1677594708744434E-14</v>
      </c>
      <c r="FG202" s="14" t="e">
        <f t="shared" si="182"/>
        <v>#NUM!</v>
      </c>
      <c r="FH202" s="22" t="e">
        <f t="shared" si="183"/>
        <v>#NUM!</v>
      </c>
      <c r="FI202" s="60" t="e">
        <f t="shared" si="199"/>
        <v>#NUM!</v>
      </c>
      <c r="FJ202" s="60">
        <f ca="1">AVERAGE(OFFSET($FI$3,0,0,'Données projet'!$E$16+1,1))-AVERAGE(OFFSET($H$3,0,0,'Données projet'!$E$16+1,1))</f>
        <v>368.35775920359396</v>
      </c>
      <c r="FK202" s="60">
        <f t="shared" si="211"/>
        <v>395.5218438652638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-1.2505552149377763E-12</v>
      </c>
      <c r="GA202" s="18">
        <f>FZ202*VLOOKUP('Données projet'!$B$17,Paramètres!$A$1:$I$89,3,0)*VLOOKUP('Données projet'!$B$17,Paramètres!$A$1:$I$89,5,0)</f>
        <v>-1.0729763744166122E-12</v>
      </c>
      <c r="GB202" s="14" t="e">
        <f t="shared" si="185"/>
        <v>#NUM!</v>
      </c>
      <c r="GC202" s="22" t="e">
        <f t="shared" si="186"/>
        <v>#NUM!</v>
      </c>
      <c r="GD202" s="60" t="e">
        <f t="shared" si="200"/>
        <v>#NUM!</v>
      </c>
      <c r="GE202" s="60">
        <f ca="1">AVERAGE(OFFSET($GD$3,0,0,'Données projet'!$E$17+1,1))-AVERAGE(OFFSET($H$3,0,0,'Données projet'!$E$17+1,1))</f>
        <v>701.44583662096022</v>
      </c>
      <c r="GF202" s="60">
        <f t="shared" si="212"/>
        <v>331.25104323342907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-1.1368683772161603E-13</v>
      </c>
      <c r="GV202" s="18">
        <f>GU202*VLOOKUP('Données projet'!$B$18,Paramètres!$A$1:$I$89,3,0)*VLOOKUP('Données projet'!$B$18,Paramètres!$A$1:$I$89,5,0)</f>
        <v>-9.2222762759774927E-14</v>
      </c>
      <c r="GW202" s="14" t="e">
        <f t="shared" si="188"/>
        <v>#NUM!</v>
      </c>
      <c r="GX202" s="22" t="e">
        <f t="shared" si="189"/>
        <v>#NUM!</v>
      </c>
      <c r="GY202" s="60" t="e">
        <f t="shared" si="201"/>
        <v>#NUM!</v>
      </c>
      <c r="GZ202" s="60">
        <f ca="1">AVERAGE(OFFSET($GY$3,0,0,'Données projet'!$E$18+1,1))-AVERAGE(OFFSET($H$3,0,0,'Données projet'!$E$18+1,1))</f>
        <v>272.69564942740931</v>
      </c>
      <c r="HA202" s="60">
        <f t="shared" si="213"/>
        <v>316.57989180609252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.75" thickBot="1" x14ac:dyDescent="0.3">
      <c r="A203" s="11">
        <f>A202+1</f>
        <v>200</v>
      </c>
      <c r="B203" s="75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8">
        <f t="shared" si="192"/>
        <v>183.33333333333334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-1.0286385077051818E-13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570.08763950759544</v>
      </c>
      <c r="T203" s="60">
        <f t="shared" si="204"/>
        <v>297.32483725004136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-4.5224624045658861E-14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394.49874384716014</v>
      </c>
      <c r="AO203" s="60">
        <f t="shared" si="205"/>
        <v>423.72519584013378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5.4092197387944907E-14</v>
      </c>
      <c r="BF203" s="14">
        <f t="shared" si="167"/>
        <v>8.7287050538073676E-13</v>
      </c>
      <c r="BG203" s="22">
        <f t="shared" si="168"/>
        <v>1.6144600406554537E-12</v>
      </c>
      <c r="BH203" s="60">
        <f t="shared" si="194"/>
        <v>290.5652398529557</v>
      </c>
      <c r="BI203" s="60">
        <f ca="1">AVERAGE(OFFSET($BH$3,0,0,'Données projet'!$E$11+1,1))-AVERAGE(OFFSET($H$3,0,0,'Données projet'!$E$11+1,1))</f>
        <v>441.15969139782891</v>
      </c>
      <c r="BJ203" s="60">
        <f t="shared" si="206"/>
        <v>315.06466790224783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8.8675733422860506E-14</v>
      </c>
      <c r="CA203" s="14">
        <f t="shared" si="170"/>
        <v>1.3509285393066301E-12</v>
      </c>
      <c r="CB203" s="22">
        <f t="shared" si="171"/>
        <v>2.5073107750038623E-12</v>
      </c>
      <c r="CC203" s="60">
        <f t="shared" si="195"/>
        <v>290.56523985295661</v>
      </c>
      <c r="CD203" s="60">
        <f ca="1">AVERAGE(OFFSET($CC$3,0,0,'Données projet'!$E$12+1,1))-AVERAGE(OFFSET($H$3,0,0,'Données projet'!$E$12+1,1))</f>
        <v>312.59632808777332</v>
      </c>
      <c r="CE203" s="60">
        <f t="shared" si="207"/>
        <v>302.59481222418219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-1.1368683772161603E-13</v>
      </c>
      <c r="CU203" s="18">
        <f>CT203*VLOOKUP('Données projet'!$B$13,Paramètres!$A$1:$I$89,3,0)*VLOOKUP('Données projet'!$B$13,Paramètres!$A$1:$I$89,5,0)</f>
        <v>-1.0995790944434703E-13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603.52431522262032</v>
      </c>
      <c r="CZ203" s="60">
        <f t="shared" si="208"/>
        <v>313.56299786481338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-1.1368683772161603E-13</v>
      </c>
      <c r="DP203" s="18">
        <f>DO203*VLOOKUP('Données projet'!$B$14,Paramètres!$A$1:$I$89,3,0)*VLOOKUP('Données projet'!$B$14,Paramètres!$A$1:$I$89,5,0)</f>
        <v>-1.223725121235475E-13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661.93515988633499</v>
      </c>
      <c r="DU203" s="60">
        <f t="shared" si="209"/>
        <v>341.9250949809848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>
        <f>EJ203*VLOOKUP('Données projet'!$B$15,Paramètres!$A$1:$I$89,3,0)*VLOOKUP('Données projet'!$B$15,Paramètres!$A$1:$I$89,5,0)</f>
        <v>0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396.0878652679051</v>
      </c>
      <c r="EP203" s="60">
        <f t="shared" si="210"/>
        <v>327.26339199235406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-5.6843418860808015E-14</v>
      </c>
      <c r="FF203" s="18">
        <f>FE203*VLOOKUP('Données projet'!$B$16,Paramètres!$A$1:$I$89,3,0)*VLOOKUP('Données projet'!$B$16,Paramètres!$A$1:$I$89,5,0)</f>
        <v>-4.1677594708744434E-14</v>
      </c>
      <c r="FG203" s="14" t="e">
        <f t="shared" si="182"/>
        <v>#NUM!</v>
      </c>
      <c r="FH203" s="22" t="e">
        <f t="shared" si="183"/>
        <v>#NUM!</v>
      </c>
      <c r="FI203" s="60" t="e">
        <f t="shared" si="199"/>
        <v>#NUM!</v>
      </c>
      <c r="FJ203" s="60">
        <f ca="1">AVERAGE(OFFSET($FI$3,0,0,'Données projet'!$E$16+1,1))-AVERAGE(OFFSET($H$3,0,0,'Données projet'!$E$16+1,1))</f>
        <v>368.35775920359396</v>
      </c>
      <c r="FK203" s="60">
        <f t="shared" si="211"/>
        <v>395.5218438652638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-1.2505552149377763E-12</v>
      </c>
      <c r="GA203" s="18">
        <f>FZ203*VLOOKUP('Données projet'!$B$17,Paramètres!$A$1:$I$89,3,0)*VLOOKUP('Données projet'!$B$17,Paramètres!$A$1:$I$89,5,0)</f>
        <v>-1.0729763744166122E-12</v>
      </c>
      <c r="GB203" s="14" t="e">
        <f t="shared" si="185"/>
        <v>#NUM!</v>
      </c>
      <c r="GC203" s="22" t="e">
        <f t="shared" si="186"/>
        <v>#NUM!</v>
      </c>
      <c r="GD203" s="60" t="e">
        <f t="shared" si="200"/>
        <v>#NUM!</v>
      </c>
      <c r="GE203" s="60">
        <f ca="1">AVERAGE(OFFSET($GD$3,0,0,'Données projet'!$E$17+1,1))-AVERAGE(OFFSET($H$3,0,0,'Données projet'!$E$17+1,1))</f>
        <v>701.44583662096022</v>
      </c>
      <c r="GF203" s="60">
        <f t="shared" si="212"/>
        <v>331.25104323342907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-1.1368683772161603E-13</v>
      </c>
      <c r="GV203" s="18">
        <f>GU203*VLOOKUP('Données projet'!$B$18,Paramètres!$A$1:$I$89,3,0)*VLOOKUP('Données projet'!$B$18,Paramètres!$A$1:$I$89,5,0)</f>
        <v>-9.2222762759774927E-14</v>
      </c>
      <c r="GW203" s="14" t="e">
        <f t="shared" si="188"/>
        <v>#NUM!</v>
      </c>
      <c r="GX203" s="22" t="e">
        <f t="shared" si="189"/>
        <v>#NUM!</v>
      </c>
      <c r="GY203" s="60" t="e">
        <f t="shared" si="201"/>
        <v>#NUM!</v>
      </c>
      <c r="GZ203" s="60">
        <f ca="1">AVERAGE(OFFSET($GY$3,0,0,'Données projet'!$E$18+1,1))-AVERAGE(OFFSET($H$3,0,0,'Données projet'!$E$18+1,1))</f>
        <v>272.69564942740931</v>
      </c>
      <c r="HA203" s="60">
        <f t="shared" si="213"/>
        <v>316.57989180609252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.75" thickBot="1" x14ac:dyDescent="0.3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.75" thickBot="1" x14ac:dyDescent="0.3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1.2392705892426346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1.2721323532877689</v>
      </c>
      <c r="BA205" s="86">
        <f>EXP(LN('Données projet'!B88)/'Données projet'!A88)</f>
        <v>1.2934226882877784</v>
      </c>
      <c r="BV205" s="86">
        <f>EXP(LN('Données projet'!B114)/'Données projet'!A114)</f>
        <v>1.2788040393997409</v>
      </c>
      <c r="CQ205" s="86">
        <f>EXP(LN('Données projet'!B140)/'Données projet'!A140)</f>
        <v>1.2392705892426346</v>
      </c>
      <c r="DL205" s="86">
        <f>EXP(LN('Données projet'!B166)/'Données projet'!A166)</f>
        <v>1.2392705892426346</v>
      </c>
      <c r="EG205" s="86">
        <f>EXP(LN('Données projet'!B192)/'Données projet'!A192)</f>
        <v>1.4172437739267318</v>
      </c>
      <c r="FB205" s="86">
        <f>EXP(LN('Données projet'!B218)/'Données projet'!A218)</f>
        <v>1.2721323532877689</v>
      </c>
      <c r="FW205" s="86">
        <f>EXP(LN('Données projet'!B244)/'Données projet'!A244)</f>
        <v>1.2229519710813024</v>
      </c>
      <c r="GR205" s="86">
        <f>EXP(LN('Données projet'!B270)/'Données projet'!A270)</f>
        <v>1.2457309396155174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Normal="100" workbookViewId="0">
      <selection activeCell="I12" sqref="I1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Chêne sessile</v>
      </c>
      <c r="B6" s="153">
        <f>'Données projet'!D9</f>
        <v>1.3992000000000002</v>
      </c>
      <c r="C6" s="154">
        <f ca="1">IF(OR('Données projet'!B9="",'Données projet'!C9="",'Données projet'!C9=0%),0,Calculateur!S3)</f>
        <v>570.08763950759544</v>
      </c>
      <c r="D6" s="154">
        <f>IF(OR('Données projet'!B9="",'Données projet'!C9="",'Données projet'!C9=0%),0,Calculateur!T3)</f>
        <v>297.32483725004136</v>
      </c>
      <c r="E6" s="154">
        <f ca="1">MIN(C6,D6)</f>
        <v>297.32483725004136</v>
      </c>
      <c r="F6" s="154">
        <f ca="1">E6*B6</f>
        <v>416.01691228025794</v>
      </c>
      <c r="G6" s="154">
        <f ca="1">F6*(100%-'Données projet'!$C$24)*(100%-'Données projet'!$C$25)*(100%-'Données projet'!$C$26)*(100%-'Données projet'!$C$27)</f>
        <v>374.41522105223214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11.893200000000002</v>
      </c>
      <c r="K6" s="158">
        <f>J6*(100%-'Données projet'!$C$24)*(100%-'Données projet'!$C$25)*(100%-'Données projet'!$C$26)*(100%-'Données projet'!$C$27)</f>
        <v>10.703880000000002</v>
      </c>
      <c r="L6" s="159">
        <f ca="1">G6+I6+K6</f>
        <v>385.11910105223217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Erable sycomore</v>
      </c>
      <c r="B7" s="161">
        <f>'Données projet'!D10</f>
        <v>0.55120000000000002</v>
      </c>
      <c r="C7" s="154">
        <f ca="1">IF(OR('Données projet'!B10="",'Données projet'!C10="",'Données projet'!C10=0%),0,Calculateur!AN3)</f>
        <v>394.49874384716014</v>
      </c>
      <c r="D7" s="154">
        <f>IF(OR('Données projet'!B10="",'Données projet'!C10="",'Données projet'!C10=0%),0,Calculateur!AO3)</f>
        <v>423.72519584013378</v>
      </c>
      <c r="E7" s="154">
        <f t="shared" ref="E7:E15" ca="1" si="0">MIN(C7,D7)</f>
        <v>394.49874384716014</v>
      </c>
      <c r="F7" s="154">
        <f t="shared" ref="F7:F15" ca="1" si="1">E7*B7</f>
        <v>217.44770760855468</v>
      </c>
      <c r="G7" s="154">
        <f ca="1">F7*(100%-'Données projet'!$C$24)*(100%-'Données projet'!$C$25)*(100%-'Données projet'!$C$26)*(100%-'Données projet'!$C$27)</f>
        <v>195.70293684769922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18.809699999999999</v>
      </c>
      <c r="K7" s="158">
        <f>J7*(100%-'Données projet'!$C$24)*(100%-'Données projet'!$C$25)*(100%-'Données projet'!$C$26)*(100%-'Données projet'!$C$27)</f>
        <v>16.928730000000002</v>
      </c>
      <c r="L7" s="159">
        <f t="shared" ref="L7:L15" ca="1" si="2">G7+I7+K7</f>
        <v>212.63166684769922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Charme</v>
      </c>
      <c r="B8" s="161">
        <f>'Données projet'!D11</f>
        <v>0.42400000000000004</v>
      </c>
      <c r="C8" s="154">
        <f ca="1">IF(OR('Données projet'!B11="",'Données projet'!C11="",'Données projet'!C11=0%),0,Calculateur!BI3)</f>
        <v>441.15969139782891</v>
      </c>
      <c r="D8" s="154">
        <f>IF(OR('Données projet'!B11="",'Données projet'!C11="",'Données projet'!C11=0%),0,Calculateur!BJ3)</f>
        <v>315.06466790224783</v>
      </c>
      <c r="E8" s="154">
        <f t="shared" ca="1" si="0"/>
        <v>315.06466790224783</v>
      </c>
      <c r="F8" s="154">
        <f t="shared" ca="1" si="1"/>
        <v>133.58741919055311</v>
      </c>
      <c r="G8" s="154">
        <f ca="1">F8*(100%-'Données projet'!$C$24)*(100%-'Données projet'!$C$25)*(100%-'Données projet'!$C$26)*(100%-'Données projet'!$C$27)</f>
        <v>120.2286772714978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3.8051282051282054</v>
      </c>
      <c r="K8" s="158">
        <f>J8*(100%-'Données projet'!$C$24)*(100%-'Données projet'!$C$25)*(100%-'Données projet'!$C$26)*(100%-'Données projet'!$C$27)</f>
        <v>3.4246153846153851</v>
      </c>
      <c r="L8" s="159">
        <f t="shared" ca="1" si="2"/>
        <v>123.65329265611318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Merisier</v>
      </c>
      <c r="B9" s="161">
        <f>'Données projet'!D12</f>
        <v>0.42400000000000004</v>
      </c>
      <c r="C9" s="154">
        <f ca="1">IF(OR('Données projet'!B12="",'Données projet'!C12="",'Données projet'!C12=0%),0,Calculateur!CD3)</f>
        <v>312.59632808777332</v>
      </c>
      <c r="D9" s="154">
        <f>IF(OR('Données projet'!B12="",'Données projet'!C12="",'Données projet'!C12=0%),0,Calculateur!CE3)</f>
        <v>302.59481222418219</v>
      </c>
      <c r="E9" s="154">
        <f t="shared" ca="1" si="0"/>
        <v>302.59481222418219</v>
      </c>
      <c r="F9" s="154">
        <f t="shared" ca="1" si="1"/>
        <v>128.30020038305327</v>
      </c>
      <c r="G9" s="154">
        <f ca="1">F9*(100%-'Données projet'!$C$24)*(100%-'Données projet'!$C$25)*(100%-'Données projet'!$C$26)*(100%-'Données projet'!$C$27)</f>
        <v>115.47018034474794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5.830000000000001</v>
      </c>
      <c r="K9" s="158">
        <f>J9*(100%-'Données projet'!$C$24)*(100%-'Données projet'!$C$25)*(100%-'Données projet'!$C$26)*(100%-'Données projet'!$C$27)</f>
        <v>5.2470000000000008</v>
      </c>
      <c r="L9" s="159">
        <f t="shared" ca="1" si="2"/>
        <v>120.71718034474794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Alisier torminal</v>
      </c>
      <c r="B10" s="161">
        <f>'Données projet'!D13</f>
        <v>0.21200000000000002</v>
      </c>
      <c r="C10" s="154">
        <f ca="1">IF(OR('Données projet'!B13="",'Données projet'!C13="",'Données projet'!C13=0%),0,Calculateur!CY3)</f>
        <v>603.52431522262032</v>
      </c>
      <c r="D10" s="154">
        <f>IF(OR('Données projet'!B13="",'Données projet'!C13="",'Données projet'!C13=0%),0,Calculateur!CZ3)</f>
        <v>313.56299786481338</v>
      </c>
      <c r="E10" s="154">
        <f t="shared" ca="1" si="0"/>
        <v>313.56299786481338</v>
      </c>
      <c r="F10" s="154">
        <f t="shared" ca="1" si="1"/>
        <v>66.475355547340442</v>
      </c>
      <c r="G10" s="154">
        <f ca="1">F10*(100%-'Données projet'!$C$24)*(100%-'Données projet'!$C$25)*(100%-'Données projet'!$C$26)*(100%-'Données projet'!$C$27)</f>
        <v>59.8278199926064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1.8020000000000003</v>
      </c>
      <c r="K10" s="158">
        <f>J10*(100%-'Données projet'!$C$24)*(100%-'Données projet'!$C$25)*(100%-'Données projet'!$C$26)*(100%-'Données projet'!$C$27)</f>
        <v>1.6218000000000004</v>
      </c>
      <c r="L10" s="159">
        <f t="shared" ca="1" si="2"/>
        <v>61.449619992606401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>Cormier</v>
      </c>
      <c r="B11" s="161">
        <f>'Données projet'!D14</f>
        <v>0.21200000000000002</v>
      </c>
      <c r="C11" s="154">
        <f ca="1">IF(OR('Données projet'!B14="",'Données projet'!C14="",'Données projet'!C14=0%),0,Calculateur!DT3)</f>
        <v>661.93515988633499</v>
      </c>
      <c r="D11" s="154">
        <f>IF(OR('Données projet'!B14="",'Données projet'!C14="",'Données projet'!C14=0%),0,Calculateur!DU3)</f>
        <v>341.9250949809848</v>
      </c>
      <c r="E11" s="154">
        <f t="shared" ca="1" si="0"/>
        <v>341.9250949809848</v>
      </c>
      <c r="F11" s="154">
        <f t="shared" ca="1" si="1"/>
        <v>72.488120135968785</v>
      </c>
      <c r="G11" s="154">
        <f ca="1">F11*(100%-'Données projet'!$C$24)*(100%-'Données projet'!$C$25)*(100%-'Données projet'!$C$26)*(100%-'Données projet'!$C$27)</f>
        <v>65.239308122371909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1.8020000000000003</v>
      </c>
      <c r="K11" s="158">
        <f>J11*(100%-'Données projet'!$C$24)*(100%-'Données projet'!$C$25)*(100%-'Données projet'!$C$26)*(100%-'Données projet'!$C$27)</f>
        <v>1.6218000000000004</v>
      </c>
      <c r="L11" s="159">
        <f t="shared" ca="1" si="2"/>
        <v>66.861108122371917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>Tilleul</v>
      </c>
      <c r="B12" s="161">
        <f>'Données projet'!D15</f>
        <v>0.21200000000000002</v>
      </c>
      <c r="C12" s="154">
        <f ca="1">IF(OR('Données projet'!B15="",'Données projet'!C15="",'Données projet'!C15=0%),0,Calculateur!EO3)</f>
        <v>396.0878652679051</v>
      </c>
      <c r="D12" s="154">
        <f>IF(OR('Données projet'!B15="",'Données projet'!C15="",'Données projet'!C15=0%),0,Calculateur!EP3)</f>
        <v>327.26339199235406</v>
      </c>
      <c r="E12" s="154">
        <f t="shared" ca="1" si="0"/>
        <v>327.26339199235406</v>
      </c>
      <c r="F12" s="154">
        <f t="shared" ca="1" si="1"/>
        <v>69.379839102379066</v>
      </c>
      <c r="G12" s="154">
        <f ca="1">F12*(100%-'Données projet'!$C$24)*(100%-'Données projet'!$C$25)*(100%-'Données projet'!$C$26)*(100%-'Données projet'!$C$27)</f>
        <v>62.441855192141162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4.1448717948717952</v>
      </c>
      <c r="K12" s="158">
        <f>J12*(100%-'Données projet'!$C$24)*(100%-'Données projet'!$C$25)*(100%-'Données projet'!$C$26)*(100%-'Données projet'!$C$27)</f>
        <v>3.7303846153846156</v>
      </c>
      <c r="L12" s="159">
        <f t="shared" ca="1" si="2"/>
        <v>66.172239807525784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>Châtaignier</v>
      </c>
      <c r="B13" s="161">
        <f>'Données projet'!D16</f>
        <v>0.21200000000000002</v>
      </c>
      <c r="C13" s="154">
        <f ca="1">IF(OR('Données projet'!B16="",'Données projet'!C16="",'Données projet'!C16=0%),0,Calculateur!FJ3)</f>
        <v>368.35775920359396</v>
      </c>
      <c r="D13" s="154">
        <f>IF(OR('Données projet'!B16="",'Données projet'!C16="",'Données projet'!C16=0%),0,Calculateur!FK3)</f>
        <v>395.5218438652638</v>
      </c>
      <c r="E13" s="154">
        <f t="shared" ca="1" si="0"/>
        <v>368.35775920359396</v>
      </c>
      <c r="F13" s="154">
        <f t="shared" ca="1" si="1"/>
        <v>78.091844951161931</v>
      </c>
      <c r="G13" s="154">
        <f ca="1">F13*(100%-'Données projet'!$C$24)*(100%-'Données projet'!$C$25)*(100%-'Données projet'!$C$26)*(100%-'Données projet'!$C$27)</f>
        <v>70.282660456045747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7.2345000000000006</v>
      </c>
      <c r="K13" s="158">
        <f>J13*(100%-'Données projet'!$C$24)*(100%-'Données projet'!$C$25)*(100%-'Données projet'!$C$26)*(100%-'Données projet'!$C$27)</f>
        <v>6.5110500000000009</v>
      </c>
      <c r="L13" s="159">
        <f t="shared" ca="1" si="2"/>
        <v>76.793710456045744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>Hêtre</v>
      </c>
      <c r="B14" s="161">
        <f>'Données projet'!D17</f>
        <v>0.21200000000000002</v>
      </c>
      <c r="C14" s="154">
        <f ca="1">IF(OR('Données projet'!B17="",'Données projet'!C17="",'Données projet'!C17=0%),0,Calculateur!GE3)</f>
        <v>701.44583662096022</v>
      </c>
      <c r="D14" s="154">
        <f>IF(OR('Données projet'!B17="",'Données projet'!C17="",'Données projet'!C17=0%),0,Calculateur!GF3)</f>
        <v>331.25104323342907</v>
      </c>
      <c r="E14" s="154">
        <f t="shared" ca="1" si="0"/>
        <v>331.25104323342907</v>
      </c>
      <c r="F14" s="154">
        <f t="shared" ca="1" si="1"/>
        <v>70.225221165486971</v>
      </c>
      <c r="G14" s="154">
        <f ca="1">F14*(100%-'Données projet'!$C$24)*(100%-'Données projet'!$C$25)*(100%-'Données projet'!$C$26)*(100%-'Données projet'!$C$27)</f>
        <v>63.202699048938278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1.3780000000000001</v>
      </c>
      <c r="K14" s="158">
        <f>J14*(100%-'Données projet'!$C$24)*(100%-'Données projet'!$C$25)*(100%-'Données projet'!$C$26)*(100%-'Données projet'!$C$27)</f>
        <v>1.2402000000000002</v>
      </c>
      <c r="L14" s="159">
        <f t="shared" ca="1" si="2"/>
        <v>64.442899048938273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>Bouleau verruqueux</v>
      </c>
      <c r="B15" s="164">
        <f>'Données projet'!D18</f>
        <v>0.21200000000000002</v>
      </c>
      <c r="C15" s="165">
        <f ca="1">IF(OR('Données projet'!B18="",'Données projet'!C18="",'Données projet'!C18=0%),0,Calculateur!GZ3)</f>
        <v>272.69564942740931</v>
      </c>
      <c r="D15" s="165">
        <f>IF(OR('Données projet'!B18="",'Données projet'!C18="",'Données projet'!C18=0%),0,Calculateur!HA3)</f>
        <v>316.57989180609252</v>
      </c>
      <c r="E15" s="165">
        <f t="shared" ca="1" si="0"/>
        <v>272.69564942740931</v>
      </c>
      <c r="F15" s="166">
        <f t="shared" ca="1" si="1"/>
        <v>57.811477678610778</v>
      </c>
      <c r="G15" s="166">
        <f ca="1">F15*(100%-'Données projet'!$C$24)*(100%-'Données projet'!$C$25)*(100%-'Données projet'!$C$26)*(100%-'Données projet'!$C$27)</f>
        <v>52.0303299107497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2.12</v>
      </c>
      <c r="K15" s="170">
        <f>J15*(100%-'Données projet'!$C$24)*(100%-'Données projet'!$C$25)*(100%-'Données projet'!$C$26)*(100%-'Données projet'!$C$27)</f>
        <v>1.9080000000000001</v>
      </c>
      <c r="L15" s="171">
        <f t="shared" ca="1" si="2"/>
        <v>53.938329910749701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1309.824098043367</v>
      </c>
      <c r="G16" s="173">
        <f t="shared" ca="1" si="3"/>
        <v>1178.8416882390302</v>
      </c>
      <c r="H16" s="174">
        <f t="shared" si="3"/>
        <v>0</v>
      </c>
      <c r="I16" s="174">
        <f t="shared" si="3"/>
        <v>0</v>
      </c>
      <c r="J16" s="175">
        <f t="shared" si="3"/>
        <v>58.819399999999995</v>
      </c>
      <c r="K16" s="175">
        <f t="shared" si="3"/>
        <v>52.937460000000016</v>
      </c>
      <c r="L16" s="176">
        <f t="shared" ca="1" si="3"/>
        <v>1231.7791482390303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Chêne sessile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Erable sycomore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Charme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Merisier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Alisier torminal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>Cormier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>Tilleul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>Châtaignier</v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>Hêtre</v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>Bouleau verruqueux</v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273" zoomScale="80" zoomScaleNormal="80" workbookViewId="0">
      <selection activeCell="L26" sqref="L26:P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24" t="s">
        <v>315</v>
      </c>
      <c r="I4" s="324"/>
      <c r="K4" s="321" t="s">
        <v>253</v>
      </c>
      <c r="L4" s="322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2" t="s">
        <v>310</v>
      </c>
      <c r="S7" s="333"/>
      <c r="T7" s="333"/>
      <c r="U7" s="333"/>
      <c r="V7" s="334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858.81620207483456</v>
      </c>
      <c r="U10" s="188">
        <f>'Données projet'!D9</f>
        <v>1.3992000000000002</v>
      </c>
      <c r="V10" s="187">
        <f>U10*T10</f>
        <v>1201.6556299431088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Erable sycomore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2094.3643226198092</v>
      </c>
      <c r="U11" s="188">
        <f>'Données projet'!D10</f>
        <v>0.55120000000000002</v>
      </c>
      <c r="V11" s="187">
        <f t="shared" ref="V11" si="0">U11*T11</f>
        <v>1154.4136146280389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Charme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509.58934385645489</v>
      </c>
      <c r="U12" s="188">
        <f>'Données projet'!D11</f>
        <v>0.42400000000000004</v>
      </c>
      <c r="V12" s="187">
        <f t="shared" ref="V12:V19" si="1">U12*T12</f>
        <v>216.0658817951369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Merisier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2391.8740279249419</v>
      </c>
      <c r="U13" s="188">
        <f>'Données projet'!D12</f>
        <v>0.42400000000000004</v>
      </c>
      <c r="V13" s="187">
        <f t="shared" si="1"/>
        <v>1014.1545878401754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Alisier torminal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858.81620207483456</v>
      </c>
      <c r="U14" s="188">
        <f>'Données projet'!D13</f>
        <v>0.21200000000000002</v>
      </c>
      <c r="V14" s="187">
        <f t="shared" si="1"/>
        <v>182.06903483986494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25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Cormier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858.81620207483456</v>
      </c>
      <c r="U15" s="188">
        <f>'Données projet'!D14</f>
        <v>0.21200000000000002</v>
      </c>
      <c r="V15" s="187">
        <f t="shared" si="1"/>
        <v>182.06903483986494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5"/>
      <c r="H16" s="201"/>
      <c r="I16" s="202"/>
      <c r="J16" s="214"/>
      <c r="K16" s="223"/>
      <c r="L16" s="321" t="s">
        <v>254</v>
      </c>
      <c r="M16" s="322"/>
      <c r="N16" s="2"/>
      <c r="O16" s="25"/>
      <c r="P16" s="25"/>
      <c r="Q16" s="263"/>
      <c r="R16" s="25"/>
      <c r="S16" s="183" t="str">
        <f>B200</f>
        <v>Tilleul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721.52809522880659</v>
      </c>
      <c r="U16" s="188">
        <f>'Données projet'!D15</f>
        <v>0.21200000000000002</v>
      </c>
      <c r="V16" s="187">
        <f t="shared" si="1"/>
        <v>152.96395618850701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5"/>
      <c r="J17" s="214"/>
      <c r="K17" s="223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>Châtaignier</v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2094.3643226198092</v>
      </c>
      <c r="U17" s="188">
        <f>'Données projet'!D16</f>
        <v>0.21200000000000002</v>
      </c>
      <c r="V17" s="187">
        <f t="shared" si="1"/>
        <v>444.00523639539961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5"/>
      <c r="J18" s="214"/>
      <c r="K18" s="223"/>
      <c r="L18" s="292" t="s">
        <v>255</v>
      </c>
      <c r="M18" s="294"/>
      <c r="N18" s="203"/>
      <c r="O18" s="25"/>
      <c r="P18" s="25"/>
      <c r="Q18" s="263"/>
      <c r="R18" s="25"/>
      <c r="S18" s="183" t="str">
        <f>B262</f>
        <v>Hêtre</v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1105.2939127556724</v>
      </c>
      <c r="U18" s="188">
        <f>'Données projet'!D17</f>
        <v>0.21200000000000002</v>
      </c>
      <c r="V18" s="187">
        <f t="shared" si="1"/>
        <v>234.32230950420256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5"/>
      <c r="H19" s="230" t="s">
        <v>178</v>
      </c>
      <c r="I19" s="230" t="s">
        <v>287</v>
      </c>
      <c r="J19" s="258"/>
      <c r="K19" s="181"/>
      <c r="L19" s="321" t="s">
        <v>288</v>
      </c>
      <c r="M19" s="322"/>
      <c r="N19" s="189">
        <f>N17*N18</f>
        <v>0</v>
      </c>
      <c r="O19" s="25"/>
      <c r="P19" s="5"/>
      <c r="Q19" s="264"/>
      <c r="R19" s="5"/>
      <c r="S19" s="183" t="str">
        <f>B293</f>
        <v>Bouleau verruqueux</v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1192.7133000494639</v>
      </c>
      <c r="U19" s="188">
        <f>'Données projet'!D18</f>
        <v>0.21200000000000002</v>
      </c>
      <c r="V19" s="187">
        <f t="shared" si="1"/>
        <v>252.85521961048636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25"/>
      <c r="H20" s="201">
        <v>0</v>
      </c>
      <c r="I20" s="202">
        <v>7922.44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20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23" t="s">
        <v>260</v>
      </c>
      <c r="M23" s="323"/>
      <c r="N23" s="323"/>
      <c r="O23" s="25"/>
      <c r="P23" s="25"/>
      <c r="Q23" s="263"/>
      <c r="R23" s="25"/>
      <c r="S23" s="183" t="s">
        <v>264</v>
      </c>
      <c r="T23" s="33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-28556.57109441522</v>
      </c>
      <c r="U23" s="337"/>
      <c r="V23" s="33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25</v>
      </c>
      <c r="B24" s="191">
        <f>'Données projet'!D37</f>
        <v>34</v>
      </c>
      <c r="C24" s="204">
        <v>10</v>
      </c>
      <c r="D24" s="192">
        <f t="shared" ref="D24:D42" si="2">B24*C24</f>
        <v>340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8">
        <f ca="1">'Scénario référence'!$B$8*$M$30*'Données projet'!$C$5+('Scénario référence'!B9+'Scénario référence'!B10+'Scénario référence'!F8+'Scénario référence'!F9)*$N$19/(1+M4)^N16*'Données projet'!$C$5</f>
        <v>23780.359324164507</v>
      </c>
      <c r="U24" s="338"/>
      <c r="V24" s="33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30</v>
      </c>
      <c r="B25" s="191">
        <f>'Données projet'!D38</f>
        <v>0</v>
      </c>
      <c r="C25" s="204"/>
      <c r="D25" s="192">
        <f t="shared" si="2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259.2</v>
      </c>
      <c r="Q25" s="263"/>
      <c r="R25" s="25"/>
      <c r="S25" s="196" t="s">
        <v>266</v>
      </c>
      <c r="T25" s="339">
        <f ca="1">T23-T24</f>
        <v>-52336.930418579723</v>
      </c>
      <c r="U25" s="339"/>
      <c r="V25" s="33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35</v>
      </c>
      <c r="B26" s="191">
        <f>'Données projet'!D39</f>
        <v>56</v>
      </c>
      <c r="C26" s="204">
        <v>10</v>
      </c>
      <c r="D26" s="192">
        <f t="shared" si="2"/>
        <v>560</v>
      </c>
      <c r="E26" s="204"/>
      <c r="F26" s="262"/>
      <c r="G26" s="257"/>
      <c r="H26" s="201"/>
      <c r="I26" s="202"/>
      <c r="K26" s="223"/>
      <c r="L26" s="326" t="s">
        <v>258</v>
      </c>
      <c r="M26" s="327"/>
      <c r="N26" s="327"/>
      <c r="O26" s="327"/>
      <c r="P26" s="328"/>
      <c r="Q26" s="263"/>
      <c r="R26" s="25"/>
      <c r="S26" s="196" t="s">
        <v>265</v>
      </c>
      <c r="T26" s="336" t="str">
        <f ca="1">IF(T25&lt;0,"Votre projet est additionnel","Votre projet n'est pas additionnel")</f>
        <v>Votre projet est additionnel</v>
      </c>
      <c r="U26" s="336"/>
      <c r="V26" s="33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40</v>
      </c>
      <c r="B27" s="191">
        <f>'Données projet'!D40</f>
        <v>0</v>
      </c>
      <c r="C27" s="204"/>
      <c r="D27" s="192">
        <f t="shared" si="2"/>
        <v>0</v>
      </c>
      <c r="E27" s="204"/>
      <c r="F27" s="262"/>
      <c r="G27" s="257"/>
      <c r="H27" s="201"/>
      <c r="I27" s="202"/>
      <c r="K27" s="223"/>
      <c r="L27" s="329"/>
      <c r="M27" s="330"/>
      <c r="N27" s="330"/>
      <c r="O27" s="330"/>
      <c r="P27" s="331"/>
      <c r="Q27" s="263"/>
      <c r="R27" s="25"/>
      <c r="S27" s="335" t="s">
        <v>267</v>
      </c>
      <c r="T27" s="335"/>
      <c r="U27" s="335"/>
      <c r="V27" s="33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45</v>
      </c>
      <c r="B28" s="191">
        <f>'Données projet'!D41</f>
        <v>56</v>
      </c>
      <c r="C28" s="204">
        <v>10</v>
      </c>
      <c r="D28" s="192">
        <f t="shared" si="2"/>
        <v>560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50</v>
      </c>
      <c r="B29" s="191">
        <f>'Données projet'!D42</f>
        <v>0</v>
      </c>
      <c r="C29" s="204"/>
      <c r="D29" s="192">
        <f t="shared" si="2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55</v>
      </c>
      <c r="B30" s="191">
        <f>'Données projet'!D43</f>
        <v>56</v>
      </c>
      <c r="C30" s="204">
        <v>20</v>
      </c>
      <c r="D30" s="192">
        <f t="shared" si="2"/>
        <v>1120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5608.575312302949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60</v>
      </c>
      <c r="B31" s="191">
        <f>'Données projet'!D44</f>
        <v>0</v>
      </c>
      <c r="C31" s="204"/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65</v>
      </c>
      <c r="B32" s="191">
        <f>'Données projet'!D45</f>
        <v>56</v>
      </c>
      <c r="C32" s="204">
        <v>30</v>
      </c>
      <c r="D32" s="192">
        <f t="shared" si="2"/>
        <v>1680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70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259.2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75</v>
      </c>
      <c r="B34" s="191">
        <f>'Données projet'!D47</f>
        <v>56</v>
      </c>
      <c r="C34" s="204">
        <v>40</v>
      </c>
      <c r="D34" s="192">
        <f t="shared" si="2"/>
        <v>2240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248.03827751196172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80</v>
      </c>
      <c r="B35" s="191">
        <f>'Données projet'!D48</f>
        <v>0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237.35720336072896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90</v>
      </c>
      <c r="B36" s="191">
        <f>'Données projet'!D49</f>
        <v>84</v>
      </c>
      <c r="C36" s="204">
        <v>50</v>
      </c>
      <c r="D36" s="192">
        <f t="shared" si="2"/>
        <v>4200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227.13607977103248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100</v>
      </c>
      <c r="B37" s="191">
        <f>'Données projet'!D50</f>
        <v>0</v>
      </c>
      <c r="C37" s="204"/>
      <c r="D37" s="192">
        <f t="shared" si="2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217.35510025936128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110</v>
      </c>
      <c r="B38" s="191">
        <f>'Données projet'!D51</f>
        <v>106</v>
      </c>
      <c r="C38" s="204">
        <v>70</v>
      </c>
      <c r="D38" s="192">
        <f t="shared" si="2"/>
        <v>7420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207.9953112529773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120</v>
      </c>
      <c r="B39" s="191">
        <f>'Données projet'!D52</f>
        <v>0</v>
      </c>
      <c r="C39" s="204"/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199.03857536170082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130</v>
      </c>
      <c r="B40" s="191">
        <f>'Données projet'!D53</f>
        <v>91</v>
      </c>
      <c r="C40" s="204">
        <v>100</v>
      </c>
      <c r="D40" s="192">
        <f t="shared" si="2"/>
        <v>9100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190.46753623129266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140</v>
      </c>
      <c r="B41" s="191">
        <f>'Données projet'!D54</f>
        <v>0</v>
      </c>
      <c r="C41" s="204"/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182.26558491032796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150</v>
      </c>
      <c r="B42" s="191">
        <f>'Données projet'!D55</f>
        <v>376</v>
      </c>
      <c r="C42" s="204">
        <v>200</v>
      </c>
      <c r="D42" s="192">
        <f t="shared" si="2"/>
        <v>75200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174.4168276653856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166.9060551821872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159.71871309300212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Erable sycomore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152.84087377320779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146.25920935235195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139.96096588741818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133.93393864824705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128.1664484672221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122.64731910738956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117.36585560515751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112.31182354560528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107.4754292302443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10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102.84730069879836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15</v>
      </c>
      <c r="B55" s="191">
        <f>'Données projet'!D63</f>
        <v>0</v>
      </c>
      <c r="C55" s="202"/>
      <c r="D55" s="189">
        <f t="shared" ref="D55:D73" si="4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98.418469568228147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20</v>
      </c>
      <c r="B56" s="191">
        <f>'Données projet'!D64</f>
        <v>66.5</v>
      </c>
      <c r="C56" s="202">
        <v>10</v>
      </c>
      <c r="D56" s="189">
        <f t="shared" si="4"/>
        <v>665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94.180353653806833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25</v>
      </c>
      <c r="B57" s="191">
        <f>'Données projet'!D65</f>
        <v>0</v>
      </c>
      <c r="C57" s="202"/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90.124740338571144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30</v>
      </c>
      <c r="B58" s="191">
        <f>'Données projet'!D66</f>
        <v>70</v>
      </c>
      <c r="C58" s="202">
        <v>15</v>
      </c>
      <c r="D58" s="189">
        <f t="shared" si="4"/>
        <v>1050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86.243770658919757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35</v>
      </c>
      <c r="B59" s="191">
        <f>'Données projet'!D67</f>
        <v>0</v>
      </c>
      <c r="C59" s="202"/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82.529924075521322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40</v>
      </c>
      <c r="B60" s="191">
        <f>'Données projet'!D68</f>
        <v>70</v>
      </c>
      <c r="C60" s="202">
        <v>20</v>
      </c>
      <c r="D60" s="189">
        <f t="shared" si="4"/>
        <v>1400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78.976003900020402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45</v>
      </c>
      <c r="B61" s="191">
        <f>'Données projet'!D69</f>
        <v>0</v>
      </c>
      <c r="C61" s="202"/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75.575123349301847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50</v>
      </c>
      <c r="B62" s="191">
        <f>'Données projet'!D70</f>
        <v>43.099999999999994</v>
      </c>
      <c r="C62" s="202">
        <v>30</v>
      </c>
      <c r="D62" s="189">
        <f t="shared" si="4"/>
        <v>1292.9999999999998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72.320692200288832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55</v>
      </c>
      <c r="B63" s="191">
        <f>'Données projet'!D71</f>
        <v>0</v>
      </c>
      <c r="C63" s="202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69.206404019415174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60</v>
      </c>
      <c r="B64" s="191">
        <f>'Données projet'!D72</f>
        <v>30.2</v>
      </c>
      <c r="C64" s="202">
        <v>40</v>
      </c>
      <c r="D64" s="189">
        <f t="shared" si="4"/>
        <v>1208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66.226223942024077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65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63.374376978013508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70</v>
      </c>
      <c r="B66" s="191">
        <f>'Données projet'!D74</f>
        <v>25.9</v>
      </c>
      <c r="C66" s="202">
        <v>50</v>
      </c>
      <c r="D66" s="189">
        <f t="shared" si="4"/>
        <v>1295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60.645336821065563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75</v>
      </c>
      <c r="B67" s="191">
        <f>'Données projet'!D75</f>
        <v>0</v>
      </c>
      <c r="C67" s="202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58.033815139775669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80</v>
      </c>
      <c r="B68" s="191">
        <f>'Données projet'!D76</f>
        <v>341.3</v>
      </c>
      <c r="C68" s="204">
        <v>100</v>
      </c>
      <c r="D68" s="189">
        <f t="shared" si="4"/>
        <v>34130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55.534751329928866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53.14330270806591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50.854835127335804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48.66491399745054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46.56929569134023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44.563919321856687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42.64489887259014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40.808515667550381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Charme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39.05121116511998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37.369580062315777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35.760363695995956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34.220443728225803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32.746836103565357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31.336685266569734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29.987258628296395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28.695941271097038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27.460230881432572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15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26.277732900892417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20</v>
      </c>
      <c r="B86" s="191">
        <f>'Données projet'!D89</f>
        <v>0</v>
      </c>
      <c r="C86" s="202"/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25.14615588602145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25</v>
      </c>
      <c r="B87" s="191">
        <f>'Données projet'!D90</f>
        <v>35.897435897435898</v>
      </c>
      <c r="C87" s="202">
        <v>10</v>
      </c>
      <c r="D87" s="189">
        <f t="shared" si="6"/>
        <v>358.97435897435901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24.06330706796312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30</v>
      </c>
      <c r="B88" s="191">
        <f>'Données projet'!D91</f>
        <v>0</v>
      </c>
      <c r="C88" s="202"/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23.027088103313986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35</v>
      </c>
      <c r="B89" s="191">
        <f>'Données projet'!D92</f>
        <v>33.333333333333336</v>
      </c>
      <c r="C89" s="202">
        <v>10</v>
      </c>
      <c r="D89" s="189">
        <f t="shared" si="6"/>
        <v>333.33333333333337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22.035491007955976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40</v>
      </c>
      <c r="B90" s="191">
        <f>'Données projet'!D93</f>
        <v>0</v>
      </c>
      <c r="C90" s="202"/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21.08659426598658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45</v>
      </c>
      <c r="B91" s="191">
        <f>'Données projet'!D94</f>
        <v>34.615384615384613</v>
      </c>
      <c r="C91" s="202">
        <v>15</v>
      </c>
      <c r="D91" s="189">
        <f t="shared" si="6"/>
        <v>519.23076923076917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20.17855910620726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50</v>
      </c>
      <c r="B92" s="191">
        <f>'Données projet'!D95</f>
        <v>0</v>
      </c>
      <c r="C92" s="202"/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19.309625938954316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55</v>
      </c>
      <c r="B93" s="191">
        <f>'Données projet'!D96</f>
        <v>34.615384615384613</v>
      </c>
      <c r="C93" s="202">
        <v>20</v>
      </c>
      <c r="D93" s="189">
        <f t="shared" si="6"/>
        <v>692.30769230769226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18.478110946367767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60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str">
        <f>IF(O93+1&lt;=MIN('Données projet'!$E$9:$E$18),O93+1,"STOP")</f>
        <v>STOP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65</v>
      </c>
      <c r="B95" s="191">
        <f>'Données projet'!D98</f>
        <v>32.692307692307693</v>
      </c>
      <c r="C95" s="202">
        <v>20</v>
      </c>
      <c r="D95" s="189">
        <f t="shared" si="6"/>
        <v>653.84615384615381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70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75</v>
      </c>
      <c r="B97" s="191">
        <f>'Données projet'!D100</f>
        <v>30.769230769230766</v>
      </c>
      <c r="C97" s="202">
        <v>25</v>
      </c>
      <c r="D97" s="189">
        <f t="shared" si="6"/>
        <v>769.23076923076917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80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85</v>
      </c>
      <c r="B99" s="191">
        <f>'Données projet'!D102</f>
        <v>28.846153846153847</v>
      </c>
      <c r="C99" s="202">
        <v>30</v>
      </c>
      <c r="D99" s="189">
        <f t="shared" si="6"/>
        <v>865.38461538461536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90</v>
      </c>
      <c r="B100" s="191">
        <f>'Données projet'!D103</f>
        <v>0</v>
      </c>
      <c r="C100" s="204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95</v>
      </c>
      <c r="B101" s="191">
        <f>'Données projet'!D104</f>
        <v>27.564102564102562</v>
      </c>
      <c r="C101" s="204">
        <v>35</v>
      </c>
      <c r="D101" s="189">
        <f t="shared" si="6"/>
        <v>964.74358974358972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100</v>
      </c>
      <c r="B102" s="191">
        <f>'Données projet'!D105</f>
        <v>0</v>
      </c>
      <c r="C102" s="204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110</v>
      </c>
      <c r="B103" s="191">
        <f>'Données projet'!D106</f>
        <v>37.820512820512818</v>
      </c>
      <c r="C103" s="204">
        <v>40</v>
      </c>
      <c r="D103" s="189">
        <f t="shared" si="6"/>
        <v>1512.8205128205127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120</v>
      </c>
      <c r="B104" s="191">
        <f>'Données projet'!D107</f>
        <v>285.89743589743591</v>
      </c>
      <c r="C104" s="204">
        <v>50</v>
      </c>
      <c r="D104" s="189">
        <f t="shared" si="6"/>
        <v>14294.871794871795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Merisier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15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20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25</v>
      </c>
      <c r="B118" s="191">
        <f>'Données projet'!D116</f>
        <v>55</v>
      </c>
      <c r="C118" s="202">
        <v>10</v>
      </c>
      <c r="D118" s="189">
        <f t="shared" si="8"/>
        <v>550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31</v>
      </c>
      <c r="B119" s="191">
        <f>'Données projet'!D117</f>
        <v>36</v>
      </c>
      <c r="C119" s="202">
        <v>10</v>
      </c>
      <c r="D119" s="189">
        <f t="shared" si="8"/>
        <v>360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37</v>
      </c>
      <c r="B120" s="191">
        <f>'Données projet'!D118</f>
        <v>36</v>
      </c>
      <c r="C120" s="202">
        <v>15</v>
      </c>
      <c r="D120" s="189">
        <f t="shared" si="8"/>
        <v>540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44</v>
      </c>
      <c r="B121" s="191">
        <f>'Données projet'!D119</f>
        <v>43</v>
      </c>
      <c r="C121" s="202">
        <v>20</v>
      </c>
      <c r="D121" s="189">
        <f t="shared" si="8"/>
        <v>860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52</v>
      </c>
      <c r="B122" s="191">
        <f>'Données projet'!D120</f>
        <v>48</v>
      </c>
      <c r="C122" s="202">
        <v>30</v>
      </c>
      <c r="D122" s="189">
        <f t="shared" si="8"/>
        <v>1440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60</v>
      </c>
      <c r="B123" s="191">
        <f>'Données projet'!D121</f>
        <v>47</v>
      </c>
      <c r="C123" s="202">
        <v>50</v>
      </c>
      <c r="D123" s="189">
        <f t="shared" si="8"/>
        <v>2350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69</v>
      </c>
      <c r="B124" s="191">
        <f>'Données projet'!D122</f>
        <v>328</v>
      </c>
      <c r="C124" s="204">
        <v>100</v>
      </c>
      <c r="D124" s="189">
        <f t="shared" si="8"/>
        <v>32800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0</v>
      </c>
      <c r="B125" s="191">
        <f>'Données projet'!D123</f>
        <v>0</v>
      </c>
      <c r="C125" s="204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0</v>
      </c>
      <c r="B126" s="191">
        <f>'Données projet'!D124</f>
        <v>0</v>
      </c>
      <c r="C126" s="202"/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0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0</v>
      </c>
      <c r="B128" s="191">
        <f>'Données projet'!D126</f>
        <v>0</v>
      </c>
      <c r="C128" s="202"/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0</v>
      </c>
      <c r="B129" s="191">
        <f>'Données projet'!D127</f>
        <v>0</v>
      </c>
      <c r="C129" s="202"/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0</v>
      </c>
      <c r="B130" s="191">
        <f>'Données projet'!D128</f>
        <v>0</v>
      </c>
      <c r="C130" s="202"/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0</v>
      </c>
      <c r="B131" s="191">
        <f>'Données projet'!D129</f>
        <v>0</v>
      </c>
      <c r="C131" s="204"/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0</v>
      </c>
      <c r="B132" s="191">
        <f>'Données projet'!D130</f>
        <v>0</v>
      </c>
      <c r="C132" s="204"/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0</v>
      </c>
      <c r="B133" s="191">
        <f>'Données projet'!D131</f>
        <v>0</v>
      </c>
      <c r="C133" s="204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0</v>
      </c>
      <c r="B134" s="191">
        <f>'Données projet'!D132</f>
        <v>0</v>
      </c>
      <c r="C134" s="204"/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0</v>
      </c>
      <c r="B135" s="191">
        <f>'Données projet'!D133</f>
        <v>0</v>
      </c>
      <c r="C135" s="204"/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Alisier torminal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5">
        <f>'Données projet'!D141</f>
        <v>34</v>
      </c>
      <c r="C148" s="204">
        <v>10</v>
      </c>
      <c r="D148" s="192">
        <f t="shared" ref="D148:D166" si="10">B148*C148</f>
        <v>340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5">
        <f>'Données projet'!D142</f>
        <v>0</v>
      </c>
      <c r="C149" s="204"/>
      <c r="D149" s="192">
        <f t="shared" si="10"/>
        <v>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5">
        <f>'Données projet'!D143</f>
        <v>56</v>
      </c>
      <c r="C150" s="204">
        <v>10</v>
      </c>
      <c r="D150" s="192">
        <f t="shared" si="10"/>
        <v>560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5">
        <f>'Données projet'!D144</f>
        <v>0</v>
      </c>
      <c r="C151" s="204"/>
      <c r="D151" s="192">
        <f t="shared" si="10"/>
        <v>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5">
        <f>'Données projet'!D145</f>
        <v>56</v>
      </c>
      <c r="C152" s="204">
        <v>10</v>
      </c>
      <c r="D152" s="192">
        <f t="shared" si="10"/>
        <v>560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5">
        <f>'Données projet'!D146</f>
        <v>0</v>
      </c>
      <c r="C153" s="204"/>
      <c r="D153" s="192">
        <f t="shared" si="10"/>
        <v>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5">
        <f>'Données projet'!D147</f>
        <v>56</v>
      </c>
      <c r="C154" s="204">
        <v>20</v>
      </c>
      <c r="D154" s="192">
        <f t="shared" si="10"/>
        <v>1120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5">
        <f>'Données projet'!D148</f>
        <v>0</v>
      </c>
      <c r="C155" s="204"/>
      <c r="D155" s="192">
        <f t="shared" si="10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5">
        <f>'Données projet'!D149</f>
        <v>56</v>
      </c>
      <c r="C156" s="204">
        <v>30</v>
      </c>
      <c r="D156" s="192">
        <f t="shared" si="10"/>
        <v>1680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5">
        <f>'Données projet'!D150</f>
        <v>0</v>
      </c>
      <c r="C157" s="204"/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5">
        <f>'Données projet'!D151</f>
        <v>56</v>
      </c>
      <c r="C158" s="204">
        <v>40</v>
      </c>
      <c r="D158" s="192">
        <f t="shared" si="10"/>
        <v>2240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5">
        <f>'Données projet'!D152</f>
        <v>0</v>
      </c>
      <c r="C159" s="204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90</v>
      </c>
      <c r="B160" s="185">
        <f>'Données projet'!D153</f>
        <v>84</v>
      </c>
      <c r="C160" s="204">
        <v>50</v>
      </c>
      <c r="D160" s="192">
        <f t="shared" si="10"/>
        <v>4200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100</v>
      </c>
      <c r="B161" s="185">
        <f>'Données projet'!D154</f>
        <v>0</v>
      </c>
      <c r="C161" s="204"/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110</v>
      </c>
      <c r="B162" s="185">
        <f>'Données projet'!D155</f>
        <v>106</v>
      </c>
      <c r="C162" s="204">
        <v>70</v>
      </c>
      <c r="D162" s="192">
        <f t="shared" si="10"/>
        <v>7420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120</v>
      </c>
      <c r="B163" s="185">
        <f>'Données projet'!D156</f>
        <v>0</v>
      </c>
      <c r="C163" s="204"/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130</v>
      </c>
      <c r="B164" s="185">
        <f>'Données projet'!D157</f>
        <v>91</v>
      </c>
      <c r="C164" s="204">
        <v>100</v>
      </c>
      <c r="D164" s="192">
        <f t="shared" si="10"/>
        <v>9100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140</v>
      </c>
      <c r="B165" s="185">
        <f>'Données projet'!D158</f>
        <v>0</v>
      </c>
      <c r="C165" s="204"/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150</v>
      </c>
      <c r="B166" s="185">
        <f>'Données projet'!D159</f>
        <v>376</v>
      </c>
      <c r="C166" s="204">
        <v>200</v>
      </c>
      <c r="D166" s="192">
        <f t="shared" si="10"/>
        <v>75200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>Cormier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20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25</v>
      </c>
      <c r="B179" s="191">
        <f>'Données projet'!D167</f>
        <v>34</v>
      </c>
      <c r="C179" s="204">
        <v>10</v>
      </c>
      <c r="D179" s="189">
        <f t="shared" ref="D179:D197" si="11">B179*C179</f>
        <v>340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30</v>
      </c>
      <c r="B180" s="191">
        <f>'Données projet'!D168</f>
        <v>0</v>
      </c>
      <c r="C180" s="204"/>
      <c r="D180" s="189">
        <f t="shared" si="11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35</v>
      </c>
      <c r="B181" s="191">
        <f>'Données projet'!D169</f>
        <v>56</v>
      </c>
      <c r="C181" s="204">
        <v>10</v>
      </c>
      <c r="D181" s="189">
        <f t="shared" si="11"/>
        <v>560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40</v>
      </c>
      <c r="B182" s="191">
        <f>'Données projet'!D170</f>
        <v>0</v>
      </c>
      <c r="C182" s="204"/>
      <c r="D182" s="189">
        <f t="shared" si="11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45</v>
      </c>
      <c r="B183" s="191">
        <f>'Données projet'!D171</f>
        <v>56</v>
      </c>
      <c r="C183" s="204">
        <v>10</v>
      </c>
      <c r="D183" s="189">
        <f t="shared" si="11"/>
        <v>560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50</v>
      </c>
      <c r="B184" s="191">
        <f>'Données projet'!D172</f>
        <v>0</v>
      </c>
      <c r="C184" s="204"/>
      <c r="D184" s="189">
        <f t="shared" si="11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55</v>
      </c>
      <c r="B185" s="191">
        <f>'Données projet'!D173</f>
        <v>56</v>
      </c>
      <c r="C185" s="204">
        <v>20</v>
      </c>
      <c r="D185" s="189">
        <f t="shared" si="11"/>
        <v>1120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60</v>
      </c>
      <c r="B186" s="191">
        <f>'Données projet'!D174</f>
        <v>0</v>
      </c>
      <c r="C186" s="204"/>
      <c r="D186" s="189">
        <f t="shared" si="11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65</v>
      </c>
      <c r="B187" s="191">
        <f>'Données projet'!D175</f>
        <v>56</v>
      </c>
      <c r="C187" s="204">
        <v>30</v>
      </c>
      <c r="D187" s="189">
        <f t="shared" si="11"/>
        <v>1680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70</v>
      </c>
      <c r="B188" s="191">
        <f>'Données projet'!D176</f>
        <v>0</v>
      </c>
      <c r="C188" s="204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75</v>
      </c>
      <c r="B189" s="191">
        <f>'Données projet'!D177</f>
        <v>56</v>
      </c>
      <c r="C189" s="204">
        <v>40</v>
      </c>
      <c r="D189" s="189">
        <f t="shared" si="11"/>
        <v>2240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80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90</v>
      </c>
      <c r="B191" s="191">
        <f>'Données projet'!D179</f>
        <v>84</v>
      </c>
      <c r="C191" s="204">
        <v>50</v>
      </c>
      <c r="D191" s="189">
        <f t="shared" si="11"/>
        <v>4200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100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110</v>
      </c>
      <c r="B193" s="191">
        <f>'Données projet'!D181</f>
        <v>106</v>
      </c>
      <c r="C193" s="204">
        <v>70</v>
      </c>
      <c r="D193" s="189">
        <f t="shared" si="11"/>
        <v>7420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120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130</v>
      </c>
      <c r="B195" s="191">
        <f>'Données projet'!D183</f>
        <v>91</v>
      </c>
      <c r="C195" s="204">
        <v>100</v>
      </c>
      <c r="D195" s="189">
        <f t="shared" si="11"/>
        <v>9100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140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150</v>
      </c>
      <c r="B197" s="191">
        <f>'Données projet'!D185</f>
        <v>376</v>
      </c>
      <c r="C197" s="204">
        <v>200</v>
      </c>
      <c r="D197" s="189">
        <f t="shared" si="11"/>
        <v>75200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>Tilleul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10</v>
      </c>
      <c r="B209" s="191">
        <f>'Données projet'!D192</f>
        <v>0</v>
      </c>
      <c r="C209" s="202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15</v>
      </c>
      <c r="B210" s="191">
        <f>'Données projet'!D193</f>
        <v>0</v>
      </c>
      <c r="C210" s="202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20</v>
      </c>
      <c r="B211" s="191">
        <f>'Données projet'!D194</f>
        <v>39.102564102564102</v>
      </c>
      <c r="C211" s="202">
        <v>10</v>
      </c>
      <c r="D211" s="189">
        <f t="shared" si="12"/>
        <v>391.02564102564099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25</v>
      </c>
      <c r="B212" s="191">
        <f>'Données projet'!D195</f>
        <v>0</v>
      </c>
      <c r="C212" s="202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30</v>
      </c>
      <c r="B213" s="191">
        <f>'Données projet'!D196</f>
        <v>39.102564102564102</v>
      </c>
      <c r="C213" s="202">
        <v>10</v>
      </c>
      <c r="D213" s="189">
        <f t="shared" si="12"/>
        <v>391.02564102564099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35</v>
      </c>
      <c r="B214" s="191">
        <f>'Données projet'!D197</f>
        <v>0</v>
      </c>
      <c r="C214" s="202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40</v>
      </c>
      <c r="B215" s="191">
        <f>'Données projet'!D198</f>
        <v>39.743589743589745</v>
      </c>
      <c r="C215" s="202">
        <v>10</v>
      </c>
      <c r="D215" s="189">
        <f t="shared" si="12"/>
        <v>397.43589743589746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45</v>
      </c>
      <c r="B216" s="191">
        <f>'Données projet'!D199</f>
        <v>0</v>
      </c>
      <c r="C216" s="202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50</v>
      </c>
      <c r="B217" s="191">
        <f>'Données projet'!D200</f>
        <v>36.53846153846154</v>
      </c>
      <c r="C217" s="202">
        <v>15</v>
      </c>
      <c r="D217" s="189">
        <f t="shared" si="12"/>
        <v>548.07692307692309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55</v>
      </c>
      <c r="B218" s="191">
        <f>'Données projet'!D201</f>
        <v>0</v>
      </c>
      <c r="C218" s="202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60</v>
      </c>
      <c r="B219" s="191">
        <f>'Données projet'!D202</f>
        <v>35.256410256410255</v>
      </c>
      <c r="C219" s="202">
        <v>20</v>
      </c>
      <c r="D219" s="189">
        <f t="shared" si="12"/>
        <v>705.12820512820508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65</v>
      </c>
      <c r="B220" s="191">
        <f>'Données projet'!D203</f>
        <v>0</v>
      </c>
      <c r="C220" s="202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70</v>
      </c>
      <c r="B221" s="191">
        <f>'Données projet'!D204</f>
        <v>31.410256410256409</v>
      </c>
      <c r="C221" s="202">
        <v>30</v>
      </c>
      <c r="D221" s="189">
        <f t="shared" si="12"/>
        <v>942.30769230769226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75</v>
      </c>
      <c r="B222" s="191">
        <f>'Données projet'!D205</f>
        <v>0</v>
      </c>
      <c r="C222" s="202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80</v>
      </c>
      <c r="B223" s="191">
        <f>'Données projet'!D206</f>
        <v>28.846153846153847</v>
      </c>
      <c r="C223" s="202">
        <v>30</v>
      </c>
      <c r="D223" s="189">
        <f t="shared" si="12"/>
        <v>865.38461538461536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85</v>
      </c>
      <c r="B224" s="191">
        <f>'Données projet'!D207</f>
        <v>0</v>
      </c>
      <c r="C224" s="202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90</v>
      </c>
      <c r="B225" s="191">
        <f>'Données projet'!D208</f>
        <v>27.564102564102562</v>
      </c>
      <c r="C225" s="202">
        <v>40</v>
      </c>
      <c r="D225" s="189">
        <f t="shared" si="12"/>
        <v>1102.5641025641025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95</v>
      </c>
      <c r="B226" s="191">
        <f>'Données projet'!D209</f>
        <v>0</v>
      </c>
      <c r="C226" s="202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100</v>
      </c>
      <c r="B227" s="191">
        <f>'Données projet'!D210</f>
        <v>25</v>
      </c>
      <c r="C227" s="202">
        <v>40</v>
      </c>
      <c r="D227" s="189">
        <f t="shared" si="12"/>
        <v>1000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110</v>
      </c>
      <c r="B228" s="191">
        <f>'Données projet'!D211</f>
        <v>366.66666666666663</v>
      </c>
      <c r="C228" s="202">
        <v>60</v>
      </c>
      <c r="D228" s="189">
        <f t="shared" si="12"/>
        <v>21999.999999999996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>Châtaignier</v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10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15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20</v>
      </c>
      <c r="B242" s="191">
        <f>'Données projet'!D220</f>
        <v>66.5</v>
      </c>
      <c r="C242" s="202">
        <v>10</v>
      </c>
      <c r="D242" s="189">
        <f t="shared" si="13"/>
        <v>665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25</v>
      </c>
      <c r="B243" s="191">
        <f>'Données projet'!D221</f>
        <v>0</v>
      </c>
      <c r="C243" s="202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30</v>
      </c>
      <c r="B244" s="191">
        <f>'Données projet'!D222</f>
        <v>70</v>
      </c>
      <c r="C244" s="202">
        <v>15</v>
      </c>
      <c r="D244" s="189">
        <f t="shared" si="13"/>
        <v>1050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35</v>
      </c>
      <c r="B245" s="191">
        <f>'Données projet'!D223</f>
        <v>0</v>
      </c>
      <c r="C245" s="202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40</v>
      </c>
      <c r="B246" s="191">
        <f>'Données projet'!D224</f>
        <v>70</v>
      </c>
      <c r="C246" s="202">
        <v>20</v>
      </c>
      <c r="D246" s="189">
        <f t="shared" si="13"/>
        <v>1400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45</v>
      </c>
      <c r="B247" s="191">
        <f>'Données projet'!D225</f>
        <v>0</v>
      </c>
      <c r="C247" s="202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50</v>
      </c>
      <c r="B248" s="191">
        <f>'Données projet'!D226</f>
        <v>43.099999999999994</v>
      </c>
      <c r="C248" s="202">
        <v>30</v>
      </c>
      <c r="D248" s="189">
        <f t="shared" si="13"/>
        <v>1292.9999999999998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55</v>
      </c>
      <c r="B249" s="191">
        <f>'Données projet'!D227</f>
        <v>0</v>
      </c>
      <c r="C249" s="202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60</v>
      </c>
      <c r="B250" s="191">
        <f>'Données projet'!D228</f>
        <v>30.2</v>
      </c>
      <c r="C250" s="202">
        <v>40</v>
      </c>
      <c r="D250" s="189">
        <f t="shared" si="13"/>
        <v>1208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65</v>
      </c>
      <c r="B251" s="191">
        <f>'Données projet'!D229</f>
        <v>0</v>
      </c>
      <c r="C251" s="202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70</v>
      </c>
      <c r="B252" s="191">
        <f>'Données projet'!D230</f>
        <v>25.9</v>
      </c>
      <c r="C252" s="202">
        <v>50</v>
      </c>
      <c r="D252" s="189">
        <f t="shared" si="13"/>
        <v>1295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75</v>
      </c>
      <c r="B253" s="191">
        <f>'Données projet'!D231</f>
        <v>0</v>
      </c>
      <c r="C253" s="202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80</v>
      </c>
      <c r="B254" s="191">
        <f>'Données projet'!D232</f>
        <v>341.3</v>
      </c>
      <c r="C254" s="204">
        <v>100</v>
      </c>
      <c r="D254" s="189">
        <f t="shared" si="13"/>
        <v>34130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>Hêtre</v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20</v>
      </c>
      <c r="B271" s="191">
        <f>'Données projet'!D244</f>
        <v>0</v>
      </c>
      <c r="C271" s="202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25</v>
      </c>
      <c r="B272" s="191">
        <f>'Données projet'!D245</f>
        <v>26</v>
      </c>
      <c r="C272" s="202">
        <v>10</v>
      </c>
      <c r="D272" s="189">
        <f t="shared" ref="D272:D290" si="14">B272*C272</f>
        <v>260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30</v>
      </c>
      <c r="B273" s="191">
        <f>'Données projet'!D246</f>
        <v>0</v>
      </c>
      <c r="C273" s="202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35</v>
      </c>
      <c r="B274" s="191">
        <f>'Données projet'!D247</f>
        <v>70</v>
      </c>
      <c r="C274" s="202">
        <v>15</v>
      </c>
      <c r="D274" s="189">
        <f t="shared" si="14"/>
        <v>1050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40</v>
      </c>
      <c r="B275" s="191">
        <f>'Données projet'!D248</f>
        <v>0</v>
      </c>
      <c r="C275" s="202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45</v>
      </c>
      <c r="B276" s="191">
        <f>'Données projet'!D249</f>
        <v>70</v>
      </c>
      <c r="C276" s="202">
        <v>20</v>
      </c>
      <c r="D276" s="189">
        <f t="shared" si="14"/>
        <v>1400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50</v>
      </c>
      <c r="B277" s="191">
        <f>'Données projet'!D250</f>
        <v>0</v>
      </c>
      <c r="C277" s="202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55</v>
      </c>
      <c r="B278" s="191">
        <f>'Données projet'!D251</f>
        <v>70</v>
      </c>
      <c r="C278" s="202">
        <v>25</v>
      </c>
      <c r="D278" s="189">
        <f t="shared" si="14"/>
        <v>1750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60</v>
      </c>
      <c r="B279" s="191">
        <f>'Données projet'!D252</f>
        <v>0</v>
      </c>
      <c r="C279" s="202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65</v>
      </c>
      <c r="B280" s="191">
        <f>'Données projet'!D253</f>
        <v>70</v>
      </c>
      <c r="C280" s="202">
        <v>30</v>
      </c>
      <c r="D280" s="189">
        <f t="shared" si="14"/>
        <v>2100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70</v>
      </c>
      <c r="B281" s="191">
        <f>'Données projet'!D254</f>
        <v>0</v>
      </c>
      <c r="C281" s="202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75</v>
      </c>
      <c r="B282" s="191">
        <f>'Données projet'!D255</f>
        <v>70</v>
      </c>
      <c r="C282" s="202">
        <v>35</v>
      </c>
      <c r="D282" s="189">
        <f t="shared" si="14"/>
        <v>2450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80</v>
      </c>
      <c r="B283" s="191">
        <f>'Données projet'!D256</f>
        <v>0</v>
      </c>
      <c r="C283" s="202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85</v>
      </c>
      <c r="B284" s="191">
        <f>'Données projet'!D257</f>
        <v>67</v>
      </c>
      <c r="C284" s="202">
        <v>40</v>
      </c>
      <c r="D284" s="189">
        <f t="shared" si="14"/>
        <v>2680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95</v>
      </c>
      <c r="B285" s="191">
        <f>'Données projet'!D258</f>
        <v>61</v>
      </c>
      <c r="C285" s="202">
        <v>45</v>
      </c>
      <c r="D285" s="189">
        <f t="shared" si="14"/>
        <v>2745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105</v>
      </c>
      <c r="B286" s="191">
        <f>'Données projet'!D259</f>
        <v>57</v>
      </c>
      <c r="C286" s="202">
        <v>50</v>
      </c>
      <c r="D286" s="189">
        <f t="shared" si="14"/>
        <v>2850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115</v>
      </c>
      <c r="B287" s="191">
        <f>'Données projet'!D260</f>
        <v>53</v>
      </c>
      <c r="C287" s="202">
        <v>55</v>
      </c>
      <c r="D287" s="189">
        <f t="shared" si="14"/>
        <v>2915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125</v>
      </c>
      <c r="B288" s="191">
        <f>'Données projet'!D261</f>
        <v>51</v>
      </c>
      <c r="C288" s="202">
        <v>60</v>
      </c>
      <c r="D288" s="189">
        <f t="shared" si="14"/>
        <v>3060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135</v>
      </c>
      <c r="B289" s="191">
        <f>'Données projet'!D262</f>
        <v>49</v>
      </c>
      <c r="C289" s="202">
        <v>65</v>
      </c>
      <c r="D289" s="189">
        <f t="shared" si="14"/>
        <v>3185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150</v>
      </c>
      <c r="B290" s="191">
        <f>'Données projet'!D263</f>
        <v>571</v>
      </c>
      <c r="C290" s="202">
        <v>80</v>
      </c>
      <c r="D290" s="189">
        <f t="shared" si="14"/>
        <v>45680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>Bouleau verruqueux</v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10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15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20</v>
      </c>
      <c r="B304" s="191">
        <f>'Données projet'!D272</f>
        <v>40</v>
      </c>
      <c r="C304" s="202">
        <v>10</v>
      </c>
      <c r="D304" s="192">
        <f t="shared" si="15"/>
        <v>400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25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30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35</v>
      </c>
      <c r="B307" s="191">
        <f>'Données projet'!D275</f>
        <v>76</v>
      </c>
      <c r="C307" s="202">
        <v>10</v>
      </c>
      <c r="D307" s="192">
        <f t="shared" si="15"/>
        <v>760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40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45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50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55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60</v>
      </c>
      <c r="B312" s="191">
        <f>'Données projet'!D280</f>
        <v>303</v>
      </c>
      <c r="C312" s="202">
        <v>40</v>
      </c>
      <c r="D312" s="192">
        <f t="shared" si="15"/>
        <v>12120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2024-12-15T08:00:02Z</dcterms:modified>
</cp:coreProperties>
</file>