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Projet en cours\CNPF C+for n° 199 Rosteig (Strasbourg Centre Energies n° 2)\"/>
    </mc:Choice>
  </mc:AlternateContent>
  <bookViews>
    <workbookView xWindow="0" yWindow="0" windowWidth="11748" windowHeight="5316" tabRatio="866" firstSheet="1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D68" i="1"/>
  <c r="B68" i="1"/>
  <c r="B67" i="1"/>
  <c r="D66" i="1"/>
  <c r="B66" i="1"/>
  <c r="B65" i="1"/>
  <c r="D64" i="1"/>
  <c r="B64" i="1"/>
  <c r="B63" i="1"/>
  <c r="B37" i="1"/>
  <c r="B38" i="1"/>
  <c r="D38" i="1"/>
  <c r="B39" i="1"/>
  <c r="B40" i="1"/>
  <c r="D40" i="1"/>
  <c r="B41" i="1"/>
  <c r="B42" i="1"/>
  <c r="D42" i="1"/>
  <c r="B43" i="1"/>
  <c r="D159" i="1"/>
  <c r="B159" i="1"/>
  <c r="D158" i="1"/>
  <c r="B158" i="1"/>
  <c r="B157" i="1"/>
  <c r="D156" i="1"/>
  <c r="B156" i="1"/>
  <c r="B155" i="1"/>
  <c r="D154" i="1"/>
  <c r="B154" i="1"/>
  <c r="B153" i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D95" i="1" l="1"/>
  <c r="D94" i="1"/>
  <c r="D93" i="1"/>
  <c r="D92" i="1"/>
  <c r="D91" i="1"/>
  <c r="D90" i="1"/>
  <c r="D89" i="1"/>
  <c r="D88" i="1"/>
  <c r="B95" i="1"/>
  <c r="B94" i="1"/>
  <c r="B93" i="1"/>
  <c r="B92" i="1"/>
  <c r="B91" i="1"/>
  <c r="B90" i="1"/>
  <c r="B89" i="1"/>
  <c r="B88" i="1"/>
  <c r="B127" i="1" l="1"/>
  <c r="D127" i="1" s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FS20" i="2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HI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HG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HI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EW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FS130" i="2"/>
  <c r="EW130" i="2"/>
  <c r="EX130" i="2"/>
  <c r="EB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EX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HH144" i="2"/>
  <c r="HG144" i="2"/>
  <c r="EB144" i="2"/>
  <c r="FR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FR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G150" i="2"/>
  <c r="EV150" i="2"/>
  <c r="FS150" i="2"/>
  <c r="HH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ED154" i="2"/>
  <c r="EA155" i="2"/>
  <c r="HH155" i="2"/>
  <c r="EW155" i="2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AB156" i="2"/>
  <c r="DH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G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DG160" i="2"/>
  <c r="EY159" i="2"/>
  <c r="ED159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D160" i="2"/>
  <c r="EX161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C162" i="2"/>
  <c r="DI161" i="2"/>
  <c r="EW162" i="2"/>
  <c r="EB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HI163" i="2"/>
  <c r="HH163" i="2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FS164" i="2"/>
  <c r="EY163" i="2"/>
  <c r="ED163" i="2"/>
  <c r="EV164" i="2"/>
  <c r="EX164" i="2"/>
  <c r="DH164" i="2"/>
  <c r="DI163" i="2"/>
  <c r="HG164" i="2"/>
  <c r="EA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EX167" i="2"/>
  <c r="EA167" i="2"/>
  <c r="EB167" i="2"/>
  <c r="HH167" i="2"/>
  <c r="HI167" i="2"/>
  <c r="EC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B168" i="2"/>
  <c r="HH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A172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D174" i="2"/>
  <c r="EA175" i="2"/>
  <c r="EB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W178" i="2"/>
  <c r="ED177" i="2"/>
  <c r="EA178" i="2"/>
  <c r="EB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B185" i="2"/>
  <c r="EA185" i="2"/>
  <c r="EV185" i="2"/>
  <c r="EW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D185" i="2"/>
  <c r="EW186" i="2"/>
  <c r="EA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C192" i="2"/>
  <c r="EB192" i="2"/>
  <c r="EW192" i="2"/>
  <c r="HG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Y192" i="2"/>
  <c r="DI192" i="2"/>
  <c r="ED192" i="2"/>
  <c r="EX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D193" i="2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ED194" i="2"/>
  <c r="EX195" i="2"/>
  <c r="EY194" i="2"/>
  <c r="EA195" i="2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FS197" i="2"/>
  <c r="EY196" i="2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W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A201" i="2"/>
  <c r="EB201" i="2"/>
  <c r="HG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S202" i="2"/>
  <c r="EW202" i="2"/>
  <c r="EY201" i="2"/>
  <c r="EX202" i="2"/>
  <c r="HH202" i="2"/>
  <c r="FZ6" i="2"/>
  <c r="HG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AH62" i="2" a="1"/>
  <c r="AH62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88" i="2" a="1"/>
  <c r="FD188" i="2" s="1"/>
  <c r="FD44" i="2" a="1"/>
  <c r="FD44" i="2" s="1"/>
  <c r="FD64" i="2" a="1"/>
  <c r="FD64" i="2" s="1"/>
  <c r="FD43" i="2" a="1"/>
  <c r="FD43" i="2" s="1"/>
  <c r="FD167" i="2" a="1"/>
  <c r="FD167" i="2" s="1"/>
  <c r="FD107" i="2" a="1"/>
  <c r="FD107" i="2" s="1"/>
  <c r="FD159" i="2" a="1"/>
  <c r="FD159" i="2" s="1"/>
  <c r="FD19" i="2" a="1"/>
  <c r="FD19" i="2" s="1"/>
  <c r="FD194" i="2" a="1"/>
  <c r="FD194" i="2" s="1"/>
  <c r="FD187" i="2" a="1"/>
  <c r="FD187" i="2" s="1"/>
  <c r="BC164" i="2" a="1"/>
  <c r="BC164" i="2" s="1"/>
  <c r="BC32" i="2" a="1"/>
  <c r="BC32" i="2" s="1"/>
  <c r="BC38" i="2" a="1"/>
  <c r="BC3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113" i="2" a="1"/>
  <c r="EI113" i="2" s="1"/>
  <c r="DN6" i="2" a="1"/>
  <c r="DN6" i="2" s="1"/>
  <c r="DO6" i="2" s="1"/>
  <c r="DN46" i="2" a="1"/>
  <c r="DN46" i="2" s="1"/>
  <c r="BX107" i="2" a="1"/>
  <c r="BX107" i="2" s="1"/>
  <c r="FD82" i="2" a="1"/>
  <c r="FD82" i="2" s="1"/>
  <c r="HJ202" i="2"/>
  <c r="AX200" i="2"/>
  <c r="BC83" i="2" l="1" a="1"/>
  <c r="BC83" i="2" s="1"/>
  <c r="BC18" i="2" a="1"/>
  <c r="BC18" i="2" s="1"/>
  <c r="BC84" i="2" a="1"/>
  <c r="BC84" i="2" s="1"/>
  <c r="BC82" i="2" a="1"/>
  <c r="BC82" i="2" s="1"/>
  <c r="BC151" i="2" a="1"/>
  <c r="BC151" i="2" s="1"/>
  <c r="BC192" i="2" a="1"/>
  <c r="BC192" i="2" s="1"/>
  <c r="BC55" i="2" a="1"/>
  <c r="BC55" i="2" s="1"/>
  <c r="BC117" i="2" a="1"/>
  <c r="BC117" i="2" s="1"/>
  <c r="BC185" i="2" a="1"/>
  <c r="BC185" i="2" s="1"/>
  <c r="BC130" i="2" a="1"/>
  <c r="BC130" i="2" s="1"/>
  <c r="BC181" i="2" a="1"/>
  <c r="BC181" i="2" s="1"/>
  <c r="BC143" i="2" a="1"/>
  <c r="BC143" i="2" s="1"/>
  <c r="BC65" i="2" a="1"/>
  <c r="BC65" i="2" s="1"/>
  <c r="BC7" i="2" a="1"/>
  <c r="BC7" i="2" s="1"/>
  <c r="BC31" i="2" a="1"/>
  <c r="BC31" i="2" s="1"/>
  <c r="BC114" i="2" a="1"/>
  <c r="BC114" i="2" s="1"/>
  <c r="BC34" i="2" a="1"/>
  <c r="BC34" i="2" s="1"/>
  <c r="BC126" i="2" a="1"/>
  <c r="BC126" i="2" s="1"/>
  <c r="BC47" i="2" a="1"/>
  <c r="BC47" i="2" s="1"/>
  <c r="BC68" i="2" a="1"/>
  <c r="BC68" i="2" s="1"/>
  <c r="BC58" i="2" a="1"/>
  <c r="BC58" i="2" s="1"/>
  <c r="FD131" i="2" a="1"/>
  <c r="FD131" i="2" s="1"/>
  <c r="FD60" i="2" a="1"/>
  <c r="FD60" i="2" s="1"/>
  <c r="FD144" i="2" a="1"/>
  <c r="FD144" i="2" s="1"/>
  <c r="FD160" i="2" a="1"/>
  <c r="FD160" i="2" s="1"/>
  <c r="FD189" i="2" a="1"/>
  <c r="FD189" i="2" s="1"/>
  <c r="FD137" i="2" a="1"/>
  <c r="FD137" i="2" s="1"/>
  <c r="FD14" i="2" a="1"/>
  <c r="FD14" i="2" s="1"/>
  <c r="FD48" i="2" a="1"/>
  <c r="FD48" i="2" s="1"/>
  <c r="FR203" i="2"/>
  <c r="AH151" i="2" a="1"/>
  <c r="AH151" i="2" s="1"/>
  <c r="AH163" i="2" a="1"/>
  <c r="AH163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CS114" i="2" a="1"/>
  <c r="CS114" i="2" s="1"/>
  <c r="CS120" i="2" a="1"/>
  <c r="CS120" i="2" s="1"/>
  <c r="CS66" i="2" a="1"/>
  <c r="CS66" i="2" s="1"/>
  <c r="CS105" i="2" a="1"/>
  <c r="CS105" i="2" s="1"/>
  <c r="CS77" i="2" a="1"/>
  <c r="CS77" i="2" s="1"/>
  <c r="CS56" i="2" a="1"/>
  <c r="CS56" i="2" s="1"/>
  <c r="CS161" i="2" a="1"/>
  <c r="CS161" i="2" s="1"/>
  <c r="CS185" i="2" a="1"/>
  <c r="CS185" i="2" s="1"/>
  <c r="CS137" i="2" a="1"/>
  <c r="CS137" i="2" s="1"/>
  <c r="CS72" i="2" a="1"/>
  <c r="CS72" i="2" s="1"/>
  <c r="CS116" i="2" a="1"/>
  <c r="CS116" i="2" s="1"/>
  <c r="CS134" i="2" a="1"/>
  <c r="CS134" i="2" s="1"/>
  <c r="CS129" i="2" a="1"/>
  <c r="CS129" i="2" s="1"/>
  <c r="CS24" i="2" a="1"/>
  <c r="CS24" i="2" s="1"/>
  <c r="CS52" i="2" a="1"/>
  <c r="CS52" i="2" s="1"/>
  <c r="DN187" i="2" a="1"/>
  <c r="DN187" i="2" s="1"/>
  <c r="DN30" i="2" a="1"/>
  <c r="DN30" i="2" s="1"/>
  <c r="DN45" i="2" a="1"/>
  <c r="DN45" i="2" s="1"/>
  <c r="DN190" i="2" a="1"/>
  <c r="DN190" i="2" s="1"/>
  <c r="DN133" i="2" a="1"/>
  <c r="DN133" i="2" s="1"/>
  <c r="DN80" i="2" a="1"/>
  <c r="DN80" i="2" s="1"/>
  <c r="DN65" i="2" a="1"/>
  <c r="DN65" i="2" s="1"/>
  <c r="DN31" i="2" a="1"/>
  <c r="DN31" i="2" s="1"/>
  <c r="DN168" i="2" a="1"/>
  <c r="DN168" i="2" s="1"/>
  <c r="DN132" i="2" a="1"/>
  <c r="DN132" i="2" s="1"/>
  <c r="DN162" i="2" a="1"/>
  <c r="DN162" i="2" s="1"/>
  <c r="DN49" i="2" a="1"/>
  <c r="DN49" i="2" s="1"/>
  <c r="DN164" i="2" a="1"/>
  <c r="DN164" i="2" s="1"/>
  <c r="EY202" i="2"/>
  <c r="EI128" i="2" a="1"/>
  <c r="EI128" i="2" s="1"/>
  <c r="EI20" i="2" a="1"/>
  <c r="EI20" i="2" s="1"/>
  <c r="EI38" i="2" a="1"/>
  <c r="EI38" i="2" s="1"/>
  <c r="EI198" i="2" a="1"/>
  <c r="EI198" i="2" s="1"/>
  <c r="EI195" i="2" a="1"/>
  <c r="EI195" i="2" s="1"/>
  <c r="EI34" i="2" a="1"/>
  <c r="EI34" i="2" s="1"/>
  <c r="EI37" i="2" a="1"/>
  <c r="EI37" i="2" s="1"/>
  <c r="EI139" i="2" a="1"/>
  <c r="EI139" i="2" s="1"/>
  <c r="EI165" i="2" a="1"/>
  <c r="EI165" i="2" s="1"/>
  <c r="EI35" i="2" a="1"/>
  <c r="EI35" i="2" s="1"/>
  <c r="EI67" i="2" a="1"/>
  <c r="EI67" i="2" s="1"/>
  <c r="EI71" i="2" a="1"/>
  <c r="EI71" i="2" s="1"/>
  <c r="EI166" i="2" a="1"/>
  <c r="EI166" i="2" s="1"/>
  <c r="EI170" i="2" a="1"/>
  <c r="EI170" i="2" s="1"/>
  <c r="EI57" i="2" a="1"/>
  <c r="EI57" i="2" s="1"/>
  <c r="EI142" i="2" a="1"/>
  <c r="EI142" i="2" s="1"/>
  <c r="EI109" i="2" a="1"/>
  <c r="EI109" i="2" s="1"/>
  <c r="EI16" i="2" a="1"/>
  <c r="EI16" i="2" s="1"/>
  <c r="EI36" i="2" a="1"/>
  <c r="EI36" i="2" s="1"/>
  <c r="EI178" i="2" a="1"/>
  <c r="EI178" i="2" s="1"/>
  <c r="EI145" i="2" a="1"/>
  <c r="EI145" i="2" s="1"/>
  <c r="EI162" i="2" a="1"/>
  <c r="EI162" i="2" s="1"/>
  <c r="EI150" i="2" a="1"/>
  <c r="EI150" i="2" s="1"/>
  <c r="EI29" i="2" a="1"/>
  <c r="EI29" i="2" s="1"/>
  <c r="EI106" i="2" a="1"/>
  <c r="EI106" i="2" s="1"/>
  <c r="DN38" i="2" a="1"/>
  <c r="DN38" i="2" s="1"/>
  <c r="DN70" i="2" a="1"/>
  <c r="DN70" i="2" s="1"/>
  <c r="DN66" i="2" a="1"/>
  <c r="DN66" i="2" s="1"/>
  <c r="DN110" i="2" a="1"/>
  <c r="DN110" i="2" s="1"/>
  <c r="DN170" i="2" a="1"/>
  <c r="DN170" i="2" s="1"/>
  <c r="DN114" i="2" a="1"/>
  <c r="DN114" i="2" s="1"/>
  <c r="DN129" i="2" a="1"/>
  <c r="DN129" i="2" s="1"/>
  <c r="DN16" i="2" a="1"/>
  <c r="DN16" i="2" s="1"/>
  <c r="DN103" i="2" a="1"/>
  <c r="DN103" i="2" s="1"/>
  <c r="DN50" i="2" a="1"/>
  <c r="DN50" i="2" s="1"/>
  <c r="DN41" i="2" a="1"/>
  <c r="DN41" i="2" s="1"/>
  <c r="DN43" i="2" a="1"/>
  <c r="DN43" i="2" s="1"/>
  <c r="DN150" i="2" a="1"/>
  <c r="DN150" i="2" s="1"/>
  <c r="DN186" i="2" a="1"/>
  <c r="DN186" i="2" s="1"/>
  <c r="DN192" i="2" a="1"/>
  <c r="DN192" i="2" s="1"/>
  <c r="DN155" i="2" a="1"/>
  <c r="DN155" i="2" s="1"/>
  <c r="DN56" i="2" a="1"/>
  <c r="DN56" i="2" s="1"/>
  <c r="DN63" i="2" a="1"/>
  <c r="DN63" i="2" s="1"/>
  <c r="DN188" i="2" a="1"/>
  <c r="DN188" i="2" s="1"/>
  <c r="DN113" i="2" a="1"/>
  <c r="DN113" i="2" s="1"/>
  <c r="DN137" i="2" a="1"/>
  <c r="DN137" i="2" s="1"/>
  <c r="DN55" i="2" a="1"/>
  <c r="DN55" i="2" s="1"/>
  <c r="DN135" i="2" a="1"/>
  <c r="DN135" i="2" s="1"/>
  <c r="DN86" i="2" a="1"/>
  <c r="DN86" i="2" s="1"/>
  <c r="DN25" i="2" a="1"/>
  <c r="DN25" i="2" s="1"/>
  <c r="DN123" i="2" a="1"/>
  <c r="DN123" i="2" s="1"/>
  <c r="DN177" i="2" a="1"/>
  <c r="DN177" i="2" s="1"/>
  <c r="DN184" i="2" a="1"/>
  <c r="DN184" i="2" s="1"/>
  <c r="DN115" i="2" a="1"/>
  <c r="DN115" i="2" s="1"/>
  <c r="DN152" i="2" a="1"/>
  <c r="DN152" i="2" s="1"/>
  <c r="DN124" i="2" a="1"/>
  <c r="DN124" i="2" s="1"/>
  <c r="DN176" i="2" a="1"/>
  <c r="DN176" i="2" s="1"/>
  <c r="DN167" i="2" a="1"/>
  <c r="DN167" i="2" s="1"/>
  <c r="DN153" i="2" a="1"/>
  <c r="DN153" i="2" s="1"/>
  <c r="DN29" i="2" a="1"/>
  <c r="DN29" i="2" s="1"/>
  <c r="HG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97" i="2"/>
  <c r="CY111" i="2"/>
  <c r="CY42" i="2"/>
  <c r="CY147" i="2"/>
  <c r="CY73" i="2"/>
  <c r="CY53" i="2"/>
  <c r="CY50" i="2"/>
  <c r="CY41" i="2"/>
  <c r="CY65" i="2"/>
  <c r="CY192" i="2"/>
  <c r="CY61" i="2"/>
  <c r="CY156" i="2"/>
  <c r="CY100" i="2"/>
  <c r="CY128" i="2"/>
  <c r="CY46" i="2"/>
  <c r="CY90" i="2"/>
  <c r="CY25" i="2"/>
  <c r="CY21" i="2"/>
  <c r="CY124" i="2"/>
  <c r="CY186" i="2"/>
  <c r="CY188" i="2"/>
  <c r="CY171" i="2"/>
  <c r="CY162" i="2"/>
  <c r="CY131" i="2"/>
  <c r="CY115" i="2"/>
  <c r="CY140" i="2"/>
  <c r="CY107" i="2"/>
  <c r="CY175" i="2"/>
  <c r="CY150" i="2"/>
  <c r="CY161" i="2"/>
  <c r="CY149" i="2"/>
  <c r="CY15" i="2"/>
  <c r="CY102" i="2"/>
  <c r="CY118" i="2"/>
  <c r="CY36" i="2"/>
  <c r="CY55" i="2"/>
  <c r="CY189" i="2"/>
  <c r="CY185" i="2"/>
  <c r="CY163" i="2"/>
  <c r="CY94" i="2"/>
  <c r="CY91" i="2"/>
  <c r="CY125" i="2"/>
  <c r="CY193" i="2"/>
  <c r="CY77" i="2"/>
  <c r="CY47" i="2"/>
  <c r="CY72" i="2"/>
  <c r="CY14" i="2"/>
  <c r="CY138" i="2"/>
  <c r="CY76" i="2"/>
  <c r="CY187" i="2"/>
  <c r="CY122" i="2"/>
  <c r="CY129" i="2"/>
  <c r="CY70" i="2"/>
  <c r="CY81" i="2"/>
  <c r="CY86" i="2"/>
  <c r="CY160" i="2"/>
  <c r="CY44" i="2"/>
  <c r="CY136" i="2"/>
  <c r="CY143" i="2"/>
  <c r="CY99" i="2"/>
  <c r="CY89" i="2"/>
  <c r="CY87" i="2"/>
  <c r="CY56" i="2"/>
  <c r="CY182" i="2"/>
  <c r="CY78" i="2"/>
  <c r="CY93" i="2"/>
  <c r="CY203" i="2"/>
  <c r="CY35" i="2"/>
  <c r="CY191" i="2"/>
  <c r="CY74" i="2"/>
  <c r="CY135" i="2"/>
  <c r="CY58" i="2"/>
  <c r="CY27" i="2"/>
  <c r="CY108" i="2"/>
  <c r="CY6" i="2"/>
  <c r="CY181" i="2"/>
  <c r="CY195" i="2"/>
  <c r="CY180" i="2"/>
  <c r="CY71" i="2"/>
  <c r="CY5" i="2"/>
  <c r="CY139" i="2"/>
  <c r="CY179" i="2"/>
  <c r="CY166" i="2"/>
  <c r="CY116" i="2"/>
  <c r="CY104" i="2"/>
  <c r="CY39" i="2"/>
  <c r="CY164" i="2"/>
  <c r="CY137" i="2"/>
  <c r="CY117" i="2"/>
  <c r="CY119" i="2"/>
  <c r="CY114" i="2"/>
  <c r="CY98" i="2"/>
  <c r="CY82" i="2"/>
  <c r="CY184" i="2"/>
  <c r="CY199" i="2"/>
  <c r="CY123" i="2"/>
  <c r="CY177" i="2"/>
  <c r="CY170" i="2"/>
  <c r="CY169" i="2"/>
  <c r="CY85" i="2"/>
  <c r="CY148" i="2"/>
  <c r="CY19" i="2"/>
  <c r="CY49" i="2"/>
  <c r="CY183" i="2"/>
  <c r="CY152" i="2"/>
  <c r="CY17" i="2"/>
  <c r="CY23" i="2"/>
  <c r="CY4" i="2"/>
  <c r="CY112" i="2"/>
  <c r="CY121" i="2"/>
  <c r="CY30" i="2"/>
  <c r="CY69" i="2"/>
  <c r="CY126" i="2"/>
  <c r="CY10" i="2"/>
  <c r="CY26" i="2"/>
  <c r="CY101" i="2"/>
  <c r="CY133" i="2"/>
  <c r="CY38" i="2"/>
  <c r="CY13" i="2"/>
  <c r="CY96" i="2"/>
  <c r="CY201" i="2"/>
  <c r="CY106" i="2"/>
  <c r="CY146" i="2"/>
  <c r="CY68" i="2"/>
  <c r="CY16" i="2"/>
  <c r="CY97" i="2"/>
  <c r="CY60" i="2"/>
  <c r="CY194" i="2"/>
  <c r="CY3" i="2"/>
  <c r="C10" i="4" s="1"/>
  <c r="E10" i="4" s="1"/>
  <c r="F10" i="4" s="1"/>
  <c r="G10" i="4" s="1"/>
  <c r="L10" i="4" s="1"/>
  <c r="CY20" i="2"/>
  <c r="CY159" i="2"/>
  <c r="CY92" i="2"/>
  <c r="CY155" i="2"/>
  <c r="CY11" i="2"/>
  <c r="CY43" i="2"/>
  <c r="CY29" i="2"/>
  <c r="CY7" i="2"/>
  <c r="CY95" i="2"/>
  <c r="CY127" i="2"/>
  <c r="CY173" i="2"/>
  <c r="CY110" i="2"/>
  <c r="CY9" i="2"/>
  <c r="CY165" i="2"/>
  <c r="CY190" i="2"/>
  <c r="CY75" i="2"/>
  <c r="CY8" i="2"/>
  <c r="CY142" i="2"/>
  <c r="CY154" i="2"/>
  <c r="CY134" i="2"/>
  <c r="CY120" i="2"/>
  <c r="CY63" i="2"/>
  <c r="CY202" i="2"/>
  <c r="CY168" i="2"/>
  <c r="CY32" i="2"/>
  <c r="CY18" i="2"/>
  <c r="CY174" i="2"/>
  <c r="CY109" i="2"/>
  <c r="CY151" i="2"/>
  <c r="CY176" i="2"/>
  <c r="CY145" i="2"/>
  <c r="CY31" i="2"/>
  <c r="CY57" i="2"/>
  <c r="CY130" i="2"/>
  <c r="CY33" i="2"/>
  <c r="CY79" i="2"/>
  <c r="CY198" i="2"/>
  <c r="CY196" i="2"/>
  <c r="CY62" i="2"/>
  <c r="CY105" i="2"/>
  <c r="CY51" i="2"/>
  <c r="CY83" i="2"/>
  <c r="CY178" i="2"/>
  <c r="CY22" i="2"/>
  <c r="CY48" i="2"/>
  <c r="CY45" i="2"/>
  <c r="CY157" i="2"/>
  <c r="CY158" i="2"/>
  <c r="CY66" i="2"/>
  <c r="CY34" i="2"/>
  <c r="CY37" i="2"/>
  <c r="CY28" i="2"/>
  <c r="CY40" i="2"/>
  <c r="CY54" i="2"/>
  <c r="CY67" i="2"/>
  <c r="CY80" i="2"/>
  <c r="CY88" i="2"/>
  <c r="CY172" i="2"/>
  <c r="CY141" i="2"/>
  <c r="CY103" i="2"/>
  <c r="CY167" i="2"/>
  <c r="CY52" i="2"/>
  <c r="CY84" i="2"/>
  <c r="CY59" i="2"/>
  <c r="CY200" i="2"/>
  <c r="CY12" i="2"/>
  <c r="CY64" i="2"/>
  <c r="CY153" i="2"/>
  <c r="CY144" i="2"/>
  <c r="CY132" i="2"/>
  <c r="CY113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85" i="2" l="1"/>
  <c r="BI144" i="2"/>
  <c r="BI36" i="2"/>
  <c r="BI192" i="2"/>
  <c r="BI84" i="2"/>
  <c r="BI74" i="2"/>
  <c r="BI78" i="2"/>
  <c r="BI30" i="2"/>
  <c r="BI33" i="2"/>
  <c r="BI152" i="2"/>
  <c r="BI105" i="2"/>
  <c r="BI130" i="2"/>
  <c r="BI123" i="2"/>
  <c r="BI81" i="2"/>
  <c r="BI164" i="2"/>
  <c r="BI139" i="2"/>
  <c r="BI19" i="2"/>
  <c r="BI39" i="2"/>
  <c r="BI180" i="2"/>
  <c r="BI165" i="2"/>
  <c r="BI44" i="2"/>
  <c r="BI101" i="2"/>
  <c r="BI20" i="2"/>
  <c r="BI129" i="2"/>
  <c r="BI168" i="2"/>
  <c r="BI132" i="2"/>
  <c r="BI181" i="2"/>
  <c r="BI72" i="2"/>
  <c r="BI25" i="2"/>
  <c r="BI184" i="2"/>
  <c r="BI199" i="2"/>
  <c r="BI34" i="2"/>
  <c r="BI107" i="2"/>
  <c r="BI173" i="2"/>
  <c r="BI188" i="2"/>
  <c r="BI154" i="2"/>
  <c r="BI51" i="2"/>
  <c r="BI38" i="2"/>
  <c r="BI77" i="2"/>
  <c r="BI126" i="2"/>
  <c r="BI170" i="2"/>
  <c r="BI197" i="2"/>
  <c r="BI137" i="2"/>
  <c r="BI120" i="2"/>
  <c r="BI65" i="2"/>
  <c r="BI54" i="2"/>
  <c r="BI96" i="2"/>
  <c r="BI122" i="2"/>
  <c r="BI149" i="2"/>
  <c r="BI171" i="2"/>
  <c r="BI26" i="2"/>
  <c r="BI55" i="2"/>
  <c r="BI203" i="2"/>
  <c r="BI67" i="2"/>
  <c r="BI10" i="2"/>
  <c r="BI27" i="2"/>
  <c r="BI115" i="2"/>
  <c r="BI98" i="2"/>
  <c r="BI140" i="2"/>
  <c r="BI82" i="2"/>
  <c r="BI31" i="2"/>
  <c r="BI135" i="2"/>
  <c r="BI151" i="2"/>
  <c r="BI92" i="2"/>
  <c r="BI9" i="2"/>
  <c r="BI159" i="2"/>
  <c r="BI114" i="2"/>
  <c r="BI76" i="2"/>
  <c r="BI112" i="2"/>
  <c r="BI16" i="2"/>
  <c r="BI127" i="2"/>
  <c r="BI136" i="2"/>
  <c r="BI202" i="2"/>
  <c r="BI24" i="2"/>
  <c r="BI83" i="2"/>
  <c r="BI61" i="2"/>
  <c r="BI23" i="2"/>
  <c r="BI45" i="2"/>
  <c r="BI15" i="2"/>
  <c r="BI117" i="2"/>
  <c r="BI156" i="2"/>
  <c r="BI53" i="2"/>
  <c r="BI133" i="2"/>
  <c r="BI97" i="2"/>
  <c r="BI113" i="2"/>
  <c r="BI195" i="2"/>
  <c r="BI142" i="2"/>
  <c r="BI172" i="2"/>
  <c r="BI66" i="2"/>
  <c r="BI187" i="2"/>
  <c r="BI6" i="2"/>
  <c r="BI85" i="2"/>
  <c r="BI22" i="2"/>
  <c r="BI119" i="2"/>
  <c r="BI86" i="2"/>
  <c r="BI13" i="2"/>
  <c r="BI102" i="2"/>
  <c r="BI99" i="2"/>
  <c r="BI183" i="2"/>
  <c r="BI177" i="2"/>
  <c r="BI93" i="2"/>
  <c r="BI60" i="2"/>
  <c r="BI160" i="2"/>
  <c r="BI196" i="2"/>
  <c r="BI155" i="2"/>
  <c r="BI147" i="2"/>
  <c r="BI42" i="2"/>
  <c r="BI190" i="2"/>
  <c r="BI145" i="2"/>
  <c r="BI175" i="2"/>
  <c r="BI116" i="2"/>
  <c r="BI47" i="2"/>
  <c r="BI162" i="2"/>
  <c r="BI141" i="2"/>
  <c r="BI48" i="2"/>
  <c r="BI62" i="2"/>
  <c r="BI169" i="2"/>
  <c r="BI49" i="2"/>
  <c r="BI32" i="2"/>
  <c r="BI35" i="2"/>
  <c r="BI109" i="2"/>
  <c r="BI94" i="2"/>
  <c r="BI166" i="2"/>
  <c r="BI146" i="2"/>
  <c r="BI41" i="2"/>
  <c r="BI158" i="2"/>
  <c r="BI163" i="2"/>
  <c r="BI104" i="2"/>
  <c r="BI121" i="2"/>
  <c r="BI52" i="2"/>
  <c r="BI174" i="2"/>
  <c r="BI194" i="2"/>
  <c r="BI12" i="2"/>
  <c r="BI178" i="2"/>
  <c r="BI200" i="2"/>
  <c r="BI110" i="2"/>
  <c r="BI50" i="2"/>
  <c r="BI198" i="2"/>
  <c r="BI43" i="2"/>
  <c r="BI40" i="2"/>
  <c r="BI69" i="2"/>
  <c r="BI182" i="2"/>
  <c r="BI73" i="2"/>
  <c r="BI71" i="2"/>
  <c r="BI167" i="2"/>
  <c r="BI59" i="2"/>
  <c r="BI58" i="2"/>
  <c r="BI91" i="2"/>
  <c r="BI106" i="2"/>
  <c r="BI79" i="2"/>
  <c r="BI191" i="2"/>
  <c r="BI148" i="2"/>
  <c r="BI131" i="2"/>
  <c r="BI134" i="2"/>
  <c r="BI100" i="2"/>
  <c r="BI7" i="2"/>
  <c r="BI138" i="2"/>
  <c r="BI103" i="2"/>
  <c r="BI4" i="2"/>
  <c r="BI28" i="2"/>
  <c r="BI179" i="2"/>
  <c r="BI14" i="2"/>
  <c r="BI57" i="2"/>
  <c r="BI63" i="2"/>
  <c r="BI56" i="2"/>
  <c r="BI64" i="2"/>
  <c r="BI90" i="2"/>
  <c r="BI128" i="2"/>
  <c r="BI108" i="2"/>
  <c r="BI150" i="2"/>
  <c r="BI87" i="2"/>
  <c r="BI80" i="2"/>
  <c r="BI143" i="2"/>
  <c r="BI89" i="2"/>
  <c r="BI37" i="2"/>
  <c r="BI11" i="2"/>
  <c r="BI176" i="2"/>
  <c r="BI8" i="2"/>
  <c r="BI21" i="2"/>
  <c r="BI46" i="2"/>
  <c r="BI68" i="2"/>
  <c r="BI161" i="2"/>
  <c r="BI70" i="2"/>
  <c r="BI18" i="2"/>
  <c r="BI111" i="2"/>
  <c r="BI125" i="2"/>
  <c r="BI29" i="2"/>
  <c r="BI5" i="2"/>
  <c r="BI189" i="2"/>
  <c r="BI88" i="2"/>
  <c r="BI157" i="2"/>
  <c r="BI186" i="2"/>
  <c r="BI201" i="2"/>
  <c r="BI124" i="2"/>
  <c r="BI118" i="2"/>
  <c r="BI75" i="2"/>
  <c r="BI3" i="2"/>
  <c r="C8" i="4" s="1"/>
  <c r="E8" i="4" s="1"/>
  <c r="F8" i="4" s="1"/>
  <c r="G8" i="4" s="1"/>
  <c r="L8" i="4" s="1"/>
  <c r="BI17" i="2"/>
  <c r="BI95" i="2"/>
  <c r="BI153" i="2"/>
  <c r="BI19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<sst xmlns="http://schemas.openxmlformats.org/spreadsheetml/2006/main" count="1174" uniqueCount="324">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</sst>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3613440"/>
        <c:axId val="-933606912"/>
      </c:scatterChart>
      <c:valAx>
        <c:axId val="-933613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06912"/>
        <c:crosses val="autoZero"/>
        <c:crossBetween val="midCat"/>
      </c:valAx>
      <c:valAx>
        <c:axId val="-93360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13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30997536"/>
        <c:axId val="-1231004608"/>
      </c:scatterChart>
      <c:valAx>
        <c:axId val="-123099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1004608"/>
        <c:crosses val="autoZero"/>
        <c:crossBetween val="midCat"/>
      </c:valAx>
      <c:valAx>
        <c:axId val="-123100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099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3609088"/>
        <c:axId val="-933608544"/>
      </c:scatterChart>
      <c:valAx>
        <c:axId val="-933609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08544"/>
        <c:crosses val="autoZero"/>
        <c:crossBetween val="midCat"/>
      </c:valAx>
      <c:valAx>
        <c:axId val="-93360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09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1.8440967493960854</c:v>
                </c:pt>
                <c:pt idx="2">
                  <c:v>2.3397767225383261</c:v>
                </c:pt>
                <c:pt idx="3">
                  <c:v>2.9692251378239298</c:v>
                </c:pt>
                <c:pt idx="4">
                  <c:v>3.7686778222565338</c:v>
                </c:pt>
                <c:pt idx="5">
                  <c:v>4.7842208479495723</c:v>
                </c:pt>
                <c:pt idx="6">
                  <c:v>6.0744769252219095</c:v>
                </c:pt>
                <c:pt idx="7">
                  <c:v>7.7140266387541381</c:v>
                </c:pt>
                <c:pt idx="8">
                  <c:v>9.7977660906100486</c:v>
                </c:pt>
                <c:pt idx="9">
                  <c:v>12.446457940375948</c:v>
                </c:pt>
                <c:pt idx="10">
                  <c:v>15.813803535000055</c:v>
                </c:pt>
                <c:pt idx="11">
                  <c:v>20.095454017876332</c:v>
                </c:pt>
                <c:pt idx="12">
                  <c:v>25.540493384302135</c:v>
                </c:pt>
                <c:pt idx="13">
                  <c:v>32.466073285357531</c:v>
                </c:pt>
                <c:pt idx="14">
                  <c:v>41.27606675520061</c:v>
                </c:pt>
                <c:pt idx="15">
                  <c:v>52.484847160414972</c:v>
                </c:pt>
                <c:pt idx="16">
                  <c:v>66.747603863638901</c:v>
                </c:pt>
                <c:pt idx="17">
                  <c:v>84.898995645097301</c:v>
                </c:pt>
                <c:pt idx="18">
                  <c:v>108.00244019278658</c:v>
                </c:pt>
                <c:pt idx="19">
                  <c:v>137.41297279060404</c:v>
                </c:pt>
                <c:pt idx="20">
                  <c:v>174.8574178159995</c:v>
                </c:pt>
                <c:pt idx="21">
                  <c:v>222.53665149290285</c:v>
                </c:pt>
                <c:pt idx="22">
                  <c:v>168.76600247780945</c:v>
                </c:pt>
                <c:pt idx="23">
                  <c:v>188.99270051612007</c:v>
                </c:pt>
                <c:pt idx="24">
                  <c:v>209.16892529171821</c:v>
                </c:pt>
                <c:pt idx="25">
                  <c:v>229.3002313036466</c:v>
                </c:pt>
                <c:pt idx="26">
                  <c:v>249.39111690003995</c:v>
                </c:pt>
                <c:pt idx="27">
                  <c:v>269.4452958976164</c:v>
                </c:pt>
                <c:pt idx="28">
                  <c:v>289.46588388785705</c:v>
                </c:pt>
                <c:pt idx="29">
                  <c:v>242.85879845897907</c:v>
                </c:pt>
                <c:pt idx="30">
                  <c:v>264.60158409045465</c:v>
                </c:pt>
                <c:pt idx="31">
                  <c:v>286.30408597271895</c:v>
                </c:pt>
                <c:pt idx="32">
                  <c:v>307.96978591902433</c:v>
                </c:pt>
                <c:pt idx="33">
                  <c:v>329.60163580364463</c:v>
                </c:pt>
                <c:pt idx="34">
                  <c:v>351.20216844044018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472.35430760583859</c:v>
                </c:pt>
                <c:pt idx="65">
                  <c:v>488.11156591254917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551.03641277035797</c:v>
                </c:pt>
                <c:pt idx="70">
                  <c:v>566.74332225455601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3610176"/>
        <c:axId val="-933609632"/>
      </c:scatterChart>
      <c:valAx>
        <c:axId val="-933610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09632"/>
        <c:crosses val="autoZero"/>
        <c:crossBetween val="midCat"/>
      </c:valAx>
      <c:valAx>
        <c:axId val="-93360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10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80.930305178951087</c:v>
                </c:pt>
                <c:pt idx="17">
                  <c:v>99.671872945964807</c:v>
                </c:pt>
                <c:pt idx="18">
                  <c:v>118.32573550855612</c:v>
                </c:pt>
                <c:pt idx="19">
                  <c:v>136.9077150360213</c:v>
                </c:pt>
                <c:pt idx="20">
                  <c:v>155.42896118281021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167.21639270035547</c:v>
                </c:pt>
                <c:pt idx="25">
                  <c:v>187.24258760716546</c:v>
                </c:pt>
                <c:pt idx="26">
                  <c:v>206.2685966241975</c:v>
                </c:pt>
                <c:pt idx="27">
                  <c:v>225.25404749767384</c:v>
                </c:pt>
                <c:pt idx="28">
                  <c:v>244.20283975997816</c:v>
                </c:pt>
                <c:pt idx="29">
                  <c:v>263.11821789263291</c:v>
                </c:pt>
                <c:pt idx="30">
                  <c:v>282.00292156784479</c:v>
                </c:pt>
                <c:pt idx="31">
                  <c:v>210.38540694907314</c:v>
                </c:pt>
                <c:pt idx="32">
                  <c:v>227.15051827180903</c:v>
                </c:pt>
                <c:pt idx="33">
                  <c:v>243.88730861103326</c:v>
                </c:pt>
                <c:pt idx="34">
                  <c:v>260.59799513306115</c:v>
                </c:pt>
                <c:pt idx="35">
                  <c:v>277.28448730625297</c:v>
                </c:pt>
                <c:pt idx="36">
                  <c:v>292.37729611444672</c:v>
                </c:pt>
                <c:pt idx="37">
                  <c:v>307.4527132610603</c:v>
                </c:pt>
                <c:pt idx="38">
                  <c:v>322.51171160469693</c:v>
                </c:pt>
                <c:pt idx="39">
                  <c:v>337.55516572548032</c:v>
                </c:pt>
                <c:pt idx="40">
                  <c:v>352.58386588275084</c:v>
                </c:pt>
                <c:pt idx="41">
                  <c:v>277.59910531675132</c:v>
                </c:pt>
                <c:pt idx="42">
                  <c:v>290.49166725088799</c:v>
                </c:pt>
                <c:pt idx="43">
                  <c:v>303.37144778612065</c:v>
                </c:pt>
                <c:pt idx="44">
                  <c:v>316.23906615147206</c:v>
                </c:pt>
                <c:pt idx="45">
                  <c:v>329.09508705409172</c:v>
                </c:pt>
                <c:pt idx="46">
                  <c:v>340.06095344521356</c:v>
                </c:pt>
                <c:pt idx="47">
                  <c:v>351.01904297525931</c:v>
                </c:pt>
                <c:pt idx="48">
                  <c:v>361.96963273404771</c:v>
                </c:pt>
                <c:pt idx="49">
                  <c:v>372.91298167145283</c:v>
                </c:pt>
                <c:pt idx="50">
                  <c:v>383.8493322938412</c:v>
                </c:pt>
                <c:pt idx="51">
                  <c:v>332.85570681025916</c:v>
                </c:pt>
                <c:pt idx="52">
                  <c:v>342.87947924141304</c:v>
                </c:pt>
                <c:pt idx="53">
                  <c:v>352.89681216953187</c:v>
                </c:pt>
                <c:pt idx="54">
                  <c:v>362.90791424748909</c:v>
                </c:pt>
                <c:pt idx="55">
                  <c:v>372.91298167145288</c:v>
                </c:pt>
                <c:pt idx="56">
                  <c:v>380.7253612664947</c:v>
                </c:pt>
                <c:pt idx="57">
                  <c:v>388.5342542497454</c:v>
                </c:pt>
                <c:pt idx="58">
                  <c:v>396.33974062840025</c:v>
                </c:pt>
                <c:pt idx="59">
                  <c:v>404.1418969991085</c:v>
                </c:pt>
                <c:pt idx="60">
                  <c:v>411.94079675783905</c:v>
                </c:pt>
                <c:pt idx="61">
                  <c:v>379.78806142237414</c:v>
                </c:pt>
                <c:pt idx="62">
                  <c:v>386.66043357385666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413.18832324929986</c:v>
                </c:pt>
                <c:pt idx="67">
                  <c:v>419.11296885471535</c:v>
                </c:pt>
                <c:pt idx="68">
                  <c:v>425.03581010994799</c:v>
                </c:pt>
                <c:pt idx="69">
                  <c:v>430.95687572671636</c:v>
                </c:pt>
                <c:pt idx="70">
                  <c:v>436.87619356276895</c:v>
                </c:pt>
                <c:pt idx="71">
                  <c:v>409.44549880731051</c:v>
                </c:pt>
                <c:pt idx="72">
                  <c:v>414.74761709639353</c:v>
                </c:pt>
                <c:pt idx="73">
                  <c:v>420.0482735257836</c:v>
                </c:pt>
                <c:pt idx="74">
                  <c:v>425.34748916314453</c:v>
                </c:pt>
                <c:pt idx="75">
                  <c:v>430.64528450788202</c:v>
                </c:pt>
                <c:pt idx="76">
                  <c:v>435.31864626323119</c:v>
                </c:pt>
                <c:pt idx="77">
                  <c:v>439.99093116362309</c:v>
                </c:pt>
                <c:pt idx="78">
                  <c:v>444.66215226871242</c:v>
                </c:pt>
                <c:pt idx="79">
                  <c:v>449.33232234112387</c:v>
                </c:pt>
                <c:pt idx="80">
                  <c:v>454.00145385629543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3610720"/>
        <c:axId val="-933608000"/>
      </c:scatterChart>
      <c:valAx>
        <c:axId val="-933610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08000"/>
        <c:crosses val="autoZero"/>
        <c:crossBetween val="midCat"/>
      </c:valAx>
      <c:valAx>
        <c:axId val="-93360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10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2.2007158170150634</c:v>
                </c:pt>
                <c:pt idx="2">
                  <c:v>2.7962519094118723</c:v>
                </c:pt>
                <c:pt idx="3">
                  <c:v>3.5535861505858075</c:v>
                </c:pt>
                <c:pt idx="4">
                  <c:v>4.5168406960899965</c:v>
                </c:pt>
                <c:pt idx="5">
                  <c:v>5.7422116394973726</c:v>
                </c:pt>
                <c:pt idx="6">
                  <c:v>7.3012836732651438</c:v>
                </c:pt>
                <c:pt idx="7">
                  <c:v>9.2852574241869252</c:v>
                </c:pt>
                <c:pt idx="8">
                  <c:v>11.810341445786392</c:v>
                </c:pt>
                <c:pt idx="9">
                  <c:v>15.024630592214445</c:v>
                </c:pt>
                <c:pt idx="10">
                  <c:v>19.116881586433095</c:v>
                </c:pt>
                <c:pt idx="11">
                  <c:v>24.327710406972969</c:v>
                </c:pt>
                <c:pt idx="12">
                  <c:v>30.963881526939787</c:v>
                </c:pt>
                <c:pt idx="13">
                  <c:v>39.416544835762807</c:v>
                </c:pt>
                <c:pt idx="14">
                  <c:v>50.184513497177107</c:v>
                </c:pt>
                <c:pt idx="15">
                  <c:v>63.903979417585994</c:v>
                </c:pt>
                <c:pt idx="16">
                  <c:v>74.968706876518851</c:v>
                </c:pt>
                <c:pt idx="17">
                  <c:v>85.991728436661262</c:v>
                </c:pt>
                <c:pt idx="18">
                  <c:v>96.979158932691703</c:v>
                </c:pt>
                <c:pt idx="19">
                  <c:v>107.93560770449947</c:v>
                </c:pt>
                <c:pt idx="20">
                  <c:v>118.86466834612668</c:v>
                </c:pt>
                <c:pt idx="21">
                  <c:v>130.33262503284615</c:v>
                </c:pt>
                <c:pt idx="22">
                  <c:v>141.77618935167845</c:v>
                </c:pt>
                <c:pt idx="23">
                  <c:v>153.19760973996208</c:v>
                </c:pt>
                <c:pt idx="24">
                  <c:v>164.59877136682616</c:v>
                </c:pt>
                <c:pt idx="25">
                  <c:v>175.98127648998829</c:v>
                </c:pt>
                <c:pt idx="26">
                  <c:v>133.89951586726025</c:v>
                </c:pt>
                <c:pt idx="27">
                  <c:v>145.14865683159067</c:v>
                </c:pt>
                <c:pt idx="28">
                  <c:v>156.3769455749574</c:v>
                </c:pt>
                <c:pt idx="29">
                  <c:v>167.58609180073498</c:v>
                </c:pt>
                <c:pt idx="30">
                  <c:v>178.77755746583179</c:v>
                </c:pt>
                <c:pt idx="31">
                  <c:v>189.20809090709827</c:v>
                </c:pt>
                <c:pt idx="32">
                  <c:v>199.62522507053666</c:v>
                </c:pt>
                <c:pt idx="33">
                  <c:v>210.02975834863889</c:v>
                </c:pt>
                <c:pt idx="34">
                  <c:v>220.42240348483696</c:v>
                </c:pt>
                <c:pt idx="35">
                  <c:v>230.80380045507431</c:v>
                </c:pt>
                <c:pt idx="36">
                  <c:v>195.34832747549947</c:v>
                </c:pt>
                <c:pt idx="37">
                  <c:v>205.38638702588551</c:v>
                </c:pt>
                <c:pt idx="38">
                  <c:v>215.41310599520918</c:v>
                </c:pt>
                <c:pt idx="39">
                  <c:v>225.42908712953158</c:v>
                </c:pt>
                <c:pt idx="40">
                  <c:v>235.4348751848737</c:v>
                </c:pt>
                <c:pt idx="41">
                  <c:v>244.50579602361998</c:v>
                </c:pt>
                <c:pt idx="42">
                  <c:v>253.56907009189914</c:v>
                </c:pt>
                <c:pt idx="43">
                  <c:v>262.62500950142402</c:v>
                </c:pt>
                <c:pt idx="44">
                  <c:v>271.67390306099725</c:v>
                </c:pt>
                <c:pt idx="45">
                  <c:v>280.71601875158382</c:v>
                </c:pt>
                <c:pt idx="46">
                  <c:v>243.95065658009185</c:v>
                </c:pt>
                <c:pt idx="47">
                  <c:v>252.45968154773985</c:v>
                </c:pt>
                <c:pt idx="48">
                  <c:v>260.96221015972293</c:v>
                </c:pt>
                <c:pt idx="49">
                  <c:v>269.45848413939967</c:v>
                </c:pt>
                <c:pt idx="50">
                  <c:v>277.94872870657525</c:v>
                </c:pt>
                <c:pt idx="51">
                  <c:v>286.06438440827776</c:v>
                </c:pt>
                <c:pt idx="52">
                  <c:v>294.17488861011532</c:v>
                </c:pt>
                <c:pt idx="53">
                  <c:v>302.28040350881963</c:v>
                </c:pt>
                <c:pt idx="54">
                  <c:v>310.38108188437286</c:v>
                </c:pt>
                <c:pt idx="55">
                  <c:v>318.47706788363627</c:v>
                </c:pt>
                <c:pt idx="56">
                  <c:v>282.7449756396457</c:v>
                </c:pt>
                <c:pt idx="57">
                  <c:v>290.30459825765917</c:v>
                </c:pt>
                <c:pt idx="58">
                  <c:v>297.85982268054408</c:v>
                </c:pt>
                <c:pt idx="59">
                  <c:v>305.41077632123785</c:v>
                </c:pt>
                <c:pt idx="60">
                  <c:v>312.95757977167301</c:v>
                </c:pt>
                <c:pt idx="61">
                  <c:v>319.76464216080774</c:v>
                </c:pt>
                <c:pt idx="62">
                  <c:v>326.56849772007598</c:v>
                </c:pt>
                <c:pt idx="63">
                  <c:v>333.36922275846945</c:v>
                </c:pt>
                <c:pt idx="64">
                  <c:v>340.16689021425316</c:v>
                </c:pt>
                <c:pt idx="65">
                  <c:v>346.96156986974069</c:v>
                </c:pt>
                <c:pt idx="66">
                  <c:v>314.06164885604733</c:v>
                </c:pt>
                <c:pt idx="67">
                  <c:v>320.68426777479954</c:v>
                </c:pt>
                <c:pt idx="68">
                  <c:v>327.30386083487946</c:v>
                </c:pt>
                <c:pt idx="69">
                  <c:v>333.9204979335957</c:v>
                </c:pt>
                <c:pt idx="70">
                  <c:v>340.53424596920644</c:v>
                </c:pt>
                <c:pt idx="71">
                  <c:v>346.59436515417241</c:v>
                </c:pt>
                <c:pt idx="72">
                  <c:v>352.65215800851342</c:v>
                </c:pt>
                <c:pt idx="73">
                  <c:v>358.7076701751036</c:v>
                </c:pt>
                <c:pt idx="74">
                  <c:v>364.76094562839216</c:v>
                </c:pt>
                <c:pt idx="75">
                  <c:v>370.81202676268725</c:v>
                </c:pt>
                <c:pt idx="76">
                  <c:v>342.0035819124044</c:v>
                </c:pt>
                <c:pt idx="77">
                  <c:v>348.06313285395299</c:v>
                </c:pt>
                <c:pt idx="78">
                  <c:v>354.12036868801255</c:v>
                </c:pt>
                <c:pt idx="79">
                  <c:v>360.17533464453709</c:v>
                </c:pt>
                <c:pt idx="80">
                  <c:v>366.22807430704444</c:v>
                </c:pt>
                <c:pt idx="81">
                  <c:v>371.72866839180887</c:v>
                </c:pt>
                <c:pt idx="82">
                  <c:v>377.22748782234959</c:v>
                </c:pt>
                <c:pt idx="83">
                  <c:v>382.72456214571093</c:v>
                </c:pt>
                <c:pt idx="84">
                  <c:v>388.21991999001642</c:v>
                </c:pt>
                <c:pt idx="85">
                  <c:v>393.71358910594313</c:v>
                </c:pt>
                <c:pt idx="86">
                  <c:v>364.94434375313602</c:v>
                </c:pt>
                <c:pt idx="87">
                  <c:v>370.07867787425289</c:v>
                </c:pt>
                <c:pt idx="88">
                  <c:v>375.2114582000915</c:v>
                </c:pt>
                <c:pt idx="89">
                  <c:v>380.34270900980033</c:v>
                </c:pt>
                <c:pt idx="90">
                  <c:v>385.4724538732321</c:v>
                </c:pt>
                <c:pt idx="91">
                  <c:v>390.60071568104081</c:v>
                </c:pt>
                <c:pt idx="92">
                  <c:v>395.72751667311633</c:v>
                </c:pt>
                <c:pt idx="93">
                  <c:v>400.85287846546549</c:v>
                </c:pt>
                <c:pt idx="94">
                  <c:v>405.97682207564702</c:v>
                </c:pt>
                <c:pt idx="95">
                  <c:v>411.09936794685399</c:v>
                </c:pt>
                <c:pt idx="96">
                  <c:v>383.82377013249379</c:v>
                </c:pt>
                <c:pt idx="97">
                  <c:v>388.58621683386582</c:v>
                </c:pt>
                <c:pt idx="98">
                  <c:v>393.34739649249155</c:v>
                </c:pt>
                <c:pt idx="99">
                  <c:v>398.107326626516</c:v>
                </c:pt>
                <c:pt idx="100">
                  <c:v>402.86602430053154</c:v>
                </c:pt>
                <c:pt idx="101">
                  <c:v>407.25758879520464</c:v>
                </c:pt>
                <c:pt idx="102">
                  <c:v>411.64813007939955</c:v>
                </c:pt>
                <c:pt idx="103">
                  <c:v>416.03766061861705</c:v>
                </c:pt>
                <c:pt idx="104">
                  <c:v>420.42619259356724</c:v>
                </c:pt>
                <c:pt idx="105">
                  <c:v>424.81373790964727</c:v>
                </c:pt>
                <c:pt idx="106">
                  <c:v>399.93773989825144</c:v>
                </c:pt>
                <c:pt idx="107">
                  <c:v>404.32999360363397</c:v>
                </c:pt>
                <c:pt idx="108">
                  <c:v>408.72121562510921</c:v>
                </c:pt>
                <c:pt idx="109">
                  <c:v>413.11141862351934</c:v>
                </c:pt>
                <c:pt idx="110">
                  <c:v>417.50061496835565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3607456"/>
        <c:axId val="-933606368"/>
      </c:scatterChart>
      <c:valAx>
        <c:axId val="-933607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06368"/>
        <c:crosses val="autoZero"/>
        <c:crossBetween val="midCat"/>
      </c:valAx>
      <c:valAx>
        <c:axId val="-93360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07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3612352"/>
        <c:axId val="-933612896"/>
      </c:scatterChart>
      <c:valAx>
        <c:axId val="-933612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12896"/>
        <c:crosses val="autoZero"/>
        <c:crossBetween val="midCat"/>
      </c:valAx>
      <c:valAx>
        <c:axId val="-93361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12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3611808"/>
        <c:axId val="-933611264"/>
      </c:scatterChart>
      <c:valAx>
        <c:axId val="-933611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11264"/>
        <c:crosses val="autoZero"/>
        <c:crossBetween val="midCat"/>
      </c:valAx>
      <c:valAx>
        <c:axId val="-93361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33611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30998080"/>
        <c:axId val="-1231001888"/>
      </c:scatterChart>
      <c:valAx>
        <c:axId val="-1230998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1001888"/>
        <c:crosses val="autoZero"/>
        <c:crossBetween val="midCat"/>
      </c:valAx>
      <c:valAx>
        <c:axId val="-123100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0998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31004064"/>
        <c:axId val="-1230999712"/>
      </c:scatterChart>
      <c:valAx>
        <c:axId val="-1231004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0999712"/>
        <c:crosses val="autoZero"/>
        <c:crossBetween val="midCat"/>
      </c:valAx>
      <c:valAx>
        <c:axId val="-12309997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1004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55" zoomScaleNormal="55" workbookViewId="0">
      <selection activeCell="E69" sqref="E6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4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0.42499999999999999</v>
      </c>
      <c r="D9" s="36">
        <f t="shared" ref="D9:D18" si="0">C9*$C$5</f>
        <v>1.7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0.1</v>
      </c>
      <c r="D10" s="36">
        <f t="shared" si="0"/>
        <v>0.4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18</v>
      </c>
      <c r="C11" s="35">
        <v>0.35</v>
      </c>
      <c r="D11" s="36">
        <f t="shared" si="0"/>
        <v>1.4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8</v>
      </c>
      <c r="C12" s="35">
        <v>7.4999999999999997E-2</v>
      </c>
      <c r="D12" s="36">
        <f t="shared" si="0"/>
        <v>0.3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50</v>
      </c>
      <c r="C13" s="35">
        <v>0.05</v>
      </c>
      <c r="D13" s="36">
        <f t="shared" si="0"/>
        <v>0.2</v>
      </c>
      <c r="E13" s="37">
        <v>110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1</v>
      </c>
      <c r="D19" s="41">
        <f>SUM(D9:D18)</f>
        <v>4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f>62+8</f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f>76+8+21</f>
        <v>105</v>
      </c>
      <c r="C38" s="61">
        <v>1</v>
      </c>
      <c r="D38" s="61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f>95+21</f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f>116+21+21</f>
        <v>158</v>
      </c>
      <c r="C40" s="61">
        <v>2</v>
      </c>
      <c r="D40" s="61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f>137+21</f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f>157+21+21</f>
        <v>199</v>
      </c>
      <c r="C42" s="61">
        <v>3</v>
      </c>
      <c r="D42" s="61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1">
        <f>176+21</f>
        <v>197</v>
      </c>
      <c r="C43" s="61"/>
      <c r="D43" s="61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Douglas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21</v>
      </c>
      <c r="B88" s="61">
        <f>234.08/1.3</f>
        <v>180.06153846153848</v>
      </c>
      <c r="C88" s="61">
        <v>1</v>
      </c>
      <c r="D88" s="61">
        <f>79.52/1.3</f>
        <v>61.169230769230765</v>
      </c>
      <c r="E88" s="54"/>
      <c r="F88" s="54">
        <v>0.5</v>
      </c>
      <c r="G88" s="54">
        <v>0.5</v>
      </c>
      <c r="H88" s="91"/>
      <c r="I88" s="56">
        <f>IFERROR(B88/A88,"")</f>
        <v>8.5743589743589759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28</v>
      </c>
      <c r="B89" s="61">
        <f>306.49/1.3</f>
        <v>235.76153846153846</v>
      </c>
      <c r="C89" s="61">
        <v>2</v>
      </c>
      <c r="D89" s="61">
        <f>73.99/1.3</f>
        <v>56.91538461538461</v>
      </c>
      <c r="E89" s="54"/>
      <c r="F89" s="54">
        <v>0.5</v>
      </c>
      <c r="G89" s="54">
        <v>0.5</v>
      </c>
      <c r="H89" s="91"/>
      <c r="I89" s="56">
        <f t="shared" ref="I89:I102" si="3">IF(A89&lt;&gt;0,(B89-(B88-D88))/(A89-A88),"")</f>
        <v>16.695604395604395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35</v>
      </c>
      <c r="B90" s="61">
        <f>397.14/1.3</f>
        <v>305.49230769230769</v>
      </c>
      <c r="C90" s="61">
        <v>3</v>
      </c>
      <c r="D90" s="61">
        <f>91.65/1.3</f>
        <v>70.5</v>
      </c>
      <c r="E90" s="54"/>
      <c r="F90" s="54"/>
      <c r="G90" s="54"/>
      <c r="H90" s="91"/>
      <c r="I90" s="56">
        <f t="shared" si="3"/>
        <v>18.092307692307688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42</v>
      </c>
      <c r="B91" s="61">
        <f>471.38/1.3</f>
        <v>362.59999999999997</v>
      </c>
      <c r="C91" s="61">
        <v>4</v>
      </c>
      <c r="D91" s="61">
        <f>104.87/1.3</f>
        <v>80.669230769230765</v>
      </c>
      <c r="E91" s="91"/>
      <c r="F91" s="91"/>
      <c r="G91" s="91"/>
      <c r="H91" s="91"/>
      <c r="I91" s="56">
        <f t="shared" si="3"/>
        <v>18.229670329670324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49</v>
      </c>
      <c r="B92" s="61">
        <f>525.94/1.3</f>
        <v>404.56923076923078</v>
      </c>
      <c r="C92" s="61">
        <v>5</v>
      </c>
      <c r="D92" s="61">
        <f>117.59/1.3</f>
        <v>90.453846153846158</v>
      </c>
      <c r="E92" s="91"/>
      <c r="F92" s="91"/>
      <c r="G92" s="91"/>
      <c r="H92" s="91"/>
      <c r="I92" s="56">
        <f t="shared" si="3"/>
        <v>17.519780219780223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56</v>
      </c>
      <c r="B93" s="61">
        <f>556.02/1.3</f>
        <v>427.7076923076923</v>
      </c>
      <c r="C93" s="61">
        <v>6</v>
      </c>
      <c r="D93" s="61">
        <f>98.63/1.3</f>
        <v>75.869230769230768</v>
      </c>
      <c r="E93" s="91"/>
      <c r="F93" s="91"/>
      <c r="G93" s="91"/>
      <c r="H93" s="91"/>
      <c r="I93" s="56">
        <f t="shared" si="3"/>
        <v>16.227472527472521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63</v>
      </c>
      <c r="B94" s="61">
        <f>592.43/1.3</f>
        <v>455.71538461538455</v>
      </c>
      <c r="C94" s="61">
        <v>7</v>
      </c>
      <c r="D94" s="61">
        <f>103.64/1.3</f>
        <v>79.723076923076917</v>
      </c>
      <c r="E94" s="91"/>
      <c r="F94" s="91"/>
      <c r="G94" s="91"/>
      <c r="H94" s="91"/>
      <c r="I94" s="56">
        <f t="shared" si="3"/>
        <v>14.839560439560435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>
        <v>70</v>
      </c>
      <c r="B95" s="61">
        <f>609.79/1.3</f>
        <v>469.06923076923073</v>
      </c>
      <c r="C95" s="61">
        <v>8</v>
      </c>
      <c r="D95" s="61">
        <f>609.79/1.3</f>
        <v>469.06923076923073</v>
      </c>
      <c r="E95" s="91"/>
      <c r="F95" s="91"/>
      <c r="G95" s="91"/>
      <c r="H95" s="91"/>
      <c r="I95" s="56">
        <f t="shared" si="3"/>
        <v>13.296703296703299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/>
      <c r="B96" s="61"/>
      <c r="C96" s="61"/>
      <c r="D96" s="61"/>
      <c r="E96" s="91"/>
      <c r="F96" s="91"/>
      <c r="G96" s="91"/>
      <c r="H96" s="91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/>
      <c r="B97" s="61"/>
      <c r="C97" s="61"/>
      <c r="D97" s="61"/>
      <c r="E97" s="91"/>
      <c r="F97" s="91"/>
      <c r="G97" s="91"/>
      <c r="H97" s="91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/>
      <c r="B98" s="61"/>
      <c r="C98" s="61"/>
      <c r="D98" s="61"/>
      <c r="E98" s="91"/>
      <c r="F98" s="91"/>
      <c r="G98" s="91"/>
      <c r="H98" s="91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/>
      <c r="B99" s="61"/>
      <c r="C99" s="61"/>
      <c r="D99" s="61"/>
      <c r="E99" s="91"/>
      <c r="F99" s="91"/>
      <c r="G99" s="91"/>
      <c r="H99" s="91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/>
      <c r="B100" s="61"/>
      <c r="C100" s="61"/>
      <c r="D100" s="61"/>
      <c r="E100" s="66"/>
      <c r="F100" s="66"/>
      <c r="G100" s="66"/>
      <c r="H100" s="66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/>
      <c r="B101" s="61"/>
      <c r="C101" s="61"/>
      <c r="D101" s="61"/>
      <c r="E101" s="66"/>
      <c r="F101" s="66"/>
      <c r="G101" s="66"/>
      <c r="H101" s="66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4"/>
      <c r="F103" s="54"/>
      <c r="G103" s="54"/>
      <c r="H103" s="54"/>
      <c r="I103" s="56" t="str">
        <f t="shared" ref="I103:I107" si="4">IF(A103&lt;&gt;0,(B103-(B102-D102))/(A103-A102),"")</f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4"/>
      <c r="F104" s="54"/>
      <c r="G104" s="54"/>
      <c r="H104" s="54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4"/>
      <c r="F105" s="54"/>
      <c r="G105" s="54"/>
      <c r="H105" s="54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4"/>
      <c r="F106" s="54"/>
      <c r="G106" s="54"/>
      <c r="H106" s="54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4"/>
      <c r="F107" s="54"/>
      <c r="G107" s="54"/>
      <c r="H107" s="54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Châtaignier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1">
        <f>37</f>
        <v>37</v>
      </c>
      <c r="C114" s="53"/>
      <c r="D114" s="61"/>
      <c r="E114" s="54"/>
      <c r="F114" s="54"/>
      <c r="G114" s="54"/>
      <c r="H114" s="54"/>
      <c r="I114" s="56">
        <f>IFERROR(B114/A114,"")</f>
        <v>2.4666666666666668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1">
        <f>80+15</f>
        <v>95</v>
      </c>
      <c r="C115" s="53">
        <v>1</v>
      </c>
      <c r="D115" s="61">
        <f>28+15</f>
        <v>43</v>
      </c>
      <c r="E115" s="54"/>
      <c r="F115" s="54"/>
      <c r="G115" s="54"/>
      <c r="H115" s="54">
        <v>1</v>
      </c>
      <c r="I115" s="56">
        <f t="shared" ref="I115:I133" si="5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1">
        <f>115</f>
        <v>115</v>
      </c>
      <c r="C116" s="53"/>
      <c r="D116" s="61"/>
      <c r="E116" s="54"/>
      <c r="F116" s="54"/>
      <c r="G116" s="54"/>
      <c r="H116" s="54"/>
      <c r="I116" s="56">
        <f t="shared" si="5"/>
        <v>12.6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1">
        <f>147+28</f>
        <v>175</v>
      </c>
      <c r="C117" s="53">
        <v>2</v>
      </c>
      <c r="D117" s="61">
        <f>28+28</f>
        <v>56</v>
      </c>
      <c r="E117" s="54"/>
      <c r="F117" s="54"/>
      <c r="G117" s="54"/>
      <c r="H117" s="54">
        <v>1</v>
      </c>
      <c r="I117" s="56">
        <f t="shared" si="5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1">
        <f>172</f>
        <v>172</v>
      </c>
      <c r="C118" s="53"/>
      <c r="D118" s="61"/>
      <c r="E118" s="54"/>
      <c r="F118" s="54"/>
      <c r="G118" s="54"/>
      <c r="H118" s="54"/>
      <c r="I118" s="56">
        <f t="shared" si="5"/>
        <v>10.6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1">
        <f>192+28</f>
        <v>220</v>
      </c>
      <c r="C119" s="53">
        <v>3</v>
      </c>
      <c r="D119" s="61">
        <f>28+28</f>
        <v>56</v>
      </c>
      <c r="E119" s="54"/>
      <c r="F119" s="54"/>
      <c r="G119" s="54"/>
      <c r="H119" s="54"/>
      <c r="I119" s="56">
        <f t="shared" si="5"/>
        <v>9.6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1">
        <f>205</f>
        <v>205</v>
      </c>
      <c r="C120" s="53"/>
      <c r="D120" s="61"/>
      <c r="E120" s="54"/>
      <c r="F120" s="54"/>
      <c r="G120" s="54"/>
      <c r="H120" s="54"/>
      <c r="I120" s="56">
        <f t="shared" si="5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61">
        <f>218+22</f>
        <v>240</v>
      </c>
      <c r="C121" s="53">
        <v>4</v>
      </c>
      <c r="D121" s="61">
        <f>17+22</f>
        <v>39</v>
      </c>
      <c r="E121" s="54"/>
      <c r="F121" s="54"/>
      <c r="G121" s="54"/>
      <c r="H121" s="54"/>
      <c r="I121" s="56">
        <f t="shared" si="5"/>
        <v>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61">
        <f>233</f>
        <v>233</v>
      </c>
      <c r="C122" s="53"/>
      <c r="D122" s="61"/>
      <c r="E122" s="54"/>
      <c r="F122" s="54"/>
      <c r="G122" s="54"/>
      <c r="H122" s="54"/>
      <c r="I122" s="56">
        <f t="shared" si="5"/>
        <v>6.4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61">
        <f>245+13</f>
        <v>258</v>
      </c>
      <c r="C123" s="53">
        <v>5</v>
      </c>
      <c r="D123" s="61">
        <f>12+13</f>
        <v>25</v>
      </c>
      <c r="E123" s="54"/>
      <c r="F123" s="54"/>
      <c r="G123" s="54"/>
      <c r="H123" s="54"/>
      <c r="I123" s="56">
        <f t="shared" si="5"/>
        <v>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61">
        <f>255</f>
        <v>255</v>
      </c>
      <c r="C124" s="53"/>
      <c r="D124" s="61"/>
      <c r="E124" s="54"/>
      <c r="F124" s="54"/>
      <c r="G124" s="54"/>
      <c r="H124" s="54"/>
      <c r="I124" s="56">
        <f t="shared" si="5"/>
        <v>4.4000000000000004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61">
        <f>263+11</f>
        <v>274</v>
      </c>
      <c r="C125" s="53">
        <v>6</v>
      </c>
      <c r="D125" s="61">
        <f>10+11</f>
        <v>21</v>
      </c>
      <c r="E125" s="54"/>
      <c r="F125" s="54"/>
      <c r="G125" s="54"/>
      <c r="H125" s="54"/>
      <c r="I125" s="56">
        <f t="shared" si="5"/>
        <v>3.8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61">
        <f>270</f>
        <v>270</v>
      </c>
      <c r="C126" s="53"/>
      <c r="D126" s="61"/>
      <c r="E126" s="57"/>
      <c r="F126" s="57"/>
      <c r="G126" s="57"/>
      <c r="H126" s="57"/>
      <c r="I126" s="56">
        <f t="shared" si="5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61">
        <f>276+9</f>
        <v>285</v>
      </c>
      <c r="C127" s="53">
        <v>7</v>
      </c>
      <c r="D127" s="61">
        <f>B127</f>
        <v>285</v>
      </c>
      <c r="E127" s="57"/>
      <c r="F127" s="57"/>
      <c r="G127" s="57"/>
      <c r="H127" s="57"/>
      <c r="I127" s="56">
        <f t="shared" si="5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8"/>
      <c r="B128" s="289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8"/>
      <c r="B129" s="289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8"/>
      <c r="B130" s="289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8"/>
      <c r="B131" s="289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8"/>
      <c r="B132" s="289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8"/>
      <c r="B133" s="289"/>
      <c r="C133" s="53"/>
      <c r="D133" s="290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Tilleul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1">
        <f>(65)/1.56</f>
        <v>41.666666666666664</v>
      </c>
      <c r="C140" s="53"/>
      <c r="D140" s="61"/>
      <c r="E140" s="54"/>
      <c r="F140" s="54"/>
      <c r="G140" s="54"/>
      <c r="H140" s="54"/>
      <c r="I140" s="59">
        <f>IFERROR(B140/A140,"")</f>
        <v>2.7777777777777777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1">
        <f>(109+14)/1.56</f>
        <v>78.84615384615384</v>
      </c>
      <c r="C141" s="53"/>
      <c r="D141" s="61"/>
      <c r="E141" s="54"/>
      <c r="F141" s="54"/>
      <c r="G141" s="54"/>
      <c r="H141" s="54"/>
      <c r="I141" s="59">
        <f t="shared" ref="I141:I159" si="6">IF(A141&lt;&gt;0,(B141-(B140-D140))/(A141-A140),"")</f>
        <v>7.4358974358974352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1">
        <f>(150+14+20)/1.56</f>
        <v>117.94871794871794</v>
      </c>
      <c r="C142" s="53">
        <v>1</v>
      </c>
      <c r="D142" s="61">
        <f>(14+20+23)/1.56</f>
        <v>36.53846153846154</v>
      </c>
      <c r="E142" s="54"/>
      <c r="F142" s="54"/>
      <c r="G142" s="54"/>
      <c r="H142" s="54">
        <v>1</v>
      </c>
      <c r="I142" s="59">
        <f t="shared" si="6"/>
        <v>7.8205128205128203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1">
        <f>(187)/1.56</f>
        <v>119.87179487179486</v>
      </c>
      <c r="C143" s="53"/>
      <c r="D143" s="61"/>
      <c r="E143" s="54"/>
      <c r="F143" s="54"/>
      <c r="G143" s="54"/>
      <c r="H143" s="54"/>
      <c r="I143" s="59">
        <f t="shared" si="6"/>
        <v>7.6923076923076907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1">
        <f>(219+24)/1.56</f>
        <v>155.76923076923077</v>
      </c>
      <c r="C144" s="53">
        <v>2</v>
      </c>
      <c r="D144" s="61">
        <f>(24+25)/1.56</f>
        <v>31.410256410256409</v>
      </c>
      <c r="E144" s="54"/>
      <c r="F144" s="54"/>
      <c r="G144" s="54"/>
      <c r="H144" s="54"/>
      <c r="I144" s="59">
        <f t="shared" si="6"/>
        <v>7.1794871794871824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1">
        <f>(248)/1.56</f>
        <v>158.97435897435898</v>
      </c>
      <c r="C145" s="53"/>
      <c r="D145" s="61"/>
      <c r="E145" s="54"/>
      <c r="F145" s="54"/>
      <c r="G145" s="54"/>
      <c r="H145" s="54"/>
      <c r="I145" s="59">
        <f t="shared" si="6"/>
        <v>6.9230769230769225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45</v>
      </c>
      <c r="B146" s="61">
        <f>(272+25)/1.56</f>
        <v>190.38461538461539</v>
      </c>
      <c r="C146" s="61">
        <v>3</v>
      </c>
      <c r="D146" s="61">
        <f>(25+24)/1.56</f>
        <v>31.410256410256409</v>
      </c>
      <c r="E146" s="91"/>
      <c r="F146" s="91"/>
      <c r="G146" s="91"/>
      <c r="H146" s="91"/>
      <c r="I146" s="59">
        <f t="shared" si="6"/>
        <v>6.2820512820512819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1">
        <v>50</v>
      </c>
      <c r="B147" s="61">
        <f>(294)/1.56</f>
        <v>188.46153846153845</v>
      </c>
      <c r="C147" s="61"/>
      <c r="D147" s="61"/>
      <c r="E147" s="91"/>
      <c r="F147" s="91"/>
      <c r="G147" s="91"/>
      <c r="H147" s="91"/>
      <c r="I147" s="59">
        <f>IF(A147&lt;&gt;0,(B147-(B146-D146))/(A147-A146),"")</f>
        <v>5.8974358974358951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1">
        <v>55</v>
      </c>
      <c r="B148" s="61">
        <f>(314+24)/1.56</f>
        <v>216.66666666666666</v>
      </c>
      <c r="C148" s="61">
        <v>4</v>
      </c>
      <c r="D148" s="61">
        <f>(24+23)/1.56</f>
        <v>30.128205128205128</v>
      </c>
      <c r="E148" s="91"/>
      <c r="F148" s="91"/>
      <c r="G148" s="91"/>
      <c r="H148" s="91"/>
      <c r="I148" s="59">
        <f t="shared" si="6"/>
        <v>5.6410256410256405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1">
        <v>60</v>
      </c>
      <c r="B149" s="61">
        <f>(332)/1.56</f>
        <v>212.82051282051282</v>
      </c>
      <c r="C149" s="61"/>
      <c r="D149" s="61"/>
      <c r="E149" s="91"/>
      <c r="F149" s="91"/>
      <c r="G149" s="91"/>
      <c r="H149" s="91"/>
      <c r="I149" s="59">
        <f t="shared" si="6"/>
        <v>5.2564102564102599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1">
        <v>65</v>
      </c>
      <c r="B150" s="61">
        <f>(347+22)/1.56</f>
        <v>236.53846153846152</v>
      </c>
      <c r="C150" s="61">
        <v>5</v>
      </c>
      <c r="D150" s="61">
        <f>(22+21)/1.56</f>
        <v>27.564102564102562</v>
      </c>
      <c r="E150" s="91"/>
      <c r="F150" s="91"/>
      <c r="G150" s="91"/>
      <c r="H150" s="91"/>
      <c r="I150" s="59">
        <f t="shared" si="6"/>
        <v>4.7435897435897401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1">
        <v>70</v>
      </c>
      <c r="B151" s="61">
        <f>(362)/1.56</f>
        <v>232.05128205128204</v>
      </c>
      <c r="C151" s="61"/>
      <c r="D151" s="61"/>
      <c r="E151" s="91"/>
      <c r="F151" s="91"/>
      <c r="G151" s="91"/>
      <c r="H151" s="91"/>
      <c r="I151" s="59">
        <f t="shared" si="6"/>
        <v>4.6153846153846185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1">
        <v>75</v>
      </c>
      <c r="B152" s="61">
        <f>(375+20)/1.56</f>
        <v>253.2051282051282</v>
      </c>
      <c r="C152" s="61">
        <v>6</v>
      </c>
      <c r="D152" s="61">
        <f>(20+18)/1.56</f>
        <v>24.358974358974358</v>
      </c>
      <c r="E152" s="66"/>
      <c r="F152" s="66"/>
      <c r="G152" s="66"/>
      <c r="H152" s="66"/>
      <c r="I152" s="59">
        <f t="shared" si="6"/>
        <v>4.2307692307692317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1">
        <v>80</v>
      </c>
      <c r="B153" s="61">
        <f>(390)/1.56</f>
        <v>250</v>
      </c>
      <c r="C153" s="61"/>
      <c r="D153" s="61"/>
      <c r="E153" s="66"/>
      <c r="F153" s="66"/>
      <c r="G153" s="66"/>
      <c r="H153" s="66"/>
      <c r="I153" s="59">
        <f t="shared" si="6"/>
        <v>4.2307692307692317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61">
        <v>85</v>
      </c>
      <c r="B154" s="61">
        <f>(401+19)/1.56</f>
        <v>269.23076923076923</v>
      </c>
      <c r="C154" s="53">
        <v>7</v>
      </c>
      <c r="D154" s="61">
        <f>(19+18)/1.56</f>
        <v>23.717948717948715</v>
      </c>
      <c r="E154" s="57"/>
      <c r="F154" s="57"/>
      <c r="G154" s="57"/>
      <c r="H154" s="57"/>
      <c r="I154" s="59">
        <f t="shared" si="6"/>
        <v>3.8461538461538454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61">
        <v>90</v>
      </c>
      <c r="B155" s="61">
        <f>(411)/1.56</f>
        <v>263.46153846153845</v>
      </c>
      <c r="C155" s="53"/>
      <c r="D155" s="61"/>
      <c r="E155" s="57"/>
      <c r="F155" s="57"/>
      <c r="G155" s="57"/>
      <c r="H155" s="57"/>
      <c r="I155" s="59">
        <f t="shared" si="6"/>
        <v>3.5897435897435912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61">
        <v>95</v>
      </c>
      <c r="B156" s="61">
        <f>(421+18)/1.56</f>
        <v>281.41025641025641</v>
      </c>
      <c r="C156" s="53">
        <v>8</v>
      </c>
      <c r="D156" s="61">
        <f>(18+17)/1.56</f>
        <v>22.435897435897434</v>
      </c>
      <c r="E156" s="57"/>
      <c r="F156" s="57"/>
      <c r="G156" s="57"/>
      <c r="H156" s="57"/>
      <c r="I156" s="59">
        <f t="shared" si="6"/>
        <v>3.5897435897435912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100</v>
      </c>
      <c r="B157" s="61">
        <f>(430)/1.56</f>
        <v>275.64102564102564</v>
      </c>
      <c r="C157" s="53"/>
      <c r="D157" s="61"/>
      <c r="E157" s="57"/>
      <c r="F157" s="57"/>
      <c r="G157" s="57"/>
      <c r="H157" s="57"/>
      <c r="I157" s="59">
        <f t="shared" si="6"/>
        <v>3.333333333333337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105</v>
      </c>
      <c r="B158" s="61">
        <f>(438+16)/1.56</f>
        <v>291.02564102564099</v>
      </c>
      <c r="C158" s="53">
        <v>9</v>
      </c>
      <c r="D158" s="61">
        <f>(16+16)/1.56</f>
        <v>20.512820512820511</v>
      </c>
      <c r="E158" s="57"/>
      <c r="F158" s="57"/>
      <c r="G158" s="57"/>
      <c r="H158" s="57"/>
      <c r="I158" s="59">
        <f t="shared" si="6"/>
        <v>3.0769230769230718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110</v>
      </c>
      <c r="B159" s="61">
        <f>(446)/1.56</f>
        <v>285.89743589743591</v>
      </c>
      <c r="C159" s="53">
        <v>10</v>
      </c>
      <c r="D159" s="61">
        <f>B159</f>
        <v>285.89743589743591</v>
      </c>
      <c r="E159" s="57"/>
      <c r="F159" s="57"/>
      <c r="G159" s="57"/>
      <c r="H159" s="57"/>
      <c r="I159" s="59">
        <f t="shared" si="6"/>
        <v>3.0769230769230829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1"/>
      <c r="C168" s="61"/>
      <c r="D168" s="61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1"/>
      <c r="C169" s="61"/>
      <c r="D169" s="61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1"/>
      <c r="C170" s="61"/>
      <c r="D170" s="61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1"/>
      <c r="C171" s="61"/>
      <c r="D171" s="61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1"/>
      <c r="C172" s="61"/>
      <c r="D172" s="61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61"/>
      <c r="C173" s="61"/>
      <c r="D173" s="61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61"/>
      <c r="C174" s="61"/>
      <c r="D174" s="61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61"/>
      <c r="C175" s="61"/>
      <c r="D175" s="61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61"/>
      <c r="C176" s="61"/>
      <c r="D176" s="61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61"/>
      <c r="C177" s="61"/>
      <c r="D177" s="61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61"/>
      <c r="C178" s="61"/>
      <c r="D178" s="61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61"/>
      <c r="C179" s="61"/>
      <c r="D179" s="61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61"/>
      <c r="C180" s="61"/>
      <c r="D180" s="61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61"/>
      <c r="C181" s="61"/>
      <c r="D181" s="61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61"/>
      <c r="C182" s="61"/>
      <c r="D182" s="61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61"/>
      <c r="C183" s="61"/>
      <c r="D183" s="61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61"/>
      <c r="C184" s="61"/>
      <c r="D184" s="61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61"/>
      <c r="C185" s="61"/>
      <c r="D185" s="61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/>
      <c r="D192" s="61"/>
      <c r="E192" s="54"/>
      <c r="F192" s="54"/>
      <c r="G192" s="54"/>
      <c r="H192" s="91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/>
      <c r="D193" s="61"/>
      <c r="E193" s="54"/>
      <c r="F193" s="54"/>
      <c r="G193" s="54"/>
      <c r="H193" s="91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/>
      <c r="D194" s="61"/>
      <c r="E194" s="91"/>
      <c r="F194" s="91"/>
      <c r="G194" s="91"/>
      <c r="H194" s="91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/>
      <c r="D195" s="61"/>
      <c r="E195" s="91"/>
      <c r="F195" s="91"/>
      <c r="G195" s="91"/>
      <c r="H195" s="91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/>
      <c r="D196" s="61"/>
      <c r="E196" s="91"/>
      <c r="F196" s="91"/>
      <c r="G196" s="91"/>
      <c r="H196" s="91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/>
      <c r="D197" s="61"/>
      <c r="E197" s="91"/>
      <c r="F197" s="91"/>
      <c r="G197" s="91"/>
      <c r="H197" s="91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/>
      <c r="D198" s="61"/>
      <c r="E198" s="91"/>
      <c r="F198" s="91"/>
      <c r="G198" s="91"/>
      <c r="H198" s="91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61"/>
      <c r="B199" s="61"/>
      <c r="C199" s="61"/>
      <c r="D199" s="61"/>
      <c r="E199" s="91"/>
      <c r="F199" s="91"/>
      <c r="G199" s="91"/>
      <c r="H199" s="91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61"/>
      <c r="B200" s="61"/>
      <c r="C200" s="61"/>
      <c r="D200" s="61"/>
      <c r="E200" s="91"/>
      <c r="F200" s="91"/>
      <c r="G200" s="91"/>
      <c r="H200" s="91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64"/>
      <c r="F201" s="64"/>
      <c r="G201" s="64"/>
      <c r="H201" s="6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64"/>
      <c r="F202" s="64"/>
      <c r="G202" s="64"/>
      <c r="H202" s="6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64"/>
      <c r="F203" s="64"/>
      <c r="G203" s="64"/>
      <c r="H203" s="6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65"/>
      <c r="F204" s="65"/>
      <c r="G204" s="65"/>
      <c r="H204" s="65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7"/>
      <c r="F205" s="57"/>
      <c r="G205" s="57"/>
      <c r="H205" s="57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7"/>
      <c r="F206" s="57"/>
      <c r="G206" s="57"/>
      <c r="H206" s="57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7"/>
      <c r="F207" s="57"/>
      <c r="G207" s="57"/>
      <c r="H207" s="57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7"/>
      <c r="F208" s="57"/>
      <c r="G208" s="57"/>
      <c r="H208" s="57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7"/>
      <c r="F209" s="57"/>
      <c r="G209" s="57"/>
      <c r="H209" s="57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7"/>
      <c r="F210" s="57"/>
      <c r="G210" s="57"/>
      <c r="H210" s="57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7"/>
      <c r="F211" s="57"/>
      <c r="G211" s="57"/>
      <c r="H211" s="57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61"/>
      <c r="C221" s="53"/>
      <c r="D221" s="61"/>
      <c r="E221" s="64"/>
      <c r="F221" s="64"/>
      <c r="G221" s="64"/>
      <c r="H221" s="64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/>
      <c r="B222" s="61"/>
      <c r="C222" s="53"/>
      <c r="D222" s="61"/>
      <c r="E222" s="64"/>
      <c r="F222" s="64"/>
      <c r="G222" s="64"/>
      <c r="H222" s="64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/>
      <c r="B223" s="61"/>
      <c r="C223" s="53"/>
      <c r="D223" s="61"/>
      <c r="E223" s="64"/>
      <c r="F223" s="64"/>
      <c r="G223" s="64"/>
      <c r="H223" s="64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/>
      <c r="B224" s="61"/>
      <c r="C224" s="53"/>
      <c r="D224" s="61"/>
      <c r="E224" s="64"/>
      <c r="F224" s="64"/>
      <c r="G224" s="64"/>
      <c r="H224" s="64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/>
      <c r="B225" s="61"/>
      <c r="C225" s="53"/>
      <c r="D225" s="61"/>
      <c r="E225" s="64"/>
      <c r="F225" s="64"/>
      <c r="G225" s="64"/>
      <c r="H225" s="64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8" sqref="B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0</v>
      </c>
      <c r="C8" s="52" t="s">
        <v>177</v>
      </c>
      <c r="D8" s="25"/>
      <c r="E8" s="112">
        <v>4</v>
      </c>
      <c r="F8" s="62">
        <v>1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1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pubescent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Douglas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Châtaignier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Tilleul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293.33333333333331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314.4389771131751</v>
      </c>
      <c r="T3" s="60">
        <f>IF('Données projet'!E9&gt;30,$R$33-$H$33,LOOKUP('Données projet'!$E$9,$A$3:$A$203,R3:R203)-LOOKUP('Données projet'!$E$9,$A$3:$A$203,$H$3:$H$203))</f>
        <v>176.7239677722049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361.06925636707814</v>
      </c>
      <c r="AO3" s="60">
        <f>IF('Données projet'!E10&gt;30,$AM$33-$H$33,LOOKUP('Données projet'!$E$10,$A$3:$A$203,AM3:AM203)-LOOKUP('Données projet'!$E$10,$A$3:$A$203,$H$3:$H$203))</f>
        <v>201.44775212076888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253.63061102077421</v>
      </c>
      <c r="BJ3" s="60">
        <f>IF('Données projet'!E11&gt;30,$BH$33-$H$33,LOOKUP('Données projet'!$E$11,$A$3:$A$203,BH3:BH203)-LOOKUP('Données projet'!$E$11,$A$3:$A$203,$H$3:$H$203))</f>
        <v>230.98056275369652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216.97968518094325</v>
      </c>
      <c r="CE3" s="60">
        <f>IF('Données projet'!E12&gt;30,$CC$33-$H$33,LOOKUP('Données projet'!$E$12,$A$3:$A$203,CC3:CC203)-LOOKUP('Données projet'!$E$12,$A$3:$A$203,$H$3:$H$203))</f>
        <v>248.38190023108666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293.33333333333331</v>
      </c>
      <c r="CY3" s="60">
        <f ca="1">AVERAGE(OFFSET($CX$3,0,0,'Données projet'!$E$13+1,1))-AVERAGE(OFFSET($H$3,0,0,'Données projet'!$E$13+1,1))</f>
        <v>199.36703853638392</v>
      </c>
      <c r="CZ3" s="60">
        <f>IF('Données projet'!E13&gt;30,$CX$33-$H$33,LOOKUP('Données projet'!$E$13,$A$3:$A$203,CX3:CX203)-LOOKUP('Données projet'!$E$13,$A$3:$A$203,$H$3:$H$203))</f>
        <v>145.15653612907363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8">
        <f t="shared" ref="H4:H67" si="1">(B4+E4+F4)*44/12+(C4+D4)*0.475*44/12</f>
        <v>294.5914728578652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0">
        <f t="shared" si="0"/>
        <v>296.09965856715894</v>
      </c>
      <c r="S4" s="60">
        <f ca="1">AVERAGE(OFFSET($R$3,0,0,'Données projet'!$E$9+1,1))-AVERAGE(OFFSET($H$3,0,0,'Données projet'!$E$9+1,1))</f>
        <v>314.4389771131751</v>
      </c>
      <c r="T4" s="60">
        <f>$T$3</f>
        <v>176.7239677722049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0">
        <f t="shared" ref="AM4:AM67" si="5">AL4+(AD4+AE4)*44/12</f>
        <v>296.42072876264024</v>
      </c>
      <c r="AN4" s="60">
        <f ca="1">AVERAGE(OFFSET($AM$3,0,0,'Données projet'!$E$10+1,1))-AVERAGE(OFFSET($H$3,0,0,'Données projet'!$E$10+1,1))</f>
        <v>361.06925636707814</v>
      </c>
      <c r="AO4" s="60">
        <f>$AO$3</f>
        <v>201.44775212076888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8.5743589743589759</v>
      </c>
      <c r="BD4" s="13">
        <f>IF('Données projet'!$A$88&gt;35,BD3+BC4-BL3,IF(A4&lt;'Données projet'!$A$88,$BA$205^A4,IF(A4='Données projet'!$A$88,'Données projet'!$B$88,BD3+BC4-BL3)))</f>
        <v>1.2805631431945952</v>
      </c>
      <c r="BE4" s="14">
        <f>BD4*VLOOKUP('Données projet'!$B$11,Paramètres!$A$1:$I$89,3,0)*VLOOKUP('Données projet'!$B$11,Paramètres!$A$1:$I$89,5,0)</f>
        <v>0.71583479704577868</v>
      </c>
      <c r="BF4" s="14">
        <f>EXP(-1.0587+0.8836*LN(BE4)+0.284)</f>
        <v>0.34297673370795467</v>
      </c>
      <c r="BG4" s="22">
        <f t="shared" ref="BG4:BG67" si="7">(BE4+BF4)*0.475*44/12</f>
        <v>1.8440967493960854</v>
      </c>
      <c r="BH4" s="60">
        <f t="shared" ref="BH4:BH67" si="8">BG4+(AY4+AZ4)*44/12</f>
        <v>295.17743008272942</v>
      </c>
      <c r="BI4" s="60">
        <f ca="1">AVERAGE(OFFSET($BH$3,0,0,'Données projet'!$E$11+1,1))-AVERAGE(OFFSET($H$3,0,0,'Données projet'!$E$11+1,1))</f>
        <v>253.63061102077421</v>
      </c>
      <c r="BJ4" s="60">
        <f>$BJ$3</f>
        <v>230.98056275369652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2.4666666666666668</v>
      </c>
      <c r="BY4" s="13">
        <f>IF('Données projet'!$A$114&gt;35,BY3+BX4-CG3,IF(A4&lt;'Données projet'!$A$114,$BV$205^A4,IF(A4='Données projet'!$A$114,'Données projet'!$B$114,BY3+BX4-CG3)))</f>
        <v>1.2721747796233518</v>
      </c>
      <c r="BZ4" s="14">
        <f>BY4*VLOOKUP('Données projet'!$B$12,Paramètres!$A$1:$I$89,3,0)*VLOOKUP('Données projet'!$B$12,Paramètres!$A$1:$I$89,5,0)</f>
        <v>0.9327585484198414</v>
      </c>
      <c r="CA4" s="14">
        <f>EXP(-1.0587+0.8836*LN(BZ4)+0.284)</f>
        <v>0.43335135961225768</v>
      </c>
      <c r="CB4" s="22">
        <f t="shared" ref="CB4:CB67" si="10">(BZ4+CA4)*0.475*44/12</f>
        <v>2.3793080898225729</v>
      </c>
      <c r="CC4" s="60">
        <f t="shared" ref="CC4:CC67" si="11">CB4+(BT4+BU4)*44/12</f>
        <v>295.7126414231559</v>
      </c>
      <c r="CD4" s="60">
        <f ca="1">AVERAGE(OFFSET($CC$3,0,0,'Données projet'!$E$12+1,1))-AVERAGE(OFFSET($H$3,0,0,'Données projet'!$E$12+1,1))</f>
        <v>216.97968518094325</v>
      </c>
      <c r="CE4" s="60">
        <f>$CE$3</f>
        <v>248.38190023108666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2.7777777777777777</v>
      </c>
      <c r="CT4" s="13">
        <f>IF('Données projet'!$A$140&gt;35,CT3+CS4-DB3,IF(A4&lt;'Données projet'!$A$140,$CQ$205^A4,IF(A4='Données projet'!$A$140,'Données projet'!$B$140,CT3+CS4-DB3)))</f>
        <v>1.2822890014514785</v>
      </c>
      <c r="CU4" s="18">
        <f>CT4*VLOOKUP('Données projet'!$B$13,Paramètres!$A$1:$I$89,3,0)*VLOOKUP('Données projet'!$B$13,Paramètres!$A$1:$I$89,5,0)</f>
        <v>0.8601594621736518</v>
      </c>
      <c r="CV4" s="14">
        <f>EXP(-1.0587+0.8836*LN(CU4)+0.284)</f>
        <v>0.40340942797853763</v>
      </c>
      <c r="CW4" s="22">
        <f t="shared" ref="CW4:CW67" si="13">(CU4+CV4)*0.475*44/12</f>
        <v>2.2007158170150634</v>
      </c>
      <c r="CX4" s="60">
        <f t="shared" ref="CX4:CX67" si="14">CW4+(CO4+CP4)*44/12</f>
        <v>295.53404915034838</v>
      </c>
      <c r="CY4" s="60">
        <f ca="1">AVERAGE(OFFSET($CX$3,0,0,'Données projet'!$E$13+1,1))-AVERAGE(OFFSET($H$3,0,0,'Données projet'!$E$13+1,1))</f>
        <v>199.36703853638392</v>
      </c>
      <c r="CZ4" s="60">
        <f>$CZ$3</f>
        <v>145.15653612907363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8">
        <f t="shared" si="1"/>
        <v>295.78443952307919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0">
        <f t="shared" si="0"/>
        <v>296.64562104315422</v>
      </c>
      <c r="S5" s="60">
        <f ca="1">AVERAGE(OFFSET($R$3,0,0,'Données projet'!$E$9+1,1))-AVERAGE(OFFSET($H$3,0,0,'Données projet'!$E$9+1,1))</f>
        <v>314.4389771131751</v>
      </c>
      <c r="T5" s="60">
        <f t="shared" ref="T5:T68" si="34">$T$3</f>
        <v>176.7239677722049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0">
        <f t="shared" si="5"/>
        <v>297.03028566608663</v>
      </c>
      <c r="AN5" s="60">
        <f ca="1">AVERAGE(OFFSET($AM$3,0,0,'Données projet'!$E$10+1,1))-AVERAGE(OFFSET($H$3,0,0,'Données projet'!$E$10+1,1))</f>
        <v>361.06925636707814</v>
      </c>
      <c r="AO5" s="60">
        <f t="shared" ref="AO5:AO68" si="36">$AO$3</f>
        <v>201.44775212076888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8.5743589743589759</v>
      </c>
      <c r="BD5" s="13">
        <f>IF('Données projet'!$A$88&gt;35,BD4+BC5-BL4,IF(A5&lt;'Données projet'!$A$88,$BA$205^A5,IF(A5='Données projet'!$A$88,'Données projet'!$B$88,BD4+BC5-BL4)))</f>
        <v>1.6398419637084214</v>
      </c>
      <c r="BE5" s="14">
        <f>BD5*VLOOKUP('Données projet'!$B$11,Paramètres!$A$1:$I$89,3,0)*VLOOKUP('Données projet'!$B$11,Paramètres!$A$1:$I$89,5,0)</f>
        <v>0.91667165771300751</v>
      </c>
      <c r="BF5" s="14">
        <f t="shared" ref="BF5:BF68" si="37">EXP(-1.0587+0.8836*LN(BE5)+0.284)</f>
        <v>0.42674081455780177</v>
      </c>
      <c r="BG5" s="22">
        <f t="shared" si="7"/>
        <v>2.3397767225383261</v>
      </c>
      <c r="BH5" s="60">
        <f t="shared" si="8"/>
        <v>295.67311005587163</v>
      </c>
      <c r="BI5" s="60">
        <f ca="1">AVERAGE(OFFSET($BH$3,0,0,'Données projet'!$E$11+1,1))-AVERAGE(OFFSET($H$3,0,0,'Données projet'!$E$11+1,1))</f>
        <v>253.63061102077421</v>
      </c>
      <c r="BJ5" s="60">
        <f t="shared" ref="BJ5:BJ68" si="38">$BJ$3</f>
        <v>230.98056275369652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2.4666666666666668</v>
      </c>
      <c r="BY5" s="13">
        <f>IF('Données projet'!$A$114&gt;35,BY4+BX5-CG4,IF(A5&lt;'Données projet'!$A$114,$BV$205^A5,IF(A5='Données projet'!$A$114,'Données projet'!$B$114,BY4+BX5-CG4)))</f>
        <v>1.6184286699097237</v>
      </c>
      <c r="BZ5" s="14">
        <f>BY5*VLOOKUP('Données projet'!$B$12,Paramètres!$A$1:$I$89,3,0)*VLOOKUP('Données projet'!$B$12,Paramètres!$A$1:$I$89,5,0)</f>
        <v>1.1866319007778094</v>
      </c>
      <c r="CA5" s="14">
        <f t="shared" ref="CA5:CA68" si="39">EXP(-1.0587+0.8836*LN(BZ5)+0.284)</f>
        <v>0.53606530474621483</v>
      </c>
      <c r="CB5" s="22">
        <f t="shared" si="10"/>
        <v>3.0003642996210083</v>
      </c>
      <c r="CC5" s="60">
        <f t="shared" si="11"/>
        <v>296.33369763295434</v>
      </c>
      <c r="CD5" s="60">
        <f ca="1">AVERAGE(OFFSET($CC$3,0,0,'Données projet'!$E$12+1,1))-AVERAGE(OFFSET($H$3,0,0,'Données projet'!$E$12+1,1))</f>
        <v>216.97968518094325</v>
      </c>
      <c r="CE5" s="60">
        <f t="shared" ref="CE5:CE68" si="40">$CE$3</f>
        <v>248.38190023108666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2.7777777777777777</v>
      </c>
      <c r="CT5" s="13">
        <f>IF('Données projet'!$A$140&gt;35,CT4+CS5-DB4,IF(A5&lt;'Données projet'!$A$140,$CQ$205^A5,IF(A5='Données projet'!$A$140,'Données projet'!$B$140,CT4+CS5-DB4)))</f>
        <v>1.6442650832434298</v>
      </c>
      <c r="CU5" s="18">
        <f>CT5*VLOOKUP('Données projet'!$B$13,Paramètres!$A$1:$I$89,3,0)*VLOOKUP('Données projet'!$B$13,Paramètres!$A$1:$I$89,5,0)</f>
        <v>1.1029730178396928</v>
      </c>
      <c r="CV5" s="14">
        <f t="shared" ref="CV5:CV68" si="41">EXP(-1.0587+0.8836*LN(CU5)+0.284)</f>
        <v>0.50253047081784186</v>
      </c>
      <c r="CW5" s="22">
        <f t="shared" si="13"/>
        <v>2.7962519094118723</v>
      </c>
      <c r="CX5" s="60">
        <f t="shared" si="14"/>
        <v>296.12958524274518</v>
      </c>
      <c r="CY5" s="60">
        <f ca="1">AVERAGE(OFFSET($CX$3,0,0,'Données projet'!$E$13+1,1))-AVERAGE(OFFSET($H$3,0,0,'Données projet'!$E$13+1,1))</f>
        <v>199.36703853638392</v>
      </c>
      <c r="CZ5" s="60">
        <f t="shared" ref="CZ5:CZ68" si="42">$CZ$3</f>
        <v>145.15653612907363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8">
        <f t="shared" si="1"/>
        <v>296.95635862620634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0">
        <f t="shared" si="0"/>
        <v>297.29973523978072</v>
      </c>
      <c r="S6" s="60">
        <f ca="1">AVERAGE(OFFSET($R$3,0,0,'Données projet'!$E$9+1,1))-AVERAGE(OFFSET($H$3,0,0,'Données projet'!$E$9+1,1))</f>
        <v>314.4389771131751</v>
      </c>
      <c r="T6" s="60">
        <f t="shared" si="34"/>
        <v>176.7239677722049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0">
        <f t="shared" si="5"/>
        <v>297.76063455825545</v>
      </c>
      <c r="AN6" s="60">
        <f ca="1">AVERAGE(OFFSET($AM$3,0,0,'Données projet'!$E$10+1,1))-AVERAGE(OFFSET($H$3,0,0,'Données projet'!$E$10+1,1))</f>
        <v>361.06925636707814</v>
      </c>
      <c r="AO6" s="60">
        <f t="shared" si="36"/>
        <v>201.44775212076888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8.5743589743589759</v>
      </c>
      <c r="BD6" s="13">
        <f>IF('Données projet'!$A$88&gt;35,BD5+BC6-BL5,IF(A6&lt;'Données projet'!$A$88,$BA$205^A6,IF(A6='Données projet'!$A$88,'Données projet'!$B$88,BD5+BC6-BL5)))</f>
        <v>2.0999211793888533</v>
      </c>
      <c r="BE6" s="14">
        <f>BD6*VLOOKUP('Données projet'!$B$11,Paramètres!$A$1:$I$89,3,0)*VLOOKUP('Données projet'!$B$11,Paramètres!$A$1:$I$89,5,0)</f>
        <v>1.173855939278369</v>
      </c>
      <c r="BF6" s="14">
        <f t="shared" si="37"/>
        <v>0.53096232167316981</v>
      </c>
      <c r="BG6" s="22">
        <f t="shared" si="7"/>
        <v>2.9692251378239298</v>
      </c>
      <c r="BH6" s="60">
        <f t="shared" si="8"/>
        <v>296.30255847115723</v>
      </c>
      <c r="BI6" s="60">
        <f ca="1">AVERAGE(OFFSET($BH$3,0,0,'Données projet'!$E$11+1,1))-AVERAGE(OFFSET($H$3,0,0,'Données projet'!$E$11+1,1))</f>
        <v>253.63061102077421</v>
      </c>
      <c r="BJ6" s="60">
        <f t="shared" si="38"/>
        <v>230.98056275369652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2.4666666666666668</v>
      </c>
      <c r="BY6" s="13">
        <f>IF('Données projet'!$A$114&gt;35,BY5+BX6-CG5,IF(A6&lt;'Données projet'!$A$114,$BV$205^A6,IF(A6='Données projet'!$A$114,'Données projet'!$B$114,BY5+BX6-CG5)))</f>
        <v>2.0589241364785171</v>
      </c>
      <c r="BZ6" s="14">
        <f>BY6*VLOOKUP('Données projet'!$B$12,Paramètres!$A$1:$I$89,3,0)*VLOOKUP('Données projet'!$B$12,Paramètres!$A$1:$I$89,5,0)</f>
        <v>1.5096031768660487</v>
      </c>
      <c r="CA6" s="14">
        <f t="shared" si="39"/>
        <v>0.66312474757151718</v>
      </c>
      <c r="CB6" s="22">
        <f t="shared" si="10"/>
        <v>3.7841678017287599</v>
      </c>
      <c r="CC6" s="60">
        <f t="shared" si="11"/>
        <v>297.11750113506207</v>
      </c>
      <c r="CD6" s="60">
        <f ca="1">AVERAGE(OFFSET($CC$3,0,0,'Données projet'!$E$12+1,1))-AVERAGE(OFFSET($H$3,0,0,'Données projet'!$E$12+1,1))</f>
        <v>216.97968518094325</v>
      </c>
      <c r="CE6" s="60">
        <f t="shared" si="40"/>
        <v>248.38190023108666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2.7777777777777777</v>
      </c>
      <c r="CT6" s="13">
        <f>IF('Données projet'!$A$140&gt;35,CT5+CS6-DB5,IF(A6&lt;'Données projet'!$A$140,$CQ$205^A6,IF(A6='Données projet'!$A$140,'Données projet'!$B$140,CT5+CS6-DB5)))</f>
        <v>2.1084230317137496</v>
      </c>
      <c r="CU6" s="18">
        <f>CT6*VLOOKUP('Données projet'!$B$13,Paramètres!$A$1:$I$89,3,0)*VLOOKUP('Données projet'!$B$13,Paramètres!$A$1:$I$89,5,0)</f>
        <v>1.4143301696735833</v>
      </c>
      <c r="CV6" s="14">
        <f t="shared" si="41"/>
        <v>0.62600637611731103</v>
      </c>
      <c r="CW6" s="22">
        <f t="shared" si="13"/>
        <v>3.5535861505858075</v>
      </c>
      <c r="CX6" s="60">
        <f t="shared" si="14"/>
        <v>296.88691948391914</v>
      </c>
      <c r="CY6" s="60">
        <f ca="1">AVERAGE(OFFSET($CX$3,0,0,'Données projet'!$E$13+1,1))-AVERAGE(OFFSET($H$3,0,0,'Données projet'!$E$13+1,1))</f>
        <v>199.36703853638392</v>
      </c>
      <c r="CZ6" s="60">
        <f t="shared" si="42"/>
        <v>145.15653612907363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8">
        <f t="shared" si="1"/>
        <v>298.11530352234041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0">
        <f t="shared" si="0"/>
        <v>298.08350019263929</v>
      </c>
      <c r="S7" s="60">
        <f ca="1">AVERAGE(OFFSET($R$3,0,0,'Données projet'!$E$9+1,1))-AVERAGE(OFFSET($H$3,0,0,'Données projet'!$E$9+1,1))</f>
        <v>314.4389771131751</v>
      </c>
      <c r="T7" s="60">
        <f t="shared" si="34"/>
        <v>176.7239677722049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0">
        <f t="shared" si="5"/>
        <v>298.63579511828317</v>
      </c>
      <c r="AN7" s="60">
        <f ca="1">AVERAGE(OFFSET($AM$3,0,0,'Données projet'!$E$10+1,1))-AVERAGE(OFFSET($H$3,0,0,'Données projet'!$E$10+1,1))</f>
        <v>361.06925636707814</v>
      </c>
      <c r="AO7" s="60">
        <f t="shared" si="36"/>
        <v>201.44775212076888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8.5743589743589759</v>
      </c>
      <c r="BD7" s="13">
        <f>IF('Données projet'!$A$88&gt;35,BD6+BC7-BL6,IF(A7&lt;'Données projet'!$A$88,$BA$205^A7,IF(A7='Données projet'!$A$88,'Données projet'!$B$88,BD6+BC7-BL6)))</f>
        <v>2.6890816659390917</v>
      </c>
      <c r="BE7" s="14">
        <f>BD7*VLOOKUP('Données projet'!$B$11,Paramètres!$A$1:$I$89,3,0)*VLOOKUP('Données projet'!$B$11,Paramètres!$A$1:$I$89,5,0)</f>
        <v>1.5031966512599522</v>
      </c>
      <c r="BF7" s="14">
        <f t="shared" si="37"/>
        <v>0.66063750505958863</v>
      </c>
      <c r="BG7" s="22">
        <f t="shared" si="7"/>
        <v>3.7686778222565338</v>
      </c>
      <c r="BH7" s="60">
        <f t="shared" si="8"/>
        <v>297.10201115558982</v>
      </c>
      <c r="BI7" s="60">
        <f ca="1">AVERAGE(OFFSET($BH$3,0,0,'Données projet'!$E$11+1,1))-AVERAGE(OFFSET($H$3,0,0,'Données projet'!$E$11+1,1))</f>
        <v>253.63061102077421</v>
      </c>
      <c r="BJ7" s="60">
        <f t="shared" si="38"/>
        <v>230.98056275369652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2.4666666666666668</v>
      </c>
      <c r="BY7" s="13">
        <f>IF('Données projet'!$A$114&gt;35,BY6+BX7-CG6,IF(A7&lt;'Données projet'!$A$114,$BV$205^A7,IF(A7='Données projet'!$A$114,'Données projet'!$B$114,BY6+BX7-CG6)))</f>
        <v>2.6193113595857573</v>
      </c>
      <c r="BZ7" s="14">
        <f>BY7*VLOOKUP('Données projet'!$B$12,Paramètres!$A$1:$I$89,3,0)*VLOOKUP('Données projet'!$B$12,Paramètres!$A$1:$I$89,5,0)</f>
        <v>1.9204790888482772</v>
      </c>
      <c r="CA7" s="14">
        <f t="shared" si="39"/>
        <v>0.82030011446080875</v>
      </c>
      <c r="CB7" s="22">
        <f t="shared" si="10"/>
        <v>4.7735237790966574</v>
      </c>
      <c r="CC7" s="60">
        <f t="shared" si="11"/>
        <v>298.10685711242996</v>
      </c>
      <c r="CD7" s="60">
        <f ca="1">AVERAGE(OFFSET($CC$3,0,0,'Données projet'!$E$12+1,1))-AVERAGE(OFFSET($H$3,0,0,'Données projet'!$E$12+1,1))</f>
        <v>216.97968518094325</v>
      </c>
      <c r="CE7" s="60">
        <f t="shared" si="40"/>
        <v>248.38190023108666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2.7777777777777777</v>
      </c>
      <c r="CT7" s="13">
        <f>IF('Données projet'!$A$140&gt;35,CT6+CS7-DB6,IF(A7&lt;'Données projet'!$A$140,$CQ$205^A7,IF(A7='Données projet'!$A$140,'Données projet'!$B$140,CT6+CS7-DB6)))</f>
        <v>2.7036076639735231</v>
      </c>
      <c r="CU7" s="18">
        <f>CT7*VLOOKUP('Données projet'!$B$13,Paramètres!$A$1:$I$89,3,0)*VLOOKUP('Données projet'!$B$13,Paramètres!$A$1:$I$89,5,0)</f>
        <v>1.8135800209934394</v>
      </c>
      <c r="CV7" s="14">
        <f t="shared" si="41"/>
        <v>0.77982133561325717</v>
      </c>
      <c r="CW7" s="22">
        <f t="shared" si="13"/>
        <v>4.5168406960899965</v>
      </c>
      <c r="CX7" s="60">
        <f t="shared" si="14"/>
        <v>297.85017402942333</v>
      </c>
      <c r="CY7" s="60">
        <f ca="1">AVERAGE(OFFSET($CX$3,0,0,'Données projet'!$E$13+1,1))-AVERAGE(OFFSET($H$3,0,0,'Données projet'!$E$13+1,1))</f>
        <v>199.36703853638392</v>
      </c>
      <c r="CZ7" s="60">
        <f t="shared" si="42"/>
        <v>145.15653612907363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8">
        <f t="shared" si="1"/>
        <v>299.26493332067207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0">
        <f t="shared" si="0"/>
        <v>299.02270258510697</v>
      </c>
      <c r="S8" s="60">
        <f ca="1">AVERAGE(OFFSET($R$3,0,0,'Données projet'!$E$9+1,1))-AVERAGE(OFFSET($H$3,0,0,'Données projet'!$E$9+1,1))</f>
        <v>314.4389771131751</v>
      </c>
      <c r="T8" s="60">
        <f t="shared" si="34"/>
        <v>176.7239677722049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0">
        <f t="shared" si="5"/>
        <v>299.68457884920798</v>
      </c>
      <c r="AN8" s="60">
        <f ca="1">AVERAGE(OFFSET($AM$3,0,0,'Données projet'!$E$10+1,1))-AVERAGE(OFFSET($H$3,0,0,'Données projet'!$E$10+1,1))</f>
        <v>361.06925636707814</v>
      </c>
      <c r="AO8" s="60">
        <f t="shared" si="36"/>
        <v>201.44775212076888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8.5743589743589759</v>
      </c>
      <c r="BD8" s="13">
        <f>IF('Données projet'!$A$88&gt;35,BD7+BC8-BL7,IF(A8&lt;'Données projet'!$A$88,$BA$205^A8,IF(A8='Données projet'!$A$88,'Données projet'!$B$88,BD7+BC8-BL7)))</f>
        <v>3.4435388704419219</v>
      </c>
      <c r="BE8" s="14">
        <f>BD8*VLOOKUP('Données projet'!$B$11,Paramètres!$A$1:$I$89,3,0)*VLOOKUP('Données projet'!$B$11,Paramètres!$A$1:$I$89,5,0)</f>
        <v>1.9249382285770344</v>
      </c>
      <c r="BF8" s="14">
        <f t="shared" si="37"/>
        <v>0.8219828324466435</v>
      </c>
      <c r="BG8" s="22">
        <f t="shared" si="7"/>
        <v>4.7842208479495723</v>
      </c>
      <c r="BH8" s="60">
        <f t="shared" si="8"/>
        <v>298.11755418128291</v>
      </c>
      <c r="BI8" s="60">
        <f ca="1">AVERAGE(OFFSET($BH$3,0,0,'Données projet'!$E$11+1,1))-AVERAGE(OFFSET($H$3,0,0,'Données projet'!$E$11+1,1))</f>
        <v>253.63061102077421</v>
      </c>
      <c r="BJ8" s="60">
        <f t="shared" si="38"/>
        <v>230.98056275369652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2.4666666666666668</v>
      </c>
      <c r="BY8" s="13">
        <f>IF('Données projet'!$A$114&gt;35,BY7+BX8-CG7,IF(A8&lt;'Données projet'!$A$114,$BV$205^A8,IF(A8='Données projet'!$A$114,'Données projet'!$B$114,BY7+BX8-CG7)))</f>
        <v>3.332221851645953</v>
      </c>
      <c r="BZ8" s="14">
        <f>BY8*VLOOKUP('Données projet'!$B$12,Paramètres!$A$1:$I$89,3,0)*VLOOKUP('Données projet'!$B$12,Paramètres!$A$1:$I$89,5,0)</f>
        <v>2.4431850616268127</v>
      </c>
      <c r="CA8" s="14">
        <f t="shared" si="39"/>
        <v>1.0147295516396715</v>
      </c>
      <c r="CB8" s="22">
        <f t="shared" si="10"/>
        <v>6.0225346181057935</v>
      </c>
      <c r="CC8" s="60">
        <f t="shared" si="11"/>
        <v>299.35586795143911</v>
      </c>
      <c r="CD8" s="60">
        <f ca="1">AVERAGE(OFFSET($CC$3,0,0,'Données projet'!$E$12+1,1))-AVERAGE(OFFSET($H$3,0,0,'Données projet'!$E$12+1,1))</f>
        <v>216.97968518094325</v>
      </c>
      <c r="CE8" s="60">
        <f t="shared" si="40"/>
        <v>248.38190023108666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2.7777777777777777</v>
      </c>
      <c r="CT8" s="13">
        <f>IF('Données projet'!$A$140&gt;35,CT7+CS8-DB7,IF(A8&lt;'Données projet'!$A$140,$CQ$205^A8,IF(A8='Données projet'!$A$140,'Données projet'!$B$140,CT7+CS8-DB7)))</f>
        <v>3.4668063717531736</v>
      </c>
      <c r="CU8" s="18">
        <f>CT8*VLOOKUP('Données projet'!$B$13,Paramètres!$A$1:$I$89,3,0)*VLOOKUP('Données projet'!$B$13,Paramètres!$A$1:$I$89,5,0)</f>
        <v>2.3255337141720287</v>
      </c>
      <c r="CV8" s="14">
        <f t="shared" si="41"/>
        <v>0.97142990659201334</v>
      </c>
      <c r="CW8" s="22">
        <f t="shared" si="13"/>
        <v>5.7422116394973726</v>
      </c>
      <c r="CX8" s="60">
        <f t="shared" si="14"/>
        <v>299.0755449728307</v>
      </c>
      <c r="CY8" s="60">
        <f ca="1">AVERAGE(OFFSET($CX$3,0,0,'Données projet'!$E$13+1,1))-AVERAGE(OFFSET($H$3,0,0,'Données projet'!$E$13+1,1))</f>
        <v>199.36703853638392</v>
      </c>
      <c r="CZ8" s="60">
        <f t="shared" si="42"/>
        <v>145.15653612907363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8">
        <f t="shared" si="1"/>
        <v>300.40733532985558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0">
        <f t="shared" si="0"/>
        <v>300.14827444069743</v>
      </c>
      <c r="S9" s="60">
        <f ca="1">AVERAGE(OFFSET($R$3,0,0,'Données projet'!$E$9+1,1))-AVERAGE(OFFSET($H$3,0,0,'Données projet'!$E$9+1,1))</f>
        <v>314.4389771131751</v>
      </c>
      <c r="T9" s="60">
        <f t="shared" si="34"/>
        <v>176.7239677722049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0">
        <f t="shared" si="5"/>
        <v>300.9415478972038</v>
      </c>
      <c r="AN9" s="60">
        <f ca="1">AVERAGE(OFFSET($AM$3,0,0,'Données projet'!$E$10+1,1))-AVERAGE(OFFSET($H$3,0,0,'Données projet'!$E$10+1,1))</f>
        <v>361.06925636707814</v>
      </c>
      <c r="AO9" s="60">
        <f t="shared" si="36"/>
        <v>201.44775212076888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8.5743589743589759</v>
      </c>
      <c r="BD9" s="13">
        <f>IF('Données projet'!$A$88&gt;35,BD8+BC9-BL8,IF(A9&lt;'Données projet'!$A$88,$BA$205^A9,IF(A9='Données projet'!$A$88,'Données projet'!$B$88,BD8+BC9-BL8)))</f>
        <v>4.4096689596458729</v>
      </c>
      <c r="BE9" s="14">
        <f>BD9*VLOOKUP('Données projet'!$B$11,Paramètres!$A$1:$I$89,3,0)*VLOOKUP('Données projet'!$B$11,Paramètres!$A$1:$I$89,5,0)</f>
        <v>2.4650049484420431</v>
      </c>
      <c r="BF9" s="14">
        <f t="shared" si="37"/>
        <v>1.0227329990537903</v>
      </c>
      <c r="BG9" s="22">
        <f t="shared" si="7"/>
        <v>6.0744769252219095</v>
      </c>
      <c r="BH9" s="60">
        <f t="shared" si="8"/>
        <v>299.40781025855523</v>
      </c>
      <c r="BI9" s="60">
        <f ca="1">AVERAGE(OFFSET($BH$3,0,0,'Données projet'!$E$11+1,1))-AVERAGE(OFFSET($H$3,0,0,'Données projet'!$E$11+1,1))</f>
        <v>253.63061102077421</v>
      </c>
      <c r="BJ9" s="60">
        <f t="shared" si="38"/>
        <v>230.98056275369652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2.4666666666666668</v>
      </c>
      <c r="BY9" s="13">
        <f>IF('Données projet'!$A$114&gt;35,BY8+BX9-CG8,IF(A9&lt;'Données projet'!$A$114,$BV$205^A9,IF(A9='Données projet'!$A$114,'Données projet'!$B$114,BY8+BX9-CG8)))</f>
        <v>4.2391685997738069</v>
      </c>
      <c r="BZ9" s="14">
        <f>BY9*VLOOKUP('Données projet'!$B$12,Paramètres!$A$1:$I$89,3,0)*VLOOKUP('Données projet'!$B$12,Paramètres!$A$1:$I$89,5,0)</f>
        <v>3.1081584173541552</v>
      </c>
      <c r="CA9" s="14">
        <f t="shared" si="39"/>
        <v>1.2552431053208675</v>
      </c>
      <c r="CB9" s="22">
        <f t="shared" si="10"/>
        <v>7.5995909853256647</v>
      </c>
      <c r="CC9" s="60">
        <f t="shared" si="11"/>
        <v>300.93292431865899</v>
      </c>
      <c r="CD9" s="60">
        <f ca="1">AVERAGE(OFFSET($CC$3,0,0,'Données projet'!$E$12+1,1))-AVERAGE(OFFSET($H$3,0,0,'Données projet'!$E$12+1,1))</f>
        <v>216.97968518094325</v>
      </c>
      <c r="CE9" s="60">
        <f t="shared" si="40"/>
        <v>248.38190023108666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2.7777777777777777</v>
      </c>
      <c r="CT9" s="13">
        <f>IF('Données projet'!$A$140&gt;35,CT8+CS9-DB8,IF(A9&lt;'Données projet'!$A$140,$CQ$205^A9,IF(A9='Données projet'!$A$140,'Données projet'!$B$140,CT8+CS9-DB8)))</f>
        <v>4.4454476806610002</v>
      </c>
      <c r="CU9" s="18">
        <f>CT9*VLOOKUP('Données projet'!$B$13,Paramètres!$A$1:$I$89,3,0)*VLOOKUP('Données projet'!$B$13,Paramètres!$A$1:$I$89,5,0)</f>
        <v>2.982006304187399</v>
      </c>
      <c r="CV9" s="14">
        <f t="shared" si="41"/>
        <v>1.2101182929026357</v>
      </c>
      <c r="CW9" s="22">
        <f t="shared" si="13"/>
        <v>7.3012836732651438</v>
      </c>
      <c r="CX9" s="60">
        <f t="shared" si="14"/>
        <v>300.63461700659843</v>
      </c>
      <c r="CY9" s="60">
        <f ca="1">AVERAGE(OFFSET($CX$3,0,0,'Données projet'!$E$13+1,1))-AVERAGE(OFFSET($H$3,0,0,'Données projet'!$E$13+1,1))</f>
        <v>199.36703853638392</v>
      </c>
      <c r="CZ9" s="60">
        <f t="shared" si="42"/>
        <v>145.15653612907363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8">
        <f t="shared" si="1"/>
        <v>301.54385515707349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0">
        <f t="shared" si="0"/>
        <v>301.49732286519185</v>
      </c>
      <c r="S10" s="60">
        <f ca="1">AVERAGE(OFFSET($R$3,0,0,'Données projet'!$E$9+1,1))-AVERAGE(OFFSET($H$3,0,0,'Données projet'!$E$9+1,1))</f>
        <v>314.4389771131751</v>
      </c>
      <c r="T10" s="60">
        <f t="shared" si="34"/>
        <v>176.7239677722049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0">
        <f t="shared" si="5"/>
        <v>302.44816625650515</v>
      </c>
      <c r="AN10" s="60">
        <f ca="1">AVERAGE(OFFSET($AM$3,0,0,'Données projet'!$E$10+1,1))-AVERAGE(OFFSET($H$3,0,0,'Données projet'!$E$10+1,1))</f>
        <v>361.06925636707814</v>
      </c>
      <c r="AO10" s="60">
        <f t="shared" si="36"/>
        <v>201.44775212076888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8.5743589743589759</v>
      </c>
      <c r="BD10" s="13">
        <f>IF('Données projet'!$A$88&gt;35,BD9+BC10-BL9,IF(A10&lt;'Données projet'!$A$88,$BA$205^A10,IF(A10='Données projet'!$A$88,'Données projet'!$B$88,BD9+BC10-BL9)))</f>
        <v>5.6468595434117601</v>
      </c>
      <c r="BE10" s="14">
        <f>BD10*VLOOKUP('Données projet'!$B$11,Paramètres!$A$1:$I$89,3,0)*VLOOKUP('Données projet'!$B$11,Paramètres!$A$1:$I$89,5,0)</f>
        <v>3.1565944847671736</v>
      </c>
      <c r="BF10" s="14">
        <f t="shared" si="37"/>
        <v>1.2725117193021875</v>
      </c>
      <c r="BG10" s="22">
        <f t="shared" si="7"/>
        <v>7.7140266387541381</v>
      </c>
      <c r="BH10" s="60">
        <f t="shared" si="8"/>
        <v>301.04735997208746</v>
      </c>
      <c r="BI10" s="60">
        <f ca="1">AVERAGE(OFFSET($BH$3,0,0,'Données projet'!$E$11+1,1))-AVERAGE(OFFSET($H$3,0,0,'Données projet'!$E$11+1,1))</f>
        <v>253.63061102077421</v>
      </c>
      <c r="BJ10" s="60">
        <f t="shared" si="38"/>
        <v>230.98056275369652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2.4666666666666668</v>
      </c>
      <c r="BY10" s="13">
        <f>IF('Données projet'!$A$114&gt;35,BY9+BX10-CG9,IF(A10&lt;'Données projet'!$A$114,$BV$205^A10,IF(A10='Données projet'!$A$114,'Données projet'!$B$114,BY9+BX10-CG9)))</f>
        <v>5.3929633792034757</v>
      </c>
      <c r="BZ10" s="14">
        <f>BY10*VLOOKUP('Données projet'!$B$12,Paramètres!$A$1:$I$89,3,0)*VLOOKUP('Données projet'!$B$12,Paramètres!$A$1:$I$89,5,0)</f>
        <v>3.9541207496319881</v>
      </c>
      <c r="CA10" s="14">
        <f t="shared" si="39"/>
        <v>1.5527637397664751</v>
      </c>
      <c r="CB10" s="22">
        <f t="shared" si="10"/>
        <v>9.5911571523689911</v>
      </c>
      <c r="CC10" s="60">
        <f t="shared" si="11"/>
        <v>302.92449048570228</v>
      </c>
      <c r="CD10" s="60">
        <f ca="1">AVERAGE(OFFSET($CC$3,0,0,'Données projet'!$E$12+1,1))-AVERAGE(OFFSET($H$3,0,0,'Données projet'!$E$12+1,1))</f>
        <v>216.97968518094325</v>
      </c>
      <c r="CE10" s="60">
        <f t="shared" si="40"/>
        <v>248.38190023108666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2.7777777777777777</v>
      </c>
      <c r="CT10" s="13">
        <f>IF('Données projet'!$A$140&gt;35,CT9+CS10-DB9,IF(A10&lt;'Données projet'!$A$140,$CQ$205^A10,IF(A10='Données projet'!$A$140,'Données projet'!$B$140,CT9+CS10-DB9)))</f>
        <v>5.7003486674395836</v>
      </c>
      <c r="CU10" s="18">
        <f>CT10*VLOOKUP('Données projet'!$B$13,Paramètres!$A$1:$I$89,3,0)*VLOOKUP('Données projet'!$B$13,Paramètres!$A$1:$I$89,5,0)</f>
        <v>3.8237938861184726</v>
      </c>
      <c r="CV10" s="14">
        <f t="shared" si="41"/>
        <v>1.5074543957113413</v>
      </c>
      <c r="CW10" s="22">
        <f t="shared" si="13"/>
        <v>9.2852574241869252</v>
      </c>
      <c r="CX10" s="60">
        <f t="shared" si="14"/>
        <v>302.61859075752022</v>
      </c>
      <c r="CY10" s="60">
        <f ca="1">AVERAGE(OFFSET($CX$3,0,0,'Données projet'!$E$13+1,1))-AVERAGE(OFFSET($H$3,0,0,'Données projet'!$E$13+1,1))</f>
        <v>199.36703853638392</v>
      </c>
      <c r="CZ10" s="60">
        <f t="shared" si="42"/>
        <v>145.15653612907363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8">
        <f t="shared" si="1"/>
        <v>302.675430070853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0">
        <f t="shared" si="0"/>
        <v>303.11436643935451</v>
      </c>
      <c r="S11" s="60">
        <f ca="1">AVERAGE(OFFSET($R$3,0,0,'Données projet'!$E$9+1,1))-AVERAGE(OFFSET($H$3,0,0,'Données projet'!$E$9+1,1))</f>
        <v>314.4389771131751</v>
      </c>
      <c r="T11" s="60">
        <f t="shared" si="34"/>
        <v>176.7239677722049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0">
        <f t="shared" si="5"/>
        <v>304.25418205982345</v>
      </c>
      <c r="AN11" s="60">
        <f ca="1">AVERAGE(OFFSET($AM$3,0,0,'Données projet'!$E$10+1,1))-AVERAGE(OFFSET($H$3,0,0,'Données projet'!$E$10+1,1))</f>
        <v>361.06925636707814</v>
      </c>
      <c r="AO11" s="60">
        <f t="shared" si="36"/>
        <v>201.44775212076888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8.5743589743589759</v>
      </c>
      <c r="BD11" s="13">
        <f>IF('Données projet'!$A$88&gt;35,BD10+BC11-BL10,IF(A11&lt;'Données projet'!$A$88,$BA$205^A11,IF(A11='Données projet'!$A$88,'Données projet'!$B$88,BD10+BC11-BL10)))</f>
        <v>7.2311602060897604</v>
      </c>
      <c r="BE11" s="14">
        <f>BD11*VLOOKUP('Données projet'!$B$11,Paramètres!$A$1:$I$89,3,0)*VLOOKUP('Données projet'!$B$11,Paramètres!$A$1:$I$89,5,0)</f>
        <v>4.0422185552041761</v>
      </c>
      <c r="BF11" s="14">
        <f t="shared" si="37"/>
        <v>1.5832930757681005</v>
      </c>
      <c r="BG11" s="22">
        <f t="shared" si="7"/>
        <v>9.7977660906100486</v>
      </c>
      <c r="BH11" s="60">
        <f t="shared" si="8"/>
        <v>303.13109942394334</v>
      </c>
      <c r="BI11" s="60">
        <f ca="1">AVERAGE(OFFSET($BH$3,0,0,'Données projet'!$E$11+1,1))-AVERAGE(OFFSET($H$3,0,0,'Données projet'!$E$11+1,1))</f>
        <v>253.63061102077421</v>
      </c>
      <c r="BJ11" s="60">
        <f t="shared" si="38"/>
        <v>230.98056275369652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2.4666666666666668</v>
      </c>
      <c r="BY11" s="13">
        <f>IF('Données projet'!$A$114&gt;35,BY10+BX11-CG10,IF(A11&lt;'Données projet'!$A$114,$BV$205^A11,IF(A11='Données projet'!$A$114,'Données projet'!$B$114,BY10+BX11-CG10)))</f>
        <v>6.8607919984549888</v>
      </c>
      <c r="BZ11" s="14">
        <f>BY11*VLOOKUP('Données projet'!$B$12,Paramètres!$A$1:$I$89,3,0)*VLOOKUP('Données projet'!$B$12,Paramètres!$A$1:$I$89,5,0)</f>
        <v>5.0303326932671979</v>
      </c>
      <c r="CA11" s="14">
        <f t="shared" si="39"/>
        <v>1.9208034055819379</v>
      </c>
      <c r="CB11" s="22">
        <f t="shared" si="10"/>
        <v>12.106562038828912</v>
      </c>
      <c r="CC11" s="60">
        <f t="shared" si="11"/>
        <v>305.43989537216225</v>
      </c>
      <c r="CD11" s="60">
        <f ca="1">AVERAGE(OFFSET($CC$3,0,0,'Données projet'!$E$12+1,1))-AVERAGE(OFFSET($H$3,0,0,'Données projet'!$E$12+1,1))</f>
        <v>216.97968518094325</v>
      </c>
      <c r="CE11" s="60">
        <f t="shared" si="40"/>
        <v>248.38190023108666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2.7777777777777777</v>
      </c>
      <c r="CT11" s="13">
        <f>IF('Données projet'!$A$140&gt;35,CT10+CS11-DB10,IF(A11&lt;'Données projet'!$A$140,$CQ$205^A11,IF(A11='Données projet'!$A$140,'Données projet'!$B$140,CT10+CS11-DB10)))</f>
        <v>7.3094944006963711</v>
      </c>
      <c r="CU11" s="18">
        <f>CT11*VLOOKUP('Données projet'!$B$13,Paramètres!$A$1:$I$89,3,0)*VLOOKUP('Données projet'!$B$13,Paramètres!$A$1:$I$89,5,0)</f>
        <v>4.9032088439871258</v>
      </c>
      <c r="CV11" s="14">
        <f t="shared" si="41"/>
        <v>1.8778484454596058</v>
      </c>
      <c r="CW11" s="22">
        <f t="shared" si="13"/>
        <v>11.810341445786392</v>
      </c>
      <c r="CX11" s="60">
        <f t="shared" si="14"/>
        <v>305.14367477911969</v>
      </c>
      <c r="CY11" s="60">
        <f ca="1">AVERAGE(OFFSET($CX$3,0,0,'Données projet'!$E$13+1,1))-AVERAGE(OFFSET($H$3,0,0,'Données projet'!$E$13+1,1))</f>
        <v>199.36703853638392</v>
      </c>
      <c r="CZ11" s="60">
        <f t="shared" si="42"/>
        <v>145.15653612907363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8">
        <f t="shared" si="1"/>
        <v>303.80274897548452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0">
        <f t="shared" si="0"/>
        <v>305.05281983783436</v>
      </c>
      <c r="S12" s="60">
        <f ca="1">AVERAGE(OFFSET($R$3,0,0,'Données projet'!$E$9+1,1))-AVERAGE(OFFSET($H$3,0,0,'Données projet'!$E$9+1,1))</f>
        <v>314.4389771131751</v>
      </c>
      <c r="T12" s="60">
        <f t="shared" si="34"/>
        <v>176.7239677722049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0">
        <f t="shared" si="5"/>
        <v>306.4192874568086</v>
      </c>
      <c r="AN12" s="60">
        <f ca="1">AVERAGE(OFFSET($AM$3,0,0,'Données projet'!$E$10+1,1))-AVERAGE(OFFSET($H$3,0,0,'Données projet'!$E$10+1,1))</f>
        <v>361.06925636707814</v>
      </c>
      <c r="AO12" s="60">
        <f t="shared" si="36"/>
        <v>201.44775212076888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8.5743589743589759</v>
      </c>
      <c r="BD12" s="13">
        <f>IF('Données projet'!$A$88&gt;35,BD11+BC12-BL11,IF(A12&lt;'Données projet'!$A$88,$BA$205^A12,IF(A12='Données projet'!$A$88,'Données projet'!$B$88,BD11+BC12-BL11)))</f>
        <v>9.2599572424539804</v>
      </c>
      <c r="BE12" s="14">
        <f>BD12*VLOOKUP('Données projet'!$B$11,Paramètres!$A$1:$I$89,3,0)*VLOOKUP('Données projet'!$B$11,Paramètres!$A$1:$I$89,5,0)</f>
        <v>5.1763160985317747</v>
      </c>
      <c r="BF12" s="14">
        <f t="shared" si="37"/>
        <v>1.969975541875469</v>
      </c>
      <c r="BG12" s="22">
        <f t="shared" si="7"/>
        <v>12.446457940375948</v>
      </c>
      <c r="BH12" s="60">
        <f t="shared" si="8"/>
        <v>305.77979127370924</v>
      </c>
      <c r="BI12" s="60">
        <f ca="1">AVERAGE(OFFSET($BH$3,0,0,'Données projet'!$E$11+1,1))-AVERAGE(OFFSET($H$3,0,0,'Données projet'!$E$11+1,1))</f>
        <v>253.63061102077421</v>
      </c>
      <c r="BJ12" s="60">
        <f t="shared" si="38"/>
        <v>230.98056275369652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2.4666666666666668</v>
      </c>
      <c r="BY12" s="13">
        <f>IF('Données projet'!$A$114&gt;35,BY11+BX12-CG11,IF(A12&lt;'Données projet'!$A$114,$BV$205^A12,IF(A12='Données projet'!$A$114,'Données projet'!$B$114,BY11+BX12-CG11)))</f>
        <v>8.7281265486761299</v>
      </c>
      <c r="BZ12" s="14">
        <f>BY12*VLOOKUP('Données projet'!$B$12,Paramètres!$A$1:$I$89,3,0)*VLOOKUP('Données projet'!$B$12,Paramètres!$A$1:$I$89,5,0)</f>
        <v>6.399462385489338</v>
      </c>
      <c r="CA12" s="14">
        <f t="shared" si="39"/>
        <v>2.3760766872686268</v>
      </c>
      <c r="CB12" s="22">
        <f t="shared" si="10"/>
        <v>15.284063885053456</v>
      </c>
      <c r="CC12" s="60">
        <f t="shared" si="11"/>
        <v>308.61739721838677</v>
      </c>
      <c r="CD12" s="60">
        <f ca="1">AVERAGE(OFFSET($CC$3,0,0,'Données projet'!$E$12+1,1))-AVERAGE(OFFSET($H$3,0,0,'Données projet'!$E$12+1,1))</f>
        <v>216.97968518094325</v>
      </c>
      <c r="CE12" s="60">
        <f t="shared" si="40"/>
        <v>248.38190023108666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2.7777777777777777</v>
      </c>
      <c r="CT12" s="13">
        <f>IF('Données projet'!$A$140&gt;35,CT11+CS12-DB11,IF(A12&lt;'Données projet'!$A$140,$CQ$205^A12,IF(A12='Données projet'!$A$140,'Données projet'!$B$140,CT11+CS12-DB11)))</f>
        <v>9.3728842761841236</v>
      </c>
      <c r="CU12" s="18">
        <f>CT12*VLOOKUP('Données projet'!$B$13,Paramètres!$A$1:$I$89,3,0)*VLOOKUP('Données projet'!$B$13,Paramètres!$A$1:$I$89,5,0)</f>
        <v>6.2873307724643102</v>
      </c>
      <c r="CV12" s="14">
        <f t="shared" si="41"/>
        <v>2.3392513857449408</v>
      </c>
      <c r="CW12" s="22">
        <f t="shared" si="13"/>
        <v>15.024630592214445</v>
      </c>
      <c r="CX12" s="60">
        <f t="shared" si="14"/>
        <v>308.35796392554778</v>
      </c>
      <c r="CY12" s="60">
        <f ca="1">AVERAGE(OFFSET($CX$3,0,0,'Données projet'!$E$13+1,1))-AVERAGE(OFFSET($H$3,0,0,'Données projet'!$E$13+1,1))</f>
        <v>199.36703853638392</v>
      </c>
      <c r="CZ12" s="60">
        <f t="shared" si="42"/>
        <v>145.15653612907363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8">
        <f t="shared" si="1"/>
        <v>304.92633870438061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0">
        <f t="shared" si="0"/>
        <v>307.37677663358653</v>
      </c>
      <c r="S13" s="60">
        <f ca="1">AVERAGE(OFFSET($R$3,0,0,'Données projet'!$E$9+1,1))-AVERAGE(OFFSET($H$3,0,0,'Données projet'!$E$9+1,1))</f>
        <v>314.4389771131751</v>
      </c>
      <c r="T13" s="60">
        <f t="shared" si="34"/>
        <v>176.7239677722049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0">
        <f t="shared" si="5"/>
        <v>309.01511196236879</v>
      </c>
      <c r="AN13" s="60">
        <f ca="1">AVERAGE(OFFSET($AM$3,0,0,'Données projet'!$E$10+1,1))-AVERAGE(OFFSET($H$3,0,0,'Données projet'!$E$10+1,1))</f>
        <v>361.06925636707814</v>
      </c>
      <c r="AO13" s="60">
        <f t="shared" si="36"/>
        <v>201.44775212076888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8.5743589743589759</v>
      </c>
      <c r="BD13" s="13">
        <f>IF('Données projet'!$A$88&gt;35,BD12+BC13-BL12,IF(A13&lt;'Données projet'!$A$88,$BA$205^A13,IF(A13='Données projet'!$A$88,'Données projet'!$B$88,BD12+BC13-BL12)))</f>
        <v>11.857959952244427</v>
      </c>
      <c r="BE13" s="14">
        <f>BD13*VLOOKUP('Données projet'!$B$11,Paramètres!$A$1:$I$89,3,0)*VLOOKUP('Données projet'!$B$11,Paramètres!$A$1:$I$89,5,0)</f>
        <v>6.6285996133046341</v>
      </c>
      <c r="BF13" s="14">
        <f t="shared" si="37"/>
        <v>2.4510961962647757</v>
      </c>
      <c r="BG13" s="22">
        <f t="shared" si="7"/>
        <v>15.813803535000055</v>
      </c>
      <c r="BH13" s="60">
        <f t="shared" si="8"/>
        <v>309.14713686833335</v>
      </c>
      <c r="BI13" s="60">
        <f ca="1">AVERAGE(OFFSET($BH$3,0,0,'Données projet'!$E$11+1,1))-AVERAGE(OFFSET($H$3,0,0,'Données projet'!$E$11+1,1))</f>
        <v>253.63061102077421</v>
      </c>
      <c r="BJ13" s="60">
        <f t="shared" si="38"/>
        <v>230.98056275369652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2.4666666666666668</v>
      </c>
      <c r="BY13" s="13">
        <f>IF('Données projet'!$A$114&gt;35,BY12+BX13-CG12,IF(A13&lt;'Données projet'!$A$114,$BV$205^A13,IF(A13='Données projet'!$A$114,'Données projet'!$B$114,BY12+BX13-CG12)))</f>
        <v>11.103702468586782</v>
      </c>
      <c r="BZ13" s="14">
        <f>BY13*VLOOKUP('Données projet'!$B$12,Paramètres!$A$1:$I$89,3,0)*VLOOKUP('Données projet'!$B$12,Paramètres!$A$1:$I$89,5,0)</f>
        <v>8.1412346499678296</v>
      </c>
      <c r="CA13" s="14">
        <f t="shared" si="39"/>
        <v>2.9392598989436851</v>
      </c>
      <c r="CB13" s="22">
        <f t="shared" si="10"/>
        <v>19.298528006020888</v>
      </c>
      <c r="CC13" s="60">
        <f t="shared" si="11"/>
        <v>312.6318613393542</v>
      </c>
      <c r="CD13" s="60">
        <f ca="1">AVERAGE(OFFSET($CC$3,0,0,'Données projet'!$E$12+1,1))-AVERAGE(OFFSET($H$3,0,0,'Données projet'!$E$12+1,1))</f>
        <v>216.97968518094325</v>
      </c>
      <c r="CE13" s="60">
        <f t="shared" si="40"/>
        <v>248.38190023108666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2.7777777777777777</v>
      </c>
      <c r="CT13" s="13">
        <f>IF('Données projet'!$A$140&gt;35,CT12+CS13-DB12,IF(A13&lt;'Données projet'!$A$140,$CQ$205^A13,IF(A13='Données projet'!$A$140,'Données projet'!$B$140,CT12+CS13-DB12)))</f>
        <v>12.018746419228403</v>
      </c>
      <c r="CU13" s="18">
        <f>CT13*VLOOKUP('Données projet'!$B$13,Paramètres!$A$1:$I$89,3,0)*VLOOKUP('Données projet'!$B$13,Paramètres!$A$1:$I$89,5,0)</f>
        <v>8.0621750980184128</v>
      </c>
      <c r="CV13" s="14">
        <f t="shared" si="41"/>
        <v>2.9140248559144633</v>
      </c>
      <c r="CW13" s="22">
        <f t="shared" si="13"/>
        <v>19.116881586433095</v>
      </c>
      <c r="CX13" s="60">
        <f t="shared" si="14"/>
        <v>312.45021491976638</v>
      </c>
      <c r="CY13" s="60">
        <f ca="1">AVERAGE(OFFSET($CX$3,0,0,'Données projet'!$E$13+1,1))-AVERAGE(OFFSET($H$3,0,0,'Données projet'!$E$13+1,1))</f>
        <v>199.36703853638392</v>
      </c>
      <c r="CZ13" s="60">
        <f t="shared" si="42"/>
        <v>145.15653612907363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8">
        <f t="shared" si="1"/>
        <v>306.04661462698317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0">
        <f t="shared" si="0"/>
        <v>310.1631503249921</v>
      </c>
      <c r="S14" s="60">
        <f ca="1">AVERAGE(OFFSET($R$3,0,0,'Données projet'!$E$9+1,1))-AVERAGE(OFFSET($H$3,0,0,'Données projet'!$E$9+1,1))</f>
        <v>314.4389771131751</v>
      </c>
      <c r="T14" s="60">
        <f t="shared" si="34"/>
        <v>176.7239677722049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0">
        <f t="shared" si="5"/>
        <v>312.12761643157052</v>
      </c>
      <c r="AN14" s="60">
        <f ca="1">AVERAGE(OFFSET($AM$3,0,0,'Données projet'!$E$10+1,1))-AVERAGE(OFFSET($H$3,0,0,'Données projet'!$E$10+1,1))</f>
        <v>361.06925636707814</v>
      </c>
      <c r="AO14" s="60">
        <f t="shared" si="36"/>
        <v>201.44775212076888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8.5743589743589759</v>
      </c>
      <c r="BD14" s="13">
        <f>IF('Données projet'!$A$88&gt;35,BD13+BC14-BL13,IF(A14&lt;'Données projet'!$A$88,$BA$205^A14,IF(A14='Données projet'!$A$88,'Données projet'!$B$88,BD13+BC14-BL13)))</f>
        <v>15.184866468321752</v>
      </c>
      <c r="BE14" s="14">
        <f>BD14*VLOOKUP('Données projet'!$B$11,Paramètres!$A$1:$I$89,3,0)*VLOOKUP('Données projet'!$B$11,Paramètres!$A$1:$I$89,5,0)</f>
        <v>8.4883403557918609</v>
      </c>
      <c r="BF14" s="14">
        <f t="shared" si="37"/>
        <v>3.0497193673907232</v>
      </c>
      <c r="BG14" s="22">
        <f t="shared" si="7"/>
        <v>20.095454017876332</v>
      </c>
      <c r="BH14" s="60">
        <f t="shared" si="8"/>
        <v>313.42878735120962</v>
      </c>
      <c r="BI14" s="60">
        <f ca="1">AVERAGE(OFFSET($BH$3,0,0,'Données projet'!$E$11+1,1))-AVERAGE(OFFSET($H$3,0,0,'Données projet'!$E$11+1,1))</f>
        <v>253.63061102077421</v>
      </c>
      <c r="BJ14" s="60">
        <f t="shared" si="38"/>
        <v>230.98056275369652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2.4666666666666668</v>
      </c>
      <c r="BY14" s="13">
        <f>IF('Données projet'!$A$114&gt;35,BY13+BX14-CG13,IF(A14&lt;'Données projet'!$A$114,$BV$205^A14,IF(A14='Données projet'!$A$114,'Données projet'!$B$114,BY13+BX14-CG13)))</f>
        <v>14.125850240977657</v>
      </c>
      <c r="BZ14" s="14">
        <f>BY14*VLOOKUP('Données projet'!$B$12,Paramètres!$A$1:$I$89,3,0)*VLOOKUP('Données projet'!$B$12,Paramètres!$A$1:$I$89,5,0)</f>
        <v>10.357073396684818</v>
      </c>
      <c r="CA14" s="14">
        <f t="shared" si="39"/>
        <v>3.6359301026893722</v>
      </c>
      <c r="CB14" s="22">
        <f t="shared" si="10"/>
        <v>24.371147761410047</v>
      </c>
      <c r="CC14" s="60">
        <f t="shared" si="11"/>
        <v>317.70448109474336</v>
      </c>
      <c r="CD14" s="60">
        <f ca="1">AVERAGE(OFFSET($CC$3,0,0,'Données projet'!$E$12+1,1))-AVERAGE(OFFSET($H$3,0,0,'Données projet'!$E$12+1,1))</f>
        <v>216.97968518094325</v>
      </c>
      <c r="CE14" s="60">
        <f t="shared" si="40"/>
        <v>248.38190023108666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2.7777777777777777</v>
      </c>
      <c r="CT14" s="13">
        <f>IF('Données projet'!$A$140&gt;35,CT13+CS14-DB13,IF(A14&lt;'Données projet'!$A$140,$CQ$205^A14,IF(A14='Données projet'!$A$140,'Données projet'!$B$140,CT13+CS14-DB13)))</f>
        <v>15.41150634461092</v>
      </c>
      <c r="CU14" s="18">
        <f>CT14*VLOOKUP('Données projet'!$B$13,Paramètres!$A$1:$I$89,3,0)*VLOOKUP('Données projet'!$B$13,Paramètres!$A$1:$I$89,5,0)</f>
        <v>10.338038455965005</v>
      </c>
      <c r="CV14" s="14">
        <f t="shared" si="41"/>
        <v>3.6300249355984251</v>
      </c>
      <c r="CW14" s="22">
        <f t="shared" si="13"/>
        <v>24.327710406972969</v>
      </c>
      <c r="CX14" s="60">
        <f t="shared" si="14"/>
        <v>317.6610437403063</v>
      </c>
      <c r="CY14" s="60">
        <f ca="1">AVERAGE(OFFSET($CX$3,0,0,'Données projet'!$E$13+1,1))-AVERAGE(OFFSET($H$3,0,0,'Données projet'!$E$13+1,1))</f>
        <v>199.36703853638392</v>
      </c>
      <c r="CZ14" s="60">
        <f t="shared" si="42"/>
        <v>145.15653612907363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8">
        <f t="shared" si="1"/>
        <v>307.1639122593399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0">
        <f t="shared" si="0"/>
        <v>313.50424573777804</v>
      </c>
      <c r="S15" s="60">
        <f ca="1">AVERAGE(OFFSET($R$3,0,0,'Données projet'!$E$9+1,1))-AVERAGE(OFFSET($H$3,0,0,'Données projet'!$E$9+1,1))</f>
        <v>314.4389771131751</v>
      </c>
      <c r="T15" s="60">
        <f t="shared" si="34"/>
        <v>176.7239677722049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0">
        <f t="shared" si="5"/>
        <v>315.85996837222763</v>
      </c>
      <c r="AN15" s="60">
        <f ca="1">AVERAGE(OFFSET($AM$3,0,0,'Données projet'!$E$10+1,1))-AVERAGE(OFFSET($H$3,0,0,'Données projet'!$E$10+1,1))</f>
        <v>361.06925636707814</v>
      </c>
      <c r="AO15" s="60">
        <f t="shared" si="36"/>
        <v>201.44775212076888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8.5743589743589759</v>
      </c>
      <c r="BD15" s="13">
        <f>IF('Données projet'!$A$88&gt;35,BD14+BC15-BL14,IF(A15&lt;'Données projet'!$A$88,$BA$205^A15,IF(A15='Données projet'!$A$88,'Données projet'!$B$88,BD14+BC15-BL14)))</f>
        <v>19.445180333664318</v>
      </c>
      <c r="BE15" s="14">
        <f>BD15*VLOOKUP('Données projet'!$B$11,Paramètres!$A$1:$I$89,3,0)*VLOOKUP('Données projet'!$B$11,Paramètres!$A$1:$I$89,5,0)</f>
        <v>10.869855806518354</v>
      </c>
      <c r="BF15" s="14">
        <f t="shared" si="37"/>
        <v>3.7945423088704313</v>
      </c>
      <c r="BG15" s="22">
        <f t="shared" si="7"/>
        <v>25.540493384302135</v>
      </c>
      <c r="BH15" s="60">
        <f t="shared" si="8"/>
        <v>318.87382671763544</v>
      </c>
      <c r="BI15" s="60">
        <f ca="1">AVERAGE(OFFSET($BH$3,0,0,'Données projet'!$E$11+1,1))-AVERAGE(OFFSET($H$3,0,0,'Données projet'!$E$11+1,1))</f>
        <v>253.63061102077421</v>
      </c>
      <c r="BJ15" s="60">
        <f t="shared" si="38"/>
        <v>230.98056275369652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2.4666666666666668</v>
      </c>
      <c r="BY15" s="13">
        <f>IF('Données projet'!$A$114&gt;35,BY14+BX15-CG14,IF(A15&lt;'Données projet'!$A$114,$BV$205^A15,IF(A15='Données projet'!$A$114,'Données projet'!$B$114,BY14+BX15-CG14)))</f>
        <v>17.970550417308221</v>
      </c>
      <c r="BZ15" s="14">
        <f>BY15*VLOOKUP('Données projet'!$B$12,Paramètres!$A$1:$I$89,3,0)*VLOOKUP('Données projet'!$B$12,Paramètres!$A$1:$I$89,5,0)</f>
        <v>13.176007565970389</v>
      </c>
      <c r="CA15" s="14">
        <f t="shared" si="39"/>
        <v>4.4977266952111856</v>
      </c>
      <c r="CB15" s="22">
        <f t="shared" si="10"/>
        <v>30.781753838224574</v>
      </c>
      <c r="CC15" s="60">
        <f t="shared" si="11"/>
        <v>324.11508717155789</v>
      </c>
      <c r="CD15" s="60">
        <f ca="1">AVERAGE(OFFSET($CC$3,0,0,'Données projet'!$E$12+1,1))-AVERAGE(OFFSET($H$3,0,0,'Données projet'!$E$12+1,1))</f>
        <v>216.97968518094325</v>
      </c>
      <c r="CE15" s="60">
        <f t="shared" si="40"/>
        <v>248.38190023108666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2.7777777777777777</v>
      </c>
      <c r="CT15" s="13">
        <f>IF('Données projet'!$A$140&gt;35,CT14+CS15-DB14,IF(A15&lt;'Données projet'!$A$140,$CQ$205^A15,IF(A15='Données projet'!$A$140,'Données projet'!$B$140,CT14+CS15-DB14)))</f>
        <v>19.762005081494262</v>
      </c>
      <c r="CU15" s="18">
        <f>CT15*VLOOKUP('Données projet'!$B$13,Paramètres!$A$1:$I$89,3,0)*VLOOKUP('Données projet'!$B$13,Paramètres!$A$1:$I$89,5,0)</f>
        <v>13.256353008666352</v>
      </c>
      <c r="CV15" s="14">
        <f t="shared" si="41"/>
        <v>4.5219521742655813</v>
      </c>
      <c r="CW15" s="22">
        <f t="shared" si="13"/>
        <v>30.963881526939787</v>
      </c>
      <c r="CX15" s="60">
        <f t="shared" si="14"/>
        <v>324.29721486027313</v>
      </c>
      <c r="CY15" s="60">
        <f ca="1">AVERAGE(OFFSET($CX$3,0,0,'Données projet'!$E$13+1,1))-AVERAGE(OFFSET($H$3,0,0,'Données projet'!$E$13+1,1))</f>
        <v>199.36703853638392</v>
      </c>
      <c r="CZ15" s="60">
        <f t="shared" si="42"/>
        <v>145.15653612907363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8">
        <f t="shared" si="1"/>
        <v>308.27850800940064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0">
        <f t="shared" si="0"/>
        <v>317.51084751837828</v>
      </c>
      <c r="S16" s="60">
        <f ca="1">AVERAGE(OFFSET($R$3,0,0,'Données projet'!$E$9+1,1))-AVERAGE(OFFSET($H$3,0,0,'Données projet'!$E$9+1,1))</f>
        <v>314.4389771131751</v>
      </c>
      <c r="T16" s="60">
        <f t="shared" si="34"/>
        <v>176.7239677722049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0">
        <f t="shared" si="5"/>
        <v>320.33599560186519</v>
      </c>
      <c r="AN16" s="60">
        <f ca="1">AVERAGE(OFFSET($AM$3,0,0,'Données projet'!$E$10+1,1))-AVERAGE(OFFSET($H$3,0,0,'Données projet'!$E$10+1,1))</f>
        <v>361.06925636707814</v>
      </c>
      <c r="AO16" s="60">
        <f t="shared" si="36"/>
        <v>201.44775212076888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8.5743589743589759</v>
      </c>
      <c r="BD16" s="13">
        <f>IF('Données projet'!$A$88&gt;35,BD15+BC16-BL15,IF(A16&lt;'Données projet'!$A$88,$BA$205^A16,IF(A16='Données projet'!$A$88,'Données projet'!$B$88,BD15+BC16-BL15)))</f>
        <v>24.900781248062909</v>
      </c>
      <c r="BE16" s="14">
        <f>BD16*VLOOKUP('Données projet'!$B$11,Paramètres!$A$1:$I$89,3,0)*VLOOKUP('Données projet'!$B$11,Paramètres!$A$1:$I$89,5,0)</f>
        <v>13.919536717667166</v>
      </c>
      <c r="BF16" s="14">
        <f t="shared" si="37"/>
        <v>4.7212709102893111</v>
      </c>
      <c r="BG16" s="22">
        <f t="shared" si="7"/>
        <v>32.466073285357531</v>
      </c>
      <c r="BH16" s="60">
        <f t="shared" si="8"/>
        <v>325.79940661869085</v>
      </c>
      <c r="BI16" s="60">
        <f ca="1">AVERAGE(OFFSET($BH$3,0,0,'Données projet'!$E$11+1,1))-AVERAGE(OFFSET($H$3,0,0,'Données projet'!$E$11+1,1))</f>
        <v>253.63061102077421</v>
      </c>
      <c r="BJ16" s="60">
        <f t="shared" si="38"/>
        <v>230.98056275369652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2.4666666666666668</v>
      </c>
      <c r="BY16" s="13">
        <f>IF('Données projet'!$A$114&gt;35,BY15+BX16-CG15,IF(A16&lt;'Données projet'!$A$114,$BV$205^A16,IF(A16='Données projet'!$A$114,'Données projet'!$B$114,BY15+BX16-CG15)))</f>
        <v>22.86168101684942</v>
      </c>
      <c r="BZ16" s="14">
        <f>BY16*VLOOKUP('Données projet'!$B$12,Paramètres!$A$1:$I$89,3,0)*VLOOKUP('Données projet'!$B$12,Paramètres!$A$1:$I$89,5,0)</f>
        <v>16.762184521553994</v>
      </c>
      <c r="CA16" s="14">
        <f t="shared" si="39"/>
        <v>5.5637883164619248</v>
      </c>
      <c r="CB16" s="22">
        <f t="shared" si="10"/>
        <v>38.884402692877721</v>
      </c>
      <c r="CC16" s="60">
        <f t="shared" si="11"/>
        <v>332.21773602621101</v>
      </c>
      <c r="CD16" s="60">
        <f ca="1">AVERAGE(OFFSET($CC$3,0,0,'Données projet'!$E$12+1,1))-AVERAGE(OFFSET($H$3,0,0,'Données projet'!$E$12+1,1))</f>
        <v>216.97968518094325</v>
      </c>
      <c r="CE16" s="60">
        <f t="shared" si="40"/>
        <v>248.38190023108666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2.7777777777777777</v>
      </c>
      <c r="CT16" s="13">
        <f>IF('Données projet'!$A$140&gt;35,CT15+CS16-DB15,IF(A16&lt;'Données projet'!$A$140,$CQ$205^A16,IF(A16='Données projet'!$A$140,'Données projet'!$B$140,CT15+CS16-DB15)))</f>
        <v>25.340601762628324</v>
      </c>
      <c r="CU16" s="18">
        <f>CT16*VLOOKUP('Données projet'!$B$13,Paramètres!$A$1:$I$89,3,0)*VLOOKUP('Données projet'!$B$13,Paramètres!$A$1:$I$89,5,0)</f>
        <v>16.998475662371082</v>
      </c>
      <c r="CV16" s="14">
        <f t="shared" si="41"/>
        <v>5.6330333342391405</v>
      </c>
      <c r="CW16" s="22">
        <f t="shared" si="13"/>
        <v>39.416544835762807</v>
      </c>
      <c r="CX16" s="60">
        <f t="shared" si="14"/>
        <v>332.74987816909612</v>
      </c>
      <c r="CY16" s="60">
        <f ca="1">AVERAGE(OFFSET($CX$3,0,0,'Données projet'!$E$13+1,1))-AVERAGE(OFFSET($H$3,0,0,'Données projet'!$E$13+1,1))</f>
        <v>199.36703853638392</v>
      </c>
      <c r="CZ16" s="60">
        <f t="shared" si="42"/>
        <v>145.15653612907363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8">
        <f t="shared" si="1"/>
        <v>309.39063334516135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0">
        <f t="shared" si="0"/>
        <v>322.31592994573543</v>
      </c>
      <c r="S17" s="60">
        <f ca="1">AVERAGE(OFFSET($R$3,0,0,'Données projet'!$E$9+1,1))-AVERAGE(OFFSET($H$3,0,0,'Données projet'!$E$9+1,1))</f>
        <v>314.4389771131751</v>
      </c>
      <c r="T17" s="60">
        <f t="shared" si="34"/>
        <v>176.7239677722049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0">
        <f t="shared" si="5"/>
        <v>325.70433484786309</v>
      </c>
      <c r="AN17" s="60">
        <f ca="1">AVERAGE(OFFSET($AM$3,0,0,'Données projet'!$E$10+1,1))-AVERAGE(OFFSET($H$3,0,0,'Données projet'!$E$10+1,1))</f>
        <v>361.06925636707814</v>
      </c>
      <c r="AO17" s="60">
        <f t="shared" si="36"/>
        <v>201.44775212076888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8.5743589743589759</v>
      </c>
      <c r="BD17" s="13">
        <f>IF('Données projet'!$A$88&gt;35,BD16+BC17-BL16,IF(A17&lt;'Données projet'!$A$88,$BA$205^A17,IF(A17='Données projet'!$A$88,'Données projet'!$B$88,BD16+BC17-BL16)))</f>
        <v>31.88702270302047</v>
      </c>
      <c r="BE17" s="14">
        <f>BD17*VLOOKUP('Données projet'!$B$11,Paramètres!$A$1:$I$89,3,0)*VLOOKUP('Données projet'!$B$11,Paramètres!$A$1:$I$89,5,0)</f>
        <v>17.824845690988443</v>
      </c>
      <c r="BF17" s="14">
        <f t="shared" si="37"/>
        <v>5.8743313933372665</v>
      </c>
      <c r="BG17" s="22">
        <f t="shared" si="7"/>
        <v>41.27606675520061</v>
      </c>
      <c r="BH17" s="60">
        <f t="shared" si="8"/>
        <v>334.6094000885339</v>
      </c>
      <c r="BI17" s="60">
        <f ca="1">AVERAGE(OFFSET($BH$3,0,0,'Données projet'!$E$11+1,1))-AVERAGE(OFFSET($H$3,0,0,'Données projet'!$E$11+1,1))</f>
        <v>253.63061102077421</v>
      </c>
      <c r="BJ17" s="60">
        <f t="shared" si="38"/>
        <v>230.98056275369652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2.4666666666666668</v>
      </c>
      <c r="BY17" s="13">
        <f>IF('Données projet'!$A$114&gt;35,BY16+BX17-CG16,IF(A17&lt;'Données projet'!$A$114,$BV$205^A17,IF(A17='Données projet'!$A$114,'Données projet'!$B$114,BY16+BX17-CG16)))</f>
        <v>29.084054009429774</v>
      </c>
      <c r="BZ17" s="14">
        <f>BY17*VLOOKUP('Données projet'!$B$12,Paramètres!$A$1:$I$89,3,0)*VLOOKUP('Données projet'!$B$12,Paramètres!$A$1:$I$89,5,0)</f>
        <v>21.324428399713909</v>
      </c>
      <c r="CA17" s="14">
        <f t="shared" si="39"/>
        <v>6.8825303376831179</v>
      </c>
      <c r="CB17" s="22">
        <f t="shared" si="10"/>
        <v>49.127119800966483</v>
      </c>
      <c r="CC17" s="60">
        <f t="shared" si="11"/>
        <v>342.46045313429977</v>
      </c>
      <c r="CD17" s="60">
        <f ca="1">AVERAGE(OFFSET($CC$3,0,0,'Données projet'!$E$12+1,1))-AVERAGE(OFFSET($H$3,0,0,'Données projet'!$E$12+1,1))</f>
        <v>216.97968518094325</v>
      </c>
      <c r="CE17" s="60">
        <f t="shared" si="40"/>
        <v>248.38190023108666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2.7777777777777777</v>
      </c>
      <c r="CT17" s="13">
        <f>IF('Données projet'!$A$140&gt;35,CT16+CS17-DB16,IF(A17&lt;'Données projet'!$A$140,$CQ$205^A17,IF(A17='Données projet'!$A$140,'Données projet'!$B$140,CT16+CS17-DB16)))</f>
        <v>32.493974930380247</v>
      </c>
      <c r="CU17" s="18">
        <f>CT17*VLOOKUP('Données projet'!$B$13,Paramètres!$A$1:$I$89,3,0)*VLOOKUP('Données projet'!$B$13,Paramètres!$A$1:$I$89,5,0)</f>
        <v>21.796958383299071</v>
      </c>
      <c r="CV17" s="14">
        <f t="shared" si="41"/>
        <v>7.0171163519222377</v>
      </c>
      <c r="CW17" s="22">
        <f t="shared" si="13"/>
        <v>50.184513497177107</v>
      </c>
      <c r="CX17" s="60">
        <f t="shared" si="14"/>
        <v>343.51784683051039</v>
      </c>
      <c r="CY17" s="60">
        <f ca="1">AVERAGE(OFFSET($CX$3,0,0,'Données projet'!$E$13+1,1))-AVERAGE(OFFSET($H$3,0,0,'Données projet'!$E$13+1,1))</f>
        <v>199.36703853638392</v>
      </c>
      <c r="CZ17" s="60">
        <f t="shared" si="42"/>
        <v>145.15653612907363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8">
        <f t="shared" si="1"/>
        <v>310.50048479403728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0">
        <f t="shared" si="0"/>
        <v>328.07911334160997</v>
      </c>
      <c r="S18" s="60">
        <f ca="1">AVERAGE(OFFSET($R$3,0,0,'Données projet'!$E$9+1,1))-AVERAGE(OFFSET($H$3,0,0,'Données projet'!$E$9+1,1))</f>
        <v>314.4389771131751</v>
      </c>
      <c r="T18" s="60">
        <f t="shared" si="34"/>
        <v>176.7239677722049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0">
        <f t="shared" si="5"/>
        <v>332.14341544631719</v>
      </c>
      <c r="AN18" s="60">
        <f ca="1">AVERAGE(OFFSET($AM$3,0,0,'Données projet'!$E$10+1,1))-AVERAGE(OFFSET($H$3,0,0,'Données projet'!$E$10+1,1))</f>
        <v>361.06925636707814</v>
      </c>
      <c r="AO18" s="60">
        <f t="shared" si="36"/>
        <v>201.44775212076888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8.5743589743589759</v>
      </c>
      <c r="BD18" s="13">
        <f>IF('Données projet'!$A$88&gt;35,BD17+BC18-BL17,IF(A18&lt;'Données projet'!$A$88,$BA$205^A18,IF(A18='Données projet'!$A$88,'Données projet'!$B$88,BD17+BC18-BL17)))</f>
        <v>40.833346019697316</v>
      </c>
      <c r="BE18" s="14">
        <f>BD18*VLOOKUP('Données projet'!$B$11,Paramètres!$A$1:$I$89,3,0)*VLOOKUP('Données projet'!$B$11,Paramètres!$A$1:$I$89,5,0)</f>
        <v>22.825840425010803</v>
      </c>
      <c r="BF18" s="14">
        <f t="shared" si="37"/>
        <v>7.3090000498686072</v>
      </c>
      <c r="BG18" s="22">
        <f t="shared" si="7"/>
        <v>52.484847160414972</v>
      </c>
      <c r="BH18" s="60">
        <f t="shared" si="8"/>
        <v>345.81818049374829</v>
      </c>
      <c r="BI18" s="60">
        <f ca="1">AVERAGE(OFFSET($BH$3,0,0,'Données projet'!$E$11+1,1))-AVERAGE(OFFSET($H$3,0,0,'Données projet'!$E$11+1,1))</f>
        <v>253.63061102077421</v>
      </c>
      <c r="BJ18" s="60">
        <f t="shared" si="38"/>
        <v>230.98056275369652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37</v>
      </c>
      <c r="BW18" s="13">
        <f>VLOOKUP(A18,'Données projet'!$A$113:$I$133,9,0)</f>
        <v>2.4666666666666668</v>
      </c>
      <c r="BX18" s="13">
        <f t="array" ref="BX18">INDEX(BW:BW,MIN(IF(ISNUMBER(BW18:BW214),ROW(BW18:BW214),"")))</f>
        <v>2.4666666666666668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projet'!$B$12,Paramètres!$A$1:$I$89,3,0)*VLOOKUP('Données projet'!$B$12,Paramètres!$A$1:$I$89,5,0)</f>
        <v>27.128400000000003</v>
      </c>
      <c r="CA18" s="14">
        <f t="shared" si="39"/>
        <v>8.5138436537878839</v>
      </c>
      <c r="CB18" s="22">
        <f t="shared" si="10"/>
        <v>62.076907697013901</v>
      </c>
      <c r="CC18" s="60">
        <f t="shared" si="11"/>
        <v>355.41024103034721</v>
      </c>
      <c r="CD18" s="60">
        <f ca="1">AVERAGE(OFFSET($CC$3,0,0,'Données projet'!$E$12+1,1))-AVERAGE(OFFSET($H$3,0,0,'Données projet'!$E$12+1,1))</f>
        <v>216.97968518094325</v>
      </c>
      <c r="CE18" s="60">
        <f t="shared" si="40"/>
        <v>248.38190023108666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41.666666666666664</v>
      </c>
      <c r="CR18" s="13">
        <f>VLOOKUP(A18,'Données projet'!$A$139:$I$159,9,0)</f>
        <v>2.7777777777777777</v>
      </c>
      <c r="CS18" s="13">
        <f t="array" ref="CS18">INDEX(CR:CR,MIN(IF(ISNUMBER(CR18:CR214),ROW(CR18:CR214),"")))</f>
        <v>2.7777777777777777</v>
      </c>
      <c r="CT18" s="13">
        <f>IF('Données projet'!$A$140&gt;35,CT17+CS18-DB17,IF(A18&lt;'Données projet'!$A$140,$CQ$205^A18,IF(A18='Données projet'!$A$140,'Données projet'!$B$140,CT17+CS18-DB17)))</f>
        <v>41.666666666666664</v>
      </c>
      <c r="CU18" s="18">
        <f>CT18*VLOOKUP('Données projet'!$B$13,Paramètres!$A$1:$I$89,3,0)*VLOOKUP('Données projet'!$B$13,Paramètres!$A$1:$I$89,5,0)</f>
        <v>27.949999999999996</v>
      </c>
      <c r="CV18" s="14">
        <f t="shared" si="41"/>
        <v>8.7412800483747386</v>
      </c>
      <c r="CW18" s="22">
        <f t="shared" si="13"/>
        <v>63.903979417585994</v>
      </c>
      <c r="CX18" s="60">
        <f t="shared" si="14"/>
        <v>357.23731275091933</v>
      </c>
      <c r="CY18" s="60">
        <f ca="1">AVERAGE(OFFSET($CX$3,0,0,'Données projet'!$E$13+1,1))-AVERAGE(OFFSET($H$3,0,0,'Données projet'!$E$13+1,1))</f>
        <v>199.36703853638392</v>
      </c>
      <c r="CZ18" s="60">
        <f t="shared" si="42"/>
        <v>145.15653612907363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8">
        <f t="shared" si="1"/>
        <v>311.60823119732669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0">
        <f t="shared" si="0"/>
        <v>334.992017673269</v>
      </c>
      <c r="S19" s="60">
        <f ca="1">AVERAGE(OFFSET($R$3,0,0,'Données projet'!$E$9+1,1))-AVERAGE(OFFSET($H$3,0,0,'Données projet'!$E$9+1,1))</f>
        <v>314.4389771131751</v>
      </c>
      <c r="T19" s="60">
        <f t="shared" si="34"/>
        <v>176.7239677722049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0">
        <f t="shared" si="5"/>
        <v>339.8674466201702</v>
      </c>
      <c r="AN19" s="60">
        <f ca="1">AVERAGE(OFFSET($AM$3,0,0,'Données projet'!$E$10+1,1))-AVERAGE(OFFSET($H$3,0,0,'Données projet'!$E$10+1,1))</f>
        <v>361.06925636707814</v>
      </c>
      <c r="AO19" s="60">
        <f t="shared" si="36"/>
        <v>201.44775212076888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8.5743589743589759</v>
      </c>
      <c r="BD19" s="13">
        <f>IF('Données projet'!$A$88&gt;35,BD18+BC19-BL18,IF(A19&lt;'Données projet'!$A$88,$BA$205^A19,IF(A19='Données projet'!$A$88,'Données projet'!$B$88,BD18+BC19-BL18)))</f>
        <v>52.289677926136108</v>
      </c>
      <c r="BE19" s="14">
        <f>BD19*VLOOKUP('Données projet'!$B$11,Paramètres!$A$1:$I$89,3,0)*VLOOKUP('Données projet'!$B$11,Paramètres!$A$1:$I$89,5,0)</f>
        <v>29.229929960710084</v>
      </c>
      <c r="BF19" s="14">
        <f t="shared" si="37"/>
        <v>9.0940531188911979</v>
      </c>
      <c r="BG19" s="22">
        <f t="shared" si="7"/>
        <v>66.747603863638901</v>
      </c>
      <c r="BH19" s="60">
        <f t="shared" si="8"/>
        <v>360.08093719697223</v>
      </c>
      <c r="BI19" s="60">
        <f ca="1">AVERAGE(OFFSET($BH$3,0,0,'Données projet'!$E$11+1,1))-AVERAGE(OFFSET($H$3,0,0,'Données projet'!$E$11+1,1))</f>
        <v>253.63061102077421</v>
      </c>
      <c r="BJ19" s="60">
        <f t="shared" si="38"/>
        <v>230.98056275369652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48.6</v>
      </c>
      <c r="BZ19" s="14">
        <f>BY19*VLOOKUP('Données projet'!$B$12,Paramètres!$A$1:$I$89,3,0)*VLOOKUP('Données projet'!$B$12,Paramètres!$A$1:$I$89,5,0)</f>
        <v>35.633519999999997</v>
      </c>
      <c r="CA19" s="14">
        <f t="shared" si="39"/>
        <v>10.833640868297282</v>
      </c>
      <c r="CB19" s="22">
        <f t="shared" si="10"/>
        <v>80.930305178951087</v>
      </c>
      <c r="CC19" s="60">
        <f t="shared" si="11"/>
        <v>374.26363851228439</v>
      </c>
      <c r="CD19" s="60">
        <f ca="1">AVERAGE(OFFSET($CC$3,0,0,'Données projet'!$E$12+1,1))-AVERAGE(OFFSET($H$3,0,0,'Données projet'!$E$12+1,1))</f>
        <v>216.97968518094325</v>
      </c>
      <c r="CE19" s="60">
        <f t="shared" si="40"/>
        <v>248.38190023108666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7.4358974358974352</v>
      </c>
      <c r="CT19" s="13">
        <f>IF('Données projet'!$A$140&gt;35,CT18+CS19-DB18,IF(A19&lt;'Données projet'!$A$140,$CQ$205^A19,IF(A19='Données projet'!$A$140,'Données projet'!$B$140,CT18+CS19-DB18)))</f>
        <v>49.102564102564102</v>
      </c>
      <c r="CU19" s="18">
        <f>CT19*VLOOKUP('Données projet'!$B$13,Paramètres!$A$1:$I$89,3,0)*VLOOKUP('Données projet'!$B$13,Paramètres!$A$1:$I$89,5,0)</f>
        <v>32.938000000000002</v>
      </c>
      <c r="CV19" s="14">
        <f t="shared" si="41"/>
        <v>10.106233613312263</v>
      </c>
      <c r="CW19" s="22">
        <f t="shared" si="13"/>
        <v>74.968706876518851</v>
      </c>
      <c r="CX19" s="60">
        <f t="shared" si="14"/>
        <v>368.30204020985218</v>
      </c>
      <c r="CY19" s="60">
        <f ca="1">AVERAGE(OFFSET($CX$3,0,0,'Données projet'!$E$13+1,1))-AVERAGE(OFFSET($H$3,0,0,'Données projet'!$E$13+1,1))</f>
        <v>199.36703853638392</v>
      </c>
      <c r="CZ19" s="60">
        <f t="shared" si="42"/>
        <v>145.15653612907363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8">
        <f t="shared" si="1"/>
        <v>312.7140190982978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0">
        <f t="shared" si="0"/>
        <v>343.28469438075035</v>
      </c>
      <c r="S20" s="60">
        <f ca="1">AVERAGE(OFFSET($R$3,0,0,'Données projet'!$E$9+1,1))-AVERAGE(OFFSET($H$3,0,0,'Données projet'!$E$9+1,1))</f>
        <v>314.4389771131751</v>
      </c>
      <c r="T20" s="60">
        <f t="shared" si="34"/>
        <v>176.7239677722049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0">
        <f t="shared" si="5"/>
        <v>349.13361087728867</v>
      </c>
      <c r="AN20" s="60">
        <f ca="1">AVERAGE(OFFSET($AM$3,0,0,'Données projet'!$E$10+1,1))-AVERAGE(OFFSET($H$3,0,0,'Données projet'!$E$10+1,1))</f>
        <v>361.06925636707814</v>
      </c>
      <c r="AO20" s="60">
        <f t="shared" si="36"/>
        <v>201.44775212076888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8.5743589743589759</v>
      </c>
      <c r="BD20" s="13">
        <f>IF('Données projet'!$A$88&gt;35,BD19+BC20-BL19,IF(A20&lt;'Données projet'!$A$88,$BA$205^A20,IF(A20='Données projet'!$A$88,'Données projet'!$B$88,BD19+BC20-BL19)))</f>
        <v>66.960234321725892</v>
      </c>
      <c r="BE20" s="14">
        <f>BD20*VLOOKUP('Données projet'!$B$11,Paramètres!$A$1:$I$89,3,0)*VLOOKUP('Données projet'!$B$11,Paramètres!$A$1:$I$89,5,0)</f>
        <v>37.430770985844774</v>
      </c>
      <c r="BF20" s="14">
        <f t="shared" si="37"/>
        <v>11.315063834306788</v>
      </c>
      <c r="BG20" s="22">
        <f t="shared" si="7"/>
        <v>84.898995645097301</v>
      </c>
      <c r="BH20" s="60">
        <f t="shared" si="8"/>
        <v>378.23232897843059</v>
      </c>
      <c r="BI20" s="60">
        <f ca="1">AVERAGE(OFFSET($BH$3,0,0,'Données projet'!$E$11+1,1))-AVERAGE(OFFSET($H$3,0,0,'Données projet'!$E$11+1,1))</f>
        <v>253.63061102077421</v>
      </c>
      <c r="BJ20" s="60">
        <f t="shared" si="38"/>
        <v>230.98056275369652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60.2</v>
      </c>
      <c r="BZ20" s="14">
        <f>BY20*VLOOKUP('Données projet'!$B$12,Paramètres!$A$1:$I$89,3,0)*VLOOKUP('Données projet'!$B$12,Paramètres!$A$1:$I$89,5,0)</f>
        <v>44.138640000000002</v>
      </c>
      <c r="CA20" s="14">
        <f t="shared" si="39"/>
        <v>13.089229634046784</v>
      </c>
      <c r="CB20" s="22">
        <f t="shared" si="10"/>
        <v>99.671872945964807</v>
      </c>
      <c r="CC20" s="60">
        <f t="shared" si="11"/>
        <v>393.00520627929814</v>
      </c>
      <c r="CD20" s="60">
        <f ca="1">AVERAGE(OFFSET($CC$3,0,0,'Données projet'!$E$12+1,1))-AVERAGE(OFFSET($H$3,0,0,'Données projet'!$E$12+1,1))</f>
        <v>216.97968518094325</v>
      </c>
      <c r="CE20" s="60">
        <f t="shared" si="40"/>
        <v>248.38190023108666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7.4358974358974352</v>
      </c>
      <c r="CT20" s="13">
        <f>IF('Données projet'!$A$140&gt;35,CT19+CS20-DB19,IF(A20&lt;'Données projet'!$A$140,$CQ$205^A20,IF(A20='Données projet'!$A$140,'Données projet'!$B$140,CT19+CS20-DB19)))</f>
        <v>56.53846153846154</v>
      </c>
      <c r="CU20" s="18">
        <f>CT20*VLOOKUP('Données projet'!$B$13,Paramètres!$A$1:$I$89,3,0)*VLOOKUP('Données projet'!$B$13,Paramètres!$A$1:$I$89,5,0)</f>
        <v>37.926000000000002</v>
      </c>
      <c r="CV20" s="14">
        <f t="shared" si="41"/>
        <v>11.447241207652391</v>
      </c>
      <c r="CW20" s="22">
        <f t="shared" si="13"/>
        <v>85.991728436661262</v>
      </c>
      <c r="CX20" s="60">
        <f t="shared" si="14"/>
        <v>379.32506176999459</v>
      </c>
      <c r="CY20" s="60">
        <f ca="1">AVERAGE(OFFSET($CX$3,0,0,'Données projet'!$E$13+1,1))-AVERAGE(OFFSET($H$3,0,0,'Données projet'!$E$13+1,1))</f>
        <v>199.36703853638392</v>
      </c>
      <c r="CZ20" s="60">
        <f t="shared" si="42"/>
        <v>145.15653612907363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8">
        <f t="shared" si="1"/>
        <v>313.81797682591258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0">
        <f t="shared" si="0"/>
        <v>353.23335406291386</v>
      </c>
      <c r="S21" s="60">
        <f ca="1">AVERAGE(OFFSET($R$3,0,0,'Données projet'!$E$9+1,1))-AVERAGE(OFFSET($H$3,0,0,'Données projet'!$E$9+1,1))</f>
        <v>314.4389771131751</v>
      </c>
      <c r="T21" s="60">
        <f t="shared" si="34"/>
        <v>176.7239677722049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0">
        <f t="shared" si="5"/>
        <v>360.2507070275775</v>
      </c>
      <c r="AN21" s="60">
        <f ca="1">AVERAGE(OFFSET($AM$3,0,0,'Données projet'!$E$10+1,1))-AVERAGE(OFFSET($H$3,0,0,'Données projet'!$E$10+1,1))</f>
        <v>361.06925636707814</v>
      </c>
      <c r="AO21" s="60">
        <f t="shared" si="36"/>
        <v>201.44775212076888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8.5743589743589759</v>
      </c>
      <c r="BD21" s="13">
        <f>IF('Données projet'!$A$88&gt;35,BD20+BC21-BL20,IF(A21&lt;'Données projet'!$A$88,$BA$205^A21,IF(A21='Données projet'!$A$88,'Données projet'!$B$88,BD20+BC21-BL20)))</f>
        <v>85.746808132075927</v>
      </c>
      <c r="BE21" s="14">
        <f>BD21*VLOOKUP('Données projet'!$B$11,Paramètres!$A$1:$I$89,3,0)*VLOOKUP('Données projet'!$B$11,Paramètres!$A$1:$I$89,5,0)</f>
        <v>47.932465745830442</v>
      </c>
      <c r="BF21" s="14">
        <f t="shared" si="37"/>
        <v>14.078504699788656</v>
      </c>
      <c r="BG21" s="22">
        <f t="shared" si="7"/>
        <v>108.00244019278658</v>
      </c>
      <c r="BH21" s="60">
        <f t="shared" si="8"/>
        <v>401.33577352611991</v>
      </c>
      <c r="BI21" s="60">
        <f ca="1">AVERAGE(OFFSET($BH$3,0,0,'Données projet'!$E$11+1,1))-AVERAGE(OFFSET($H$3,0,0,'Données projet'!$E$11+1,1))</f>
        <v>253.63061102077421</v>
      </c>
      <c r="BJ21" s="60">
        <f t="shared" si="38"/>
        <v>230.98056275369652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71.8</v>
      </c>
      <c r="BZ21" s="14">
        <f>BY21*VLOOKUP('Données projet'!$B$12,Paramètres!$A$1:$I$89,3,0)*VLOOKUP('Données projet'!$B$12,Paramètres!$A$1:$I$89,5,0)</f>
        <v>52.643759999999993</v>
      </c>
      <c r="CA21" s="14">
        <f t="shared" si="39"/>
        <v>15.294461344625528</v>
      </c>
      <c r="CB21" s="22">
        <f t="shared" si="10"/>
        <v>118.32573550855612</v>
      </c>
      <c r="CC21" s="60">
        <f t="shared" si="11"/>
        <v>411.65906884188945</v>
      </c>
      <c r="CD21" s="60">
        <f ca="1">AVERAGE(OFFSET($CC$3,0,0,'Données projet'!$E$12+1,1))-AVERAGE(OFFSET($H$3,0,0,'Données projet'!$E$12+1,1))</f>
        <v>216.97968518094325</v>
      </c>
      <c r="CE21" s="60">
        <f t="shared" si="40"/>
        <v>248.38190023108666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7.4358974358974352</v>
      </c>
      <c r="CT21" s="13">
        <f>IF('Données projet'!$A$140&gt;35,CT20+CS21-DB20,IF(A21&lt;'Données projet'!$A$140,$CQ$205^A21,IF(A21='Données projet'!$A$140,'Données projet'!$B$140,CT20+CS21-DB20)))</f>
        <v>63.974358974358978</v>
      </c>
      <c r="CU21" s="18">
        <f>CT21*VLOOKUP('Données projet'!$B$13,Paramètres!$A$1:$I$89,3,0)*VLOOKUP('Données projet'!$B$13,Paramètres!$A$1:$I$89,5,0)</f>
        <v>42.914000000000001</v>
      </c>
      <c r="CV21" s="14">
        <f t="shared" si="41"/>
        <v>12.767813741258394</v>
      </c>
      <c r="CW21" s="22">
        <f t="shared" si="13"/>
        <v>96.979158932691703</v>
      </c>
      <c r="CX21" s="60">
        <f t="shared" si="14"/>
        <v>390.312492266025</v>
      </c>
      <c r="CY21" s="60">
        <f ca="1">AVERAGE(OFFSET($CX$3,0,0,'Données projet'!$E$13+1,1))-AVERAGE(OFFSET($H$3,0,0,'Données projet'!$E$13+1,1))</f>
        <v>199.36703853638392</v>
      </c>
      <c r="CZ21" s="60">
        <f t="shared" si="42"/>
        <v>145.15653612907363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8">
        <f t="shared" si="1"/>
        <v>314.92021764503886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0">
        <f t="shared" si="0"/>
        <v>365.16965167242461</v>
      </c>
      <c r="S22" s="60">
        <f ca="1">AVERAGE(OFFSET($R$3,0,0,'Données projet'!$E$9+1,1))-AVERAGE(OFFSET($H$3,0,0,'Données projet'!$E$9+1,1))</f>
        <v>314.4389771131751</v>
      </c>
      <c r="T22" s="60">
        <f t="shared" si="34"/>
        <v>176.7239677722049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0">
        <f t="shared" si="5"/>
        <v>373.5895355743661</v>
      </c>
      <c r="AN22" s="60">
        <f ca="1">AVERAGE(OFFSET($AM$3,0,0,'Données projet'!$E$10+1,1))-AVERAGE(OFFSET($H$3,0,0,'Données projet'!$E$10+1,1))</f>
        <v>361.06925636707814</v>
      </c>
      <c r="AO22" s="60">
        <f t="shared" si="36"/>
        <v>201.44775212076888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8.5743589743589759</v>
      </c>
      <c r="BD22" s="13">
        <f>IF('Données projet'!$A$88&gt;35,BD21+BC22-BL21,IF(A22&lt;'Données projet'!$A$88,$BA$205^A22,IF(A22='Données projet'!$A$88,'Données projet'!$B$88,BD21+BC22-BL21)))</f>
        <v>109.80420214051502</v>
      </c>
      <c r="BE22" s="14">
        <f>BD22*VLOOKUP('Données projet'!$B$11,Paramètres!$A$1:$I$89,3,0)*VLOOKUP('Données projet'!$B$11,Paramètres!$A$1:$I$89,5,0)</f>
        <v>61.380548996547894</v>
      </c>
      <c r="BF22" s="14">
        <f t="shared" si="37"/>
        <v>17.516851648775006</v>
      </c>
      <c r="BG22" s="22">
        <f t="shared" si="7"/>
        <v>137.41297279060404</v>
      </c>
      <c r="BH22" s="60">
        <f t="shared" si="8"/>
        <v>430.74630612393736</v>
      </c>
      <c r="BI22" s="60">
        <f ca="1">AVERAGE(OFFSET($BH$3,0,0,'Données projet'!$E$11+1,1))-AVERAGE(OFFSET($H$3,0,0,'Données projet'!$E$11+1,1))</f>
        <v>253.63061102077421</v>
      </c>
      <c r="BJ22" s="60">
        <f t="shared" si="38"/>
        <v>230.98056275369652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83.399999999999991</v>
      </c>
      <c r="BZ22" s="14">
        <f>BY22*VLOOKUP('Données projet'!$B$12,Paramètres!$A$1:$I$89,3,0)*VLOOKUP('Données projet'!$B$12,Paramètres!$A$1:$I$89,5,0)</f>
        <v>61.148879999999991</v>
      </c>
      <c r="CA22" s="14">
        <f t="shared" si="39"/>
        <v>17.458420499151</v>
      </c>
      <c r="CB22" s="22">
        <f t="shared" si="10"/>
        <v>136.9077150360213</v>
      </c>
      <c r="CC22" s="60">
        <f t="shared" si="11"/>
        <v>430.24104836935464</v>
      </c>
      <c r="CD22" s="60">
        <f ca="1">AVERAGE(OFFSET($CC$3,0,0,'Données projet'!$E$12+1,1))-AVERAGE(OFFSET($H$3,0,0,'Données projet'!$E$12+1,1))</f>
        <v>216.97968518094325</v>
      </c>
      <c r="CE22" s="60">
        <f t="shared" si="40"/>
        <v>248.38190023108666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7.4358974358974352</v>
      </c>
      <c r="CT22" s="13">
        <f>IF('Données projet'!$A$140&gt;35,CT21+CS22-DB21,IF(A22&lt;'Données projet'!$A$140,$CQ$205^A22,IF(A22='Données projet'!$A$140,'Données projet'!$B$140,CT21+CS22-DB21)))</f>
        <v>71.410256410256409</v>
      </c>
      <c r="CU22" s="18">
        <f>CT22*VLOOKUP('Données projet'!$B$13,Paramètres!$A$1:$I$89,3,0)*VLOOKUP('Données projet'!$B$13,Paramètres!$A$1:$I$89,5,0)</f>
        <v>47.902000000000001</v>
      </c>
      <c r="CV22" s="14">
        <f t="shared" si="41"/>
        <v>14.070597725071474</v>
      </c>
      <c r="CW22" s="22">
        <f t="shared" si="13"/>
        <v>107.93560770449947</v>
      </c>
      <c r="CX22" s="60">
        <f t="shared" si="14"/>
        <v>401.2689410378328</v>
      </c>
      <c r="CY22" s="60">
        <f ca="1">AVERAGE(OFFSET($CX$3,0,0,'Données projet'!$E$13+1,1))-AVERAGE(OFFSET($H$3,0,0,'Données projet'!$E$13+1,1))</f>
        <v>199.36703853638392</v>
      </c>
      <c r="CZ22" s="60">
        <f t="shared" si="42"/>
        <v>145.15653612907363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8">
        <f t="shared" si="1"/>
        <v>316.02084222454056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0">
        <f t="shared" si="0"/>
        <v>379.49184380384929</v>
      </c>
      <c r="S23" s="60">
        <f ca="1">AVERAGE(OFFSET($R$3,0,0,'Données projet'!$E$9+1,1))-AVERAGE(OFFSET($H$3,0,0,'Données projet'!$E$9+1,1))</f>
        <v>314.4389771131751</v>
      </c>
      <c r="T23" s="60">
        <f t="shared" si="34"/>
        <v>176.7239677722049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0">
        <f t="shared" si="5"/>
        <v>389.595378472937</v>
      </c>
      <c r="AN23" s="60">
        <f ca="1">AVERAGE(OFFSET($AM$3,0,0,'Données projet'!$E$10+1,1))-AVERAGE(OFFSET($H$3,0,0,'Données projet'!$E$10+1,1))</f>
        <v>361.06925636707814</v>
      </c>
      <c r="AO23" s="60">
        <f t="shared" si="36"/>
        <v>201.44775212076888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8.5743589743589759</v>
      </c>
      <c r="BD23" s="13">
        <f>IF('Données projet'!$A$88&gt;35,BD22+BC23-BL22,IF(A23&lt;'Données projet'!$A$88,$BA$205^A23,IF(A23='Données projet'!$A$88,'Données projet'!$B$88,BD22+BC23-BL22)))</f>
        <v>140.61121422903264</v>
      </c>
      <c r="BE23" s="14">
        <f>BD23*VLOOKUP('Données projet'!$B$11,Paramètres!$A$1:$I$89,3,0)*VLOOKUP('Données projet'!$B$11,Paramètres!$A$1:$I$89,5,0)</f>
        <v>78.601668754029248</v>
      </c>
      <c r="BF23" s="14">
        <f t="shared" si="37"/>
        <v>21.794934776688162</v>
      </c>
      <c r="BG23" s="22">
        <f t="shared" si="7"/>
        <v>174.8574178159995</v>
      </c>
      <c r="BH23" s="60">
        <f t="shared" si="8"/>
        <v>468.19075114933281</v>
      </c>
      <c r="BI23" s="60">
        <f ca="1">AVERAGE(OFFSET($BH$3,0,0,'Données projet'!$E$11+1,1))-AVERAGE(OFFSET($H$3,0,0,'Données projet'!$E$11+1,1))</f>
        <v>253.63061102077421</v>
      </c>
      <c r="BJ23" s="60">
        <f t="shared" si="38"/>
        <v>230.98056275369652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95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94.999999999999986</v>
      </c>
      <c r="BZ23" s="14">
        <f>BY23*VLOOKUP('Données projet'!$B$12,Paramètres!$A$1:$I$89,3,0)*VLOOKUP('Données projet'!$B$12,Paramètres!$A$1:$I$89,5,0)</f>
        <v>69.653999999999982</v>
      </c>
      <c r="CA23" s="14">
        <f t="shared" si="39"/>
        <v>19.587508813096782</v>
      </c>
      <c r="CB23" s="22">
        <f t="shared" si="10"/>
        <v>155.42896118281021</v>
      </c>
      <c r="CC23" s="60">
        <f t="shared" si="11"/>
        <v>448.76229451614353</v>
      </c>
      <c r="CD23" s="60">
        <f ca="1">AVERAGE(OFFSET($CC$3,0,0,'Données projet'!$E$12+1,1))-AVERAGE(OFFSET($H$3,0,0,'Données projet'!$E$12+1,1))</f>
        <v>216.97968518094325</v>
      </c>
      <c r="CE23" s="60">
        <f t="shared" si="40"/>
        <v>248.38190023108666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78.84615384615384</v>
      </c>
      <c r="CR23" s="13">
        <f>VLOOKUP(A23,'Données projet'!$A$139:$I$159,9,0)</f>
        <v>7.4358974358974352</v>
      </c>
      <c r="CS23" s="13">
        <f t="array" ref="CS23">INDEX(CR:CR,MIN(IF(ISNUMBER(CR23:CR219),ROW(CR23:CR219),"")))</f>
        <v>7.4358974358974352</v>
      </c>
      <c r="CT23" s="13">
        <f>IF('Données projet'!$A$140&gt;35,CT22+CS23-DB22,IF(A23&lt;'Données projet'!$A$140,$CQ$205^A23,IF(A23='Données projet'!$A$140,'Données projet'!$B$140,CT22+CS23-DB22)))</f>
        <v>78.84615384615384</v>
      </c>
      <c r="CU23" s="18">
        <f>CT23*VLOOKUP('Données projet'!$B$13,Paramètres!$A$1:$I$89,3,0)*VLOOKUP('Données projet'!$B$13,Paramètres!$A$1:$I$89,5,0)</f>
        <v>52.89</v>
      </c>
      <c r="CV23" s="14">
        <f t="shared" si="41"/>
        <v>15.357656466675607</v>
      </c>
      <c r="CW23" s="22">
        <f t="shared" si="13"/>
        <v>118.86466834612668</v>
      </c>
      <c r="CX23" s="60">
        <f t="shared" si="14"/>
        <v>412.19800167945999</v>
      </c>
      <c r="CY23" s="60">
        <f ca="1">AVERAGE(OFFSET($CX$3,0,0,'Données projet'!$E$13+1,1))-AVERAGE(OFFSET($H$3,0,0,'Données projet'!$E$13+1,1))</f>
        <v>199.36703853638392</v>
      </c>
      <c r="CZ23" s="60">
        <f t="shared" si="42"/>
        <v>145.15653612907363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8">
        <f t="shared" si="1"/>
        <v>317.11994059772178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0">
        <f t="shared" si="0"/>
        <v>390.65226125630295</v>
      </c>
      <c r="S24" s="60">
        <f ca="1">AVERAGE(OFFSET($R$3,0,0,'Données projet'!$E$9+1,1))-AVERAGE(OFFSET($H$3,0,0,'Données projet'!$E$9+1,1))</f>
        <v>314.4389771131751</v>
      </c>
      <c r="T24" s="60">
        <f t="shared" si="34"/>
        <v>176.7239677722049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0">
        <f t="shared" si="5"/>
        <v>402.06825607785231</v>
      </c>
      <c r="AN24" s="60">
        <f ca="1">AVERAGE(OFFSET($AM$3,0,0,'Données projet'!$E$10+1,1))-AVERAGE(OFFSET($H$3,0,0,'Données projet'!$E$10+1,1))</f>
        <v>361.06925636707814</v>
      </c>
      <c r="AO24" s="60">
        <f t="shared" si="36"/>
        <v>201.44775212076888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>
        <f>VLOOKUP(A24,'Données projet'!$A$87:$I$107,2,0)</f>
        <v>180.06153846153848</v>
      </c>
      <c r="BB24" s="13">
        <f>VLOOKUP(A24,'Données projet'!$A$87:$I$107,9,0)</f>
        <v>8.5743589743589759</v>
      </c>
      <c r="BC24" s="13">
        <f t="array" ref="BC24">INDEX(BB:BB,MIN(IF(ISNUMBER(BB24:BB220),ROW(BB24:BB220),"")))</f>
        <v>8.5743589743589759</v>
      </c>
      <c r="BD24" s="13">
        <f>IF('Données projet'!$A$88&gt;35,BD23+BC24-BL23,IF(A24&lt;'Données projet'!$A$88,$BA$205^A24,IF(A24='Données projet'!$A$88,'Données projet'!$B$88,BD23+BC24-BL23)))</f>
        <v>180.06153846153848</v>
      </c>
      <c r="BE24" s="14">
        <f>BD24*VLOOKUP('Données projet'!$B$11,Paramètres!$A$1:$I$89,3,0)*VLOOKUP('Données projet'!$B$11,Paramètres!$A$1:$I$89,5,0)</f>
        <v>100.65440000000001</v>
      </c>
      <c r="BF24" s="14">
        <f t="shared" si="37"/>
        <v>27.117840091618859</v>
      </c>
      <c r="BG24" s="22">
        <f t="shared" si="7"/>
        <v>222.53665149290285</v>
      </c>
      <c r="BH24" s="60">
        <f t="shared" si="8"/>
        <v>515.86998482623619</v>
      </c>
      <c r="BI24" s="60">
        <f ca="1">AVERAGE(OFFSET($BH$3,0,0,'Données projet'!$E$11+1,1))-AVERAGE(OFFSET($H$3,0,0,'Données projet'!$E$11+1,1))</f>
        <v>253.63061102077421</v>
      </c>
      <c r="BJ24" s="60">
        <f t="shared" si="38"/>
        <v>230.98056275369652</v>
      </c>
      <c r="BK24" s="16">
        <f>IF(ISNA(VLOOKUP(A24,'Données projet'!$A$87:$I$107,3,0)),0,VLOOKUP(A24,'Données projet'!$A$87:$I$107,3,0))</f>
        <v>1</v>
      </c>
      <c r="BL24" s="16">
        <f>IF(ISNA(VLOOKUP(A24,'Données projet'!$A$87:$I$107,4,0)),0,VLOOKUP(A24,'Données projet'!$A$87:$I$107,4,0))</f>
        <v>61.169230769230765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0.27500000000000002</v>
      </c>
      <c r="BO24" s="17">
        <f>IF(ISNA(VLOOKUP(A24,'Données projet'!$A$87:$I$107,7,0)),0%,VLOOKUP(A24,'Données projet'!$A$87:$I$107,7,0))</f>
        <v>0.5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12.424889043448148</v>
      </c>
      <c r="BR24" s="23">
        <f>EXP(-LN(2)/2)*BR23+(1-EXP(-LN(2)/2))/(LN(2)/2)*BL24*BO24*VLOOKUP('Données projet'!$B$11,Paramètres!$A$1:$I$89,3,0)*0.475*44/12</f>
        <v>19.357549144350479</v>
      </c>
      <c r="BS24" s="24">
        <f t="shared" si="9"/>
        <v>31.782438187798626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</v>
      </c>
      <c r="BY24" s="13">
        <f>IF('Données projet'!$A$114&gt;35,BY23+BX24-CG23,IF(A24&lt;'Données projet'!$A$114,$BV$205^A24,IF(A24='Données projet'!$A$114,'Données projet'!$B$114,BY23+BX24-CG23)))</f>
        <v>64.59999999999998</v>
      </c>
      <c r="BZ24" s="14">
        <f>BY24*VLOOKUP('Données projet'!$B$12,Paramètres!$A$1:$I$89,3,0)*VLOOKUP('Données projet'!$B$12,Paramètres!$A$1:$I$89,5,0)</f>
        <v>47.364719999999984</v>
      </c>
      <c r="CA24" s="14">
        <f t="shared" si="39"/>
        <v>13.931057351916726</v>
      </c>
      <c r="CB24" s="22">
        <f t="shared" si="10"/>
        <v>106.75681222125495</v>
      </c>
      <c r="CC24" s="60">
        <f t="shared" si="11"/>
        <v>400.09014555458828</v>
      </c>
      <c r="CD24" s="60">
        <f ca="1">AVERAGE(OFFSET($CC$3,0,0,'Données projet'!$E$12+1,1))-AVERAGE(OFFSET($H$3,0,0,'Données projet'!$E$12+1,1))</f>
        <v>216.97968518094325</v>
      </c>
      <c r="CE24" s="60">
        <f t="shared" si="40"/>
        <v>248.38190023108666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7.8205128205128203</v>
      </c>
      <c r="CT24" s="13">
        <f>IF('Données projet'!$A$140&gt;35,CT23+CS24-DB23,IF(A24&lt;'Données projet'!$A$140,$CQ$205^A24,IF(A24='Données projet'!$A$140,'Données projet'!$B$140,CT23+CS24-DB23)))</f>
        <v>86.666666666666657</v>
      </c>
      <c r="CU24" s="18">
        <f>CT24*VLOOKUP('Données projet'!$B$13,Paramètres!$A$1:$I$89,3,0)*VLOOKUP('Données projet'!$B$13,Paramètres!$A$1:$I$89,5,0)</f>
        <v>58.135999999999989</v>
      </c>
      <c r="CV24" s="14">
        <f t="shared" si="41"/>
        <v>16.696129205461926</v>
      </c>
      <c r="CW24" s="22">
        <f t="shared" si="13"/>
        <v>130.33262503284615</v>
      </c>
      <c r="CX24" s="60">
        <f t="shared" si="14"/>
        <v>423.66595836617944</v>
      </c>
      <c r="CY24" s="60">
        <f ca="1">AVERAGE(OFFSET($CX$3,0,0,'Données projet'!$E$13+1,1))-AVERAGE(OFFSET($H$3,0,0,'Données projet'!$E$13+1,1))</f>
        <v>199.36703853638392</v>
      </c>
      <c r="CZ24" s="60">
        <f t="shared" si="42"/>
        <v>145.15653612907363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8">
        <f t="shared" si="1"/>
        <v>318.21759373877319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0">
        <f t="shared" si="0"/>
        <v>401.7808352462539</v>
      </c>
      <c r="S25" s="60">
        <f ca="1">AVERAGE(OFFSET($R$3,0,0,'Données projet'!$E$9+1,1))-AVERAGE(OFFSET($H$3,0,0,'Données projet'!$E$9+1,1))</f>
        <v>314.4389771131751</v>
      </c>
      <c r="T25" s="60">
        <f t="shared" si="34"/>
        <v>176.7239677722049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0">
        <f t="shared" si="5"/>
        <v>414.50591723464868</v>
      </c>
      <c r="AN25" s="60">
        <f ca="1">AVERAGE(OFFSET($AM$3,0,0,'Données projet'!$E$10+1,1))-AVERAGE(OFFSET($H$3,0,0,'Données projet'!$E$10+1,1))</f>
        <v>361.06925636707814</v>
      </c>
      <c r="AO25" s="60">
        <f t="shared" si="36"/>
        <v>201.44775212076888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16.695604395604395</v>
      </c>
      <c r="BD25" s="13">
        <f>IF('Données projet'!$A$88&gt;35,BD24+BC25-BL24,IF(A25&lt;'Données projet'!$A$88,$BA$205^A25,IF(A25='Données projet'!$A$88,'Données projet'!$B$88,BD24+BC25-BL24)))</f>
        <v>135.58791208791212</v>
      </c>
      <c r="BE25" s="14">
        <f>BD25*VLOOKUP('Données projet'!$B$11,Paramètres!$A$1:$I$89,3,0)*VLOOKUP('Données projet'!$B$11,Paramètres!$A$1:$I$89,5,0)</f>
        <v>75.793642857142871</v>
      </c>
      <c r="BF25" s="14">
        <f t="shared" si="37"/>
        <v>21.105497321503712</v>
      </c>
      <c r="BG25" s="22">
        <f t="shared" si="7"/>
        <v>168.76600247780945</v>
      </c>
      <c r="BH25" s="60">
        <f t="shared" si="8"/>
        <v>462.09933581114274</v>
      </c>
      <c r="BI25" s="60">
        <f ca="1">AVERAGE(OFFSET($BH$3,0,0,'Données projet'!$E$11+1,1))-AVERAGE(OFFSET($H$3,0,0,'Données projet'!$E$11+1,1))</f>
        <v>253.63061102077421</v>
      </c>
      <c r="BJ25" s="60">
        <f t="shared" si="38"/>
        <v>230.98056275369652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12.085129799158542</v>
      </c>
      <c r="BR25" s="23">
        <f>EXP(-LN(2)/2)*BR24+(1-EXP(-LN(2)/2))/(LN(2)/2)*BL25*BO25*VLOOKUP('Données projet'!$B$11,Paramètres!$A$1:$I$89,3,0)*0.475*44/12</f>
        <v>13.687854267122075</v>
      </c>
      <c r="BS25" s="24">
        <f t="shared" si="9"/>
        <v>25.772984066280618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</v>
      </c>
      <c r="BY25" s="13">
        <f>IF('Données projet'!$A$114&gt;35,BY24+BX25-CG24,IF(A25&lt;'Données projet'!$A$114,$BV$205^A25,IF(A25='Données projet'!$A$114,'Données projet'!$B$114,BY24+BX25-CG24)))</f>
        <v>77.199999999999974</v>
      </c>
      <c r="BZ25" s="14">
        <f>BY25*VLOOKUP('Données projet'!$B$12,Paramètres!$A$1:$I$89,3,0)*VLOOKUP('Données projet'!$B$12,Paramètres!$A$1:$I$89,5,0)</f>
        <v>56.603039999999979</v>
      </c>
      <c r="CA25" s="14">
        <f t="shared" si="39"/>
        <v>16.306519487923971</v>
      </c>
      <c r="CB25" s="22">
        <f t="shared" si="10"/>
        <v>126.98414944146755</v>
      </c>
      <c r="CC25" s="60">
        <f t="shared" si="11"/>
        <v>420.31748277480085</v>
      </c>
      <c r="CD25" s="60">
        <f ca="1">AVERAGE(OFFSET($CC$3,0,0,'Données projet'!$E$12+1,1))-AVERAGE(OFFSET($H$3,0,0,'Données projet'!$E$12+1,1))</f>
        <v>216.97968518094325</v>
      </c>
      <c r="CE25" s="60">
        <f t="shared" si="40"/>
        <v>248.38190023108666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7.8205128205128203</v>
      </c>
      <c r="CT25" s="13">
        <f>IF('Données projet'!$A$140&gt;35,CT24+CS25-DB24,IF(A25&lt;'Données projet'!$A$140,$CQ$205^A25,IF(A25='Données projet'!$A$140,'Données projet'!$B$140,CT24+CS25-DB24)))</f>
        <v>94.487179487179475</v>
      </c>
      <c r="CU25" s="18">
        <f>CT25*VLOOKUP('Données projet'!$B$13,Paramètres!$A$1:$I$89,3,0)*VLOOKUP('Données projet'!$B$13,Paramètres!$A$1:$I$89,5,0)</f>
        <v>63.381999999999991</v>
      </c>
      <c r="CV25" s="14">
        <f t="shared" si="41"/>
        <v>18.020596756944578</v>
      </c>
      <c r="CW25" s="22">
        <f t="shared" si="13"/>
        <v>141.77618935167845</v>
      </c>
      <c r="CX25" s="60">
        <f t="shared" si="14"/>
        <v>435.10952268501177</v>
      </c>
      <c r="CY25" s="60">
        <f ca="1">AVERAGE(OFFSET($CX$3,0,0,'Données projet'!$E$13+1,1))-AVERAGE(OFFSET($H$3,0,0,'Données projet'!$E$13+1,1))</f>
        <v>199.36703853638392</v>
      </c>
      <c r="CZ25" s="60">
        <f t="shared" si="42"/>
        <v>145.15653612907363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8">
        <f t="shared" si="1"/>
        <v>319.31387484448885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0">
        <f t="shared" si="0"/>
        <v>412.88129961889177</v>
      </c>
      <c r="S26" s="60">
        <f ca="1">AVERAGE(OFFSET($R$3,0,0,'Données projet'!$E$9+1,1))-AVERAGE(OFFSET($H$3,0,0,'Données projet'!$E$9+1,1))</f>
        <v>314.4389771131751</v>
      </c>
      <c r="T26" s="60">
        <f t="shared" si="34"/>
        <v>176.7239677722049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0">
        <f t="shared" si="5"/>
        <v>426.91249129218056</v>
      </c>
      <c r="AN26" s="60">
        <f ca="1">AVERAGE(OFFSET($AM$3,0,0,'Données projet'!$E$10+1,1))-AVERAGE(OFFSET($H$3,0,0,'Données projet'!$E$10+1,1))</f>
        <v>361.06925636707814</v>
      </c>
      <c r="AO26" s="60">
        <f t="shared" si="36"/>
        <v>201.44775212076888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16.695604395604395</v>
      </c>
      <c r="BD26" s="13">
        <f>IF('Données projet'!$A$88&gt;35,BD25+BC26-BL25,IF(A26&lt;'Données projet'!$A$88,$BA$205^A26,IF(A26='Données projet'!$A$88,'Données projet'!$B$88,BD25+BC26-BL25)))</f>
        <v>152.28351648351651</v>
      </c>
      <c r="BE26" s="14">
        <f>BD26*VLOOKUP('Données projet'!$B$11,Paramètres!$A$1:$I$89,3,0)*VLOOKUP('Données projet'!$B$11,Paramètres!$A$1:$I$89,5,0)</f>
        <v>85.126485714285721</v>
      </c>
      <c r="BF26" s="14">
        <f t="shared" si="37"/>
        <v>23.386069605974605</v>
      </c>
      <c r="BG26" s="22">
        <f t="shared" si="7"/>
        <v>188.99270051612007</v>
      </c>
      <c r="BH26" s="60">
        <f t="shared" si="8"/>
        <v>482.32603384945338</v>
      </c>
      <c r="BI26" s="60">
        <f ca="1">AVERAGE(OFFSET($BH$3,0,0,'Données projet'!$E$11+1,1))-AVERAGE(OFFSET($H$3,0,0,'Données projet'!$E$11+1,1))</f>
        <v>253.63061102077421</v>
      </c>
      <c r="BJ26" s="60">
        <f t="shared" si="38"/>
        <v>230.98056275369652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11.754661289271196</v>
      </c>
      <c r="BR26" s="23">
        <f>EXP(-LN(2)/2)*BR25+(1-EXP(-LN(2)/2))/(LN(2)/2)*BL26*BO26*VLOOKUP('Données projet'!$B$11,Paramètres!$A$1:$I$89,3,0)*0.475*44/12</f>
        <v>9.6787745721752412</v>
      </c>
      <c r="BS26" s="24">
        <f t="shared" si="9"/>
        <v>21.433435861446437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</v>
      </c>
      <c r="BY26" s="13">
        <f>IF('Données projet'!$A$114&gt;35,BY25+BX26-CG25,IF(A26&lt;'Données projet'!$A$114,$BV$205^A26,IF(A26='Données projet'!$A$114,'Données projet'!$B$114,BY25+BX26-CG25)))</f>
        <v>89.799999999999969</v>
      </c>
      <c r="BZ26" s="14">
        <f>BY26*VLOOKUP('Données projet'!$B$12,Paramètres!$A$1:$I$89,3,0)*VLOOKUP('Données projet'!$B$12,Paramètres!$A$1:$I$89,5,0)</f>
        <v>65.84135999999998</v>
      </c>
      <c r="CA26" s="14">
        <f t="shared" si="39"/>
        <v>18.637068365902625</v>
      </c>
      <c r="CB26" s="22">
        <f t="shared" si="10"/>
        <v>147.13326273728035</v>
      </c>
      <c r="CC26" s="60">
        <f t="shared" si="11"/>
        <v>440.46659607061366</v>
      </c>
      <c r="CD26" s="60">
        <f ca="1">AVERAGE(OFFSET($CC$3,0,0,'Données projet'!$E$12+1,1))-AVERAGE(OFFSET($H$3,0,0,'Données projet'!$E$12+1,1))</f>
        <v>216.97968518094325</v>
      </c>
      <c r="CE26" s="60">
        <f t="shared" si="40"/>
        <v>248.38190023108666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7.8205128205128203</v>
      </c>
      <c r="CT26" s="13">
        <f>IF('Données projet'!$A$140&gt;35,CT25+CS26-DB25,IF(A26&lt;'Données projet'!$A$140,$CQ$205^A26,IF(A26='Données projet'!$A$140,'Données projet'!$B$140,CT25+CS26-DB25)))</f>
        <v>102.30769230769229</v>
      </c>
      <c r="CU26" s="18">
        <f>CT26*VLOOKUP('Données projet'!$B$13,Paramètres!$A$1:$I$89,3,0)*VLOOKUP('Données projet'!$B$13,Paramètres!$A$1:$I$89,5,0)</f>
        <v>68.627999999999986</v>
      </c>
      <c r="CV26" s="14">
        <f t="shared" si="41"/>
        <v>19.332350089930401</v>
      </c>
      <c r="CW26" s="22">
        <f t="shared" si="13"/>
        <v>153.19760973996208</v>
      </c>
      <c r="CX26" s="60">
        <f t="shared" si="14"/>
        <v>446.53094307329536</v>
      </c>
      <c r="CY26" s="60">
        <f ca="1">AVERAGE(OFFSET($CX$3,0,0,'Données projet'!$E$13+1,1))-AVERAGE(OFFSET($H$3,0,0,'Données projet'!$E$13+1,1))</f>
        <v>199.36703853638392</v>
      </c>
      <c r="CZ26" s="60">
        <f t="shared" si="42"/>
        <v>145.15653612907363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8">
        <f t="shared" si="1"/>
        <v>320.40885038678698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0">
        <f t="shared" si="0"/>
        <v>423.95663605630523</v>
      </c>
      <c r="S27" s="60">
        <f ca="1">AVERAGE(OFFSET($R$3,0,0,'Données projet'!$E$9+1,1))-AVERAGE(OFFSET($H$3,0,0,'Données projet'!$E$9+1,1))</f>
        <v>314.4389771131751</v>
      </c>
      <c r="T27" s="60">
        <f t="shared" si="34"/>
        <v>176.7239677722049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0">
        <f t="shared" si="5"/>
        <v>439.29127576410781</v>
      </c>
      <c r="AN27" s="60">
        <f ca="1">AVERAGE(OFFSET($AM$3,0,0,'Données projet'!$E$10+1,1))-AVERAGE(OFFSET($H$3,0,0,'Données projet'!$E$10+1,1))</f>
        <v>361.06925636707814</v>
      </c>
      <c r="AO27" s="60">
        <f t="shared" si="36"/>
        <v>201.44775212076888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16.695604395604395</v>
      </c>
      <c r="BD27" s="13">
        <f>IF('Données projet'!$A$88&gt;35,BD26+BC27-BL26,IF(A27&lt;'Données projet'!$A$88,$BA$205^A27,IF(A27='Données projet'!$A$88,'Données projet'!$B$88,BD26+BC27-BL26)))</f>
        <v>168.9791208791209</v>
      </c>
      <c r="BE27" s="14">
        <f>BD27*VLOOKUP('Données projet'!$B$11,Paramètres!$A$1:$I$89,3,0)*VLOOKUP('Données projet'!$B$11,Paramètres!$A$1:$I$89,5,0)</f>
        <v>94.4593285714286</v>
      </c>
      <c r="BF27" s="14">
        <f t="shared" si="37"/>
        <v>25.637662026687128</v>
      </c>
      <c r="BG27" s="22">
        <f t="shared" si="7"/>
        <v>209.16892529171821</v>
      </c>
      <c r="BH27" s="60">
        <f t="shared" si="8"/>
        <v>502.50225862505152</v>
      </c>
      <c r="BI27" s="60">
        <f ca="1">AVERAGE(OFFSET($BH$3,0,0,'Données projet'!$E$11+1,1))-AVERAGE(OFFSET($H$3,0,0,'Données projet'!$E$11+1,1))</f>
        <v>253.63061102077421</v>
      </c>
      <c r="BJ27" s="60">
        <f t="shared" si="38"/>
        <v>230.98056275369652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11.433229458165304</v>
      </c>
      <c r="BR27" s="23">
        <f>EXP(-LN(2)/2)*BR26+(1-EXP(-LN(2)/2))/(LN(2)/2)*BL27*BO27*VLOOKUP('Données projet'!$B$11,Paramètres!$A$1:$I$89,3,0)*0.475*44/12</f>
        <v>6.8439271335610385</v>
      </c>
      <c r="BS27" s="24">
        <f t="shared" si="9"/>
        <v>18.277156591726342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75.079679999999968</v>
      </c>
      <c r="CA27" s="14">
        <f t="shared" si="39"/>
        <v>20.929732076759169</v>
      </c>
      <c r="CB27" s="22">
        <f t="shared" si="10"/>
        <v>167.21639270035547</v>
      </c>
      <c r="CC27" s="60">
        <f t="shared" si="11"/>
        <v>460.54972603368878</v>
      </c>
      <c r="CD27" s="60">
        <f ca="1">AVERAGE(OFFSET($CC$3,0,0,'Données projet'!$E$12+1,1))-AVERAGE(OFFSET($H$3,0,0,'Données projet'!$E$12+1,1))</f>
        <v>216.97968518094325</v>
      </c>
      <c r="CE27" s="60">
        <f t="shared" si="40"/>
        <v>248.38190023108666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7.8205128205128203</v>
      </c>
      <c r="CT27" s="13">
        <f>IF('Données projet'!$A$140&gt;35,CT26+CS27-DB26,IF(A27&lt;'Données projet'!$A$140,$CQ$205^A27,IF(A27='Données projet'!$A$140,'Données projet'!$B$140,CT26+CS27-DB26)))</f>
        <v>110.12820512820511</v>
      </c>
      <c r="CU27" s="18">
        <f>CT27*VLOOKUP('Données projet'!$B$13,Paramètres!$A$1:$I$89,3,0)*VLOOKUP('Données projet'!$B$13,Paramètres!$A$1:$I$89,5,0)</f>
        <v>73.873999999999981</v>
      </c>
      <c r="CV27" s="14">
        <f t="shared" si="41"/>
        <v>20.632471598177712</v>
      </c>
      <c r="CW27" s="22">
        <f t="shared" si="13"/>
        <v>164.59877136682616</v>
      </c>
      <c r="CX27" s="60">
        <f t="shared" si="14"/>
        <v>457.93210470015947</v>
      </c>
      <c r="CY27" s="60">
        <f ca="1">AVERAGE(OFFSET($CX$3,0,0,'Données projet'!$E$13+1,1))-AVERAGE(OFFSET($H$3,0,0,'Données projet'!$E$13+1,1))</f>
        <v>199.36703853638392</v>
      </c>
      <c r="CZ27" s="60">
        <f t="shared" si="42"/>
        <v>145.15653612907363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8">
        <f t="shared" si="1"/>
        <v>321.50258098486643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0">
        <f t="shared" si="0"/>
        <v>435.00927803996467</v>
      </c>
      <c r="S28" s="60">
        <f ca="1">AVERAGE(OFFSET($R$3,0,0,'Données projet'!$E$9+1,1))-AVERAGE(OFFSET($H$3,0,0,'Données projet'!$E$9+1,1))</f>
        <v>314.4389771131751</v>
      </c>
      <c r="T28" s="60">
        <f t="shared" si="34"/>
        <v>176.7239677722049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0">
        <f t="shared" si="5"/>
        <v>451.64496189589238</v>
      </c>
      <c r="AN28" s="60">
        <f ca="1">AVERAGE(OFFSET($AM$3,0,0,'Données projet'!$E$10+1,1))-AVERAGE(OFFSET($H$3,0,0,'Données projet'!$E$10+1,1))</f>
        <v>361.06925636707814</v>
      </c>
      <c r="AO28" s="60">
        <f t="shared" si="36"/>
        <v>201.44775212076888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16.695604395604395</v>
      </c>
      <c r="BD28" s="13">
        <f>IF('Données projet'!$A$88&gt;35,BD27+BC28-BL27,IF(A28&lt;'Données projet'!$A$88,$BA$205^A28,IF(A28='Données projet'!$A$88,'Données projet'!$B$88,BD27+BC28-BL27)))</f>
        <v>185.67472527472529</v>
      </c>
      <c r="BE28" s="14">
        <f>BD28*VLOOKUP('Données projet'!$B$11,Paramètres!$A$1:$I$89,3,0)*VLOOKUP('Données projet'!$B$11,Paramètres!$A$1:$I$89,5,0)</f>
        <v>103.79217142857145</v>
      </c>
      <c r="BF28" s="14">
        <f t="shared" si="37"/>
        <v>27.863463769694558</v>
      </c>
      <c r="BG28" s="22">
        <f t="shared" si="7"/>
        <v>229.3002313036466</v>
      </c>
      <c r="BH28" s="60">
        <f t="shared" si="8"/>
        <v>522.63356463697994</v>
      </c>
      <c r="BI28" s="60">
        <f ca="1">AVERAGE(OFFSET($BH$3,0,0,'Données projet'!$E$11+1,1))-AVERAGE(OFFSET($H$3,0,0,'Données projet'!$E$11+1,1))</f>
        <v>253.63061102077421</v>
      </c>
      <c r="BJ28" s="60">
        <f t="shared" si="38"/>
        <v>230.98056275369652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11.120587197384367</v>
      </c>
      <c r="BR28" s="23">
        <f>EXP(-LN(2)/2)*BR27+(1-EXP(-LN(2)/2))/(LN(2)/2)*BL28*BO28*VLOOKUP('Données projet'!$B$11,Paramètres!$A$1:$I$89,3,0)*0.475*44/12</f>
        <v>4.8393872860876206</v>
      </c>
      <c r="BS28" s="24">
        <f t="shared" si="9"/>
        <v>15.959974483471989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115</v>
      </c>
      <c r="BW28" s="13">
        <f>VLOOKUP(A28,'Données projet'!$A$113:$I$133,9,0)</f>
        <v>12.6</v>
      </c>
      <c r="BX28" s="13">
        <f t="array" ref="BX28">INDEX(BW:BW,MIN(IF(ISNUMBER(BW28:BW224),ROW(BW28:BW224),"")))</f>
        <v>12.6</v>
      </c>
      <c r="BY28" s="13">
        <f>IF('Données projet'!$A$114&gt;35,BY27+BX28-CG27,IF(A28&lt;'Données projet'!$A$114,$BV$205^A28,IF(A28='Données projet'!$A$114,'Données projet'!$B$114,BY27+BX28-CG27)))</f>
        <v>114.99999999999996</v>
      </c>
      <c r="BZ28" s="14">
        <f>BY28*VLOOKUP('Données projet'!$B$12,Paramètres!$A$1:$I$89,3,0)*VLOOKUP('Données projet'!$B$12,Paramètres!$A$1:$I$89,5,0)</f>
        <v>84.317999999999969</v>
      </c>
      <c r="CA28" s="14">
        <f t="shared" si="39"/>
        <v>23.189705803157239</v>
      </c>
      <c r="CB28" s="22">
        <f t="shared" si="10"/>
        <v>187.24258760716546</v>
      </c>
      <c r="CC28" s="60">
        <f t="shared" si="11"/>
        <v>480.5759209404988</v>
      </c>
      <c r="CD28" s="60">
        <f ca="1">AVERAGE(OFFSET($CC$3,0,0,'Données projet'!$E$12+1,1))-AVERAGE(OFFSET($H$3,0,0,'Données projet'!$E$12+1,1))</f>
        <v>216.97968518094325</v>
      </c>
      <c r="CE28" s="60">
        <f t="shared" si="40"/>
        <v>248.38190023108666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117.94871794871794</v>
      </c>
      <c r="CR28" s="13">
        <f>VLOOKUP(A28,'Données projet'!$A$139:$I$159,9,0)</f>
        <v>7.8205128205128203</v>
      </c>
      <c r="CS28" s="13">
        <f t="array" ref="CS28">INDEX(CR:CR,MIN(IF(ISNUMBER(CR28:CR224),ROW(CR28:CR224),"")))</f>
        <v>7.8205128205128203</v>
      </c>
      <c r="CT28" s="13">
        <f>IF('Données projet'!$A$140&gt;35,CT27+CS28-DB27,IF(A28&lt;'Données projet'!$A$140,$CQ$205^A28,IF(A28='Données projet'!$A$140,'Données projet'!$B$140,CT27+CS28-DB27)))</f>
        <v>117.94871794871793</v>
      </c>
      <c r="CU28" s="18">
        <f>CT28*VLOOKUP('Données projet'!$B$13,Paramètres!$A$1:$I$89,3,0)*VLOOKUP('Données projet'!$B$13,Paramètres!$A$1:$I$89,5,0)</f>
        <v>79.11999999999999</v>
      </c>
      <c r="CV28" s="14">
        <f t="shared" si="41"/>
        <v>21.921881238270821</v>
      </c>
      <c r="CW28" s="22">
        <f t="shared" si="13"/>
        <v>175.98127648998829</v>
      </c>
      <c r="CX28" s="60">
        <f t="shared" si="14"/>
        <v>469.31460982332158</v>
      </c>
      <c r="CY28" s="60">
        <f ca="1">AVERAGE(OFFSET($CX$3,0,0,'Données projet'!$E$13+1,1))-AVERAGE(OFFSET($H$3,0,0,'Données projet'!$E$13+1,1))</f>
        <v>199.36703853638392</v>
      </c>
      <c r="CZ28" s="60">
        <f t="shared" si="42"/>
        <v>145.15653612907363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36.53846153846154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8">
        <f t="shared" si="1"/>
        <v>322.59512213389104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0">
        <f t="shared" si="0"/>
        <v>448.79621558952238</v>
      </c>
      <c r="S29" s="60">
        <f ca="1">AVERAGE(OFFSET($R$3,0,0,'Données projet'!$E$9+1,1))-AVERAGE(OFFSET($H$3,0,0,'Données projet'!$E$9+1,1))</f>
        <v>314.4389771131751</v>
      </c>
      <c r="T29" s="60">
        <f t="shared" si="34"/>
        <v>176.7239677722049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0">
        <f t="shared" si="5"/>
        <v>467.05514714294327</v>
      </c>
      <c r="AN29" s="60">
        <f ca="1">AVERAGE(OFFSET($AM$3,0,0,'Données projet'!$E$10+1,1))-AVERAGE(OFFSET($H$3,0,0,'Données projet'!$E$10+1,1))</f>
        <v>361.06925636707814</v>
      </c>
      <c r="AO29" s="60">
        <f t="shared" si="36"/>
        <v>201.44775212076888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16.695604395604395</v>
      </c>
      <c r="BD29" s="13">
        <f>IF('Données projet'!$A$88&gt;35,BD28+BC29-BL28,IF(A29&lt;'Données projet'!$A$88,$BA$205^A29,IF(A29='Données projet'!$A$88,'Données projet'!$B$88,BD28+BC29-BL28)))</f>
        <v>202.37032967032968</v>
      </c>
      <c r="BE29" s="14">
        <f>BD29*VLOOKUP('Données projet'!$B$11,Paramètres!$A$1:$I$89,3,0)*VLOOKUP('Données projet'!$B$11,Paramètres!$A$1:$I$89,5,0)</f>
        <v>113.1250142857143</v>
      </c>
      <c r="BF29" s="14">
        <f t="shared" si="37"/>
        <v>30.066057618614863</v>
      </c>
      <c r="BG29" s="22">
        <f t="shared" si="7"/>
        <v>249.39111690003995</v>
      </c>
      <c r="BH29" s="60">
        <f t="shared" si="8"/>
        <v>542.72445023337332</v>
      </c>
      <c r="BI29" s="60">
        <f ca="1">AVERAGE(OFFSET($BH$3,0,0,'Données projet'!$E$11+1,1))-AVERAGE(OFFSET($H$3,0,0,'Données projet'!$E$11+1,1))</f>
        <v>253.63061102077421</v>
      </c>
      <c r="BJ29" s="60">
        <f t="shared" si="38"/>
        <v>230.98056275369652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10.816494155665627</v>
      </c>
      <c r="BR29" s="23">
        <f>EXP(-LN(2)/2)*BR28+(1-EXP(-LN(2)/2))/(LN(2)/2)*BL29*BO29*VLOOKUP('Données projet'!$B$11,Paramètres!$A$1:$I$89,3,0)*0.475*44/12</f>
        <v>3.4219635667805193</v>
      </c>
      <c r="BS29" s="24">
        <f t="shared" si="9"/>
        <v>14.238457722446146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126.99999999999996</v>
      </c>
      <c r="BZ29" s="14">
        <f>BY29*VLOOKUP('Données projet'!$B$12,Paramètres!$A$1:$I$89,3,0)*VLOOKUP('Données projet'!$B$12,Paramètres!$A$1:$I$89,5,0)</f>
        <v>93.11639999999997</v>
      </c>
      <c r="CA29" s="14">
        <f t="shared" si="39"/>
        <v>25.315330119156503</v>
      </c>
      <c r="CB29" s="22">
        <f t="shared" si="10"/>
        <v>206.2685966241975</v>
      </c>
      <c r="CC29" s="60">
        <f t="shared" si="11"/>
        <v>499.60192995753084</v>
      </c>
      <c r="CD29" s="60">
        <f ca="1">AVERAGE(OFFSET($CC$3,0,0,'Données projet'!$E$12+1,1))-AVERAGE(OFFSET($H$3,0,0,'Données projet'!$E$12+1,1))</f>
        <v>216.97968518094325</v>
      </c>
      <c r="CE29" s="60">
        <f t="shared" si="40"/>
        <v>248.38190023108666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7.6923076923076907</v>
      </c>
      <c r="CT29" s="13">
        <f>IF('Données projet'!$A$140&gt;35,CT28+CS29-DB28,IF(A29&lt;'Données projet'!$A$140,$CQ$205^A29,IF(A29='Données projet'!$A$140,'Données projet'!$B$140,CT28+CS29-DB28)))</f>
        <v>89.102564102564088</v>
      </c>
      <c r="CU29" s="18">
        <f>CT29*VLOOKUP('Données projet'!$B$13,Paramètres!$A$1:$I$89,3,0)*VLOOKUP('Données projet'!$B$13,Paramètres!$A$1:$I$89,5,0)</f>
        <v>59.769999999999989</v>
      </c>
      <c r="CV29" s="14">
        <f t="shared" si="41"/>
        <v>17.110104804168579</v>
      </c>
      <c r="CW29" s="22">
        <f t="shared" si="13"/>
        <v>133.89951586726025</v>
      </c>
      <c r="CX29" s="60">
        <f t="shared" si="14"/>
        <v>427.23284920059359</v>
      </c>
      <c r="CY29" s="60">
        <f ca="1">AVERAGE(OFFSET($CX$3,0,0,'Données projet'!$E$13+1,1))-AVERAGE(OFFSET($H$3,0,0,'Données projet'!$E$13+1,1))</f>
        <v>199.36703853638392</v>
      </c>
      <c r="CZ29" s="60">
        <f t="shared" si="42"/>
        <v>145.15653612907363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8">
        <f t="shared" si="1"/>
        <v>323.68652481841508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0">
        <f t="shared" si="0"/>
        <v>462.55410206940076</v>
      </c>
      <c r="S30" s="60">
        <f ca="1">AVERAGE(OFFSET($R$3,0,0,'Données projet'!$E$9+1,1))-AVERAGE(OFFSET($H$3,0,0,'Données projet'!$E$9+1,1))</f>
        <v>314.4389771131751</v>
      </c>
      <c r="T30" s="60">
        <f t="shared" si="34"/>
        <v>176.7239677722049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0">
        <f t="shared" si="5"/>
        <v>482.4332041160016</v>
      </c>
      <c r="AN30" s="60">
        <f ca="1">AVERAGE(OFFSET($AM$3,0,0,'Données projet'!$E$10+1,1))-AVERAGE(OFFSET($H$3,0,0,'Données projet'!$E$10+1,1))</f>
        <v>361.06925636707814</v>
      </c>
      <c r="AO30" s="60">
        <f t="shared" si="36"/>
        <v>201.44775212076888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16.695604395604395</v>
      </c>
      <c r="BD30" s="13">
        <f>IF('Données projet'!$A$88&gt;35,BD29+BC30-BL29,IF(A30&lt;'Données projet'!$A$88,$BA$205^A30,IF(A30='Données projet'!$A$88,'Données projet'!$B$88,BD29+BC30-BL29)))</f>
        <v>219.06593406593407</v>
      </c>
      <c r="BE30" s="14">
        <f>BD30*VLOOKUP('Données projet'!$B$11,Paramètres!$A$1:$I$89,3,0)*VLOOKUP('Données projet'!$B$11,Paramètres!$A$1:$I$89,5,0)</f>
        <v>122.45785714285715</v>
      </c>
      <c r="BF30" s="14">
        <f t="shared" si="37"/>
        <v>32.247575908405864</v>
      </c>
      <c r="BG30" s="22">
        <f t="shared" si="7"/>
        <v>269.4452958976164</v>
      </c>
      <c r="BH30" s="60">
        <f t="shared" si="8"/>
        <v>562.77862923094972</v>
      </c>
      <c r="BI30" s="60">
        <f ca="1">AVERAGE(OFFSET($BH$3,0,0,'Données projet'!$E$11+1,1))-AVERAGE(OFFSET($H$3,0,0,'Données projet'!$E$11+1,1))</f>
        <v>253.63061102077421</v>
      </c>
      <c r="BJ30" s="60">
        <f t="shared" si="38"/>
        <v>230.98056275369652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10.520716554164244</v>
      </c>
      <c r="BR30" s="23">
        <f>EXP(-LN(2)/2)*BR29+(1-EXP(-LN(2)/2))/(LN(2)/2)*BL30*BO30*VLOOKUP('Données projet'!$B$11,Paramètres!$A$1:$I$89,3,0)*0.475*44/12</f>
        <v>2.4196936430438103</v>
      </c>
      <c r="BS30" s="24">
        <f t="shared" si="9"/>
        <v>12.940410197208054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138.99999999999994</v>
      </c>
      <c r="BZ30" s="14">
        <f>BY30*VLOOKUP('Données projet'!$B$12,Paramètres!$A$1:$I$89,3,0)*VLOOKUP('Données projet'!$B$12,Paramètres!$A$1:$I$89,5,0)</f>
        <v>101.91479999999996</v>
      </c>
      <c r="CA30" s="14">
        <f t="shared" si="39"/>
        <v>27.417667462779292</v>
      </c>
      <c r="CB30" s="22">
        <f t="shared" si="10"/>
        <v>225.25404749767384</v>
      </c>
      <c r="CC30" s="60">
        <f t="shared" si="11"/>
        <v>518.58738083100718</v>
      </c>
      <c r="CD30" s="60">
        <f ca="1">AVERAGE(OFFSET($CC$3,0,0,'Données projet'!$E$12+1,1))-AVERAGE(OFFSET($H$3,0,0,'Données projet'!$E$12+1,1))</f>
        <v>216.97968518094325</v>
      </c>
      <c r="CE30" s="60">
        <f t="shared" si="40"/>
        <v>248.38190023108666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7.6923076923076907</v>
      </c>
      <c r="CT30" s="13">
        <f>IF('Données projet'!$A$140&gt;35,CT29+CS30-DB29,IF(A30&lt;'Données projet'!$A$140,$CQ$205^A30,IF(A30='Données projet'!$A$140,'Données projet'!$B$140,CT29+CS30-DB29)))</f>
        <v>96.794871794871781</v>
      </c>
      <c r="CU30" s="18">
        <f>CT30*VLOOKUP('Données projet'!$B$13,Paramètres!$A$1:$I$89,3,0)*VLOOKUP('Données projet'!$B$13,Paramètres!$A$1:$I$89,5,0)</f>
        <v>64.929999999999993</v>
      </c>
      <c r="CV30" s="14">
        <f t="shared" si="41"/>
        <v>18.408941721487473</v>
      </c>
      <c r="CW30" s="22">
        <f t="shared" si="13"/>
        <v>145.14865683159067</v>
      </c>
      <c r="CX30" s="60">
        <f t="shared" si="14"/>
        <v>438.48199016492401</v>
      </c>
      <c r="CY30" s="60">
        <f ca="1">AVERAGE(OFFSET($CX$3,0,0,'Données projet'!$E$13+1,1))-AVERAGE(OFFSET($H$3,0,0,'Données projet'!$E$13+1,1))</f>
        <v>199.36703853638392</v>
      </c>
      <c r="CZ30" s="60">
        <f t="shared" si="42"/>
        <v>145.15653612907363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8">
        <f t="shared" si="1"/>
        <v>324.77683603237602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0">
        <f t="shared" si="0"/>
        <v>476.28563363945864</v>
      </c>
      <c r="S31" s="60">
        <f ca="1">AVERAGE(OFFSET($R$3,0,0,'Données projet'!$E$9+1,1))-AVERAGE(OFFSET($H$3,0,0,'Données projet'!$E$9+1,1))</f>
        <v>314.4389771131751</v>
      </c>
      <c r="T31" s="60">
        <f t="shared" si="34"/>
        <v>176.7239677722049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0">
        <f t="shared" si="5"/>
        <v>497.78211456285248</v>
      </c>
      <c r="AN31" s="60">
        <f ca="1">AVERAGE(OFFSET($AM$3,0,0,'Données projet'!$E$10+1,1))-AVERAGE(OFFSET($H$3,0,0,'Données projet'!$E$10+1,1))</f>
        <v>361.06925636707814</v>
      </c>
      <c r="AO31" s="60">
        <f t="shared" si="36"/>
        <v>201.44775212076888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>
        <f>VLOOKUP(A31,'Données projet'!$A$87:$I$107,2,0)</f>
        <v>235.76153846153846</v>
      </c>
      <c r="BB31" s="13">
        <f>VLOOKUP(A31,'Données projet'!$A$87:$I$107,9,0)</f>
        <v>16.695604395604395</v>
      </c>
      <c r="BC31" s="13">
        <f t="array" ref="BC31">INDEX(BB:BB,MIN(IF(ISNUMBER(BB31:BB227),ROW(BB31:BB227),"")))</f>
        <v>16.695604395604395</v>
      </c>
      <c r="BD31" s="13">
        <f>IF('Données projet'!$A$88&gt;35,BD30+BC31-BL30,IF(A31&lt;'Données projet'!$A$88,$BA$205^A31,IF(A31='Données projet'!$A$88,'Données projet'!$B$88,BD30+BC31-BL30)))</f>
        <v>235.76153846153846</v>
      </c>
      <c r="BE31" s="14">
        <f>BD31*VLOOKUP('Données projet'!$B$11,Paramètres!$A$1:$I$89,3,0)*VLOOKUP('Données projet'!$B$11,Paramètres!$A$1:$I$89,5,0)</f>
        <v>131.79069999999999</v>
      </c>
      <c r="BF31" s="14">
        <f t="shared" si="37"/>
        <v>34.409807495420338</v>
      </c>
      <c r="BG31" s="22">
        <f t="shared" si="7"/>
        <v>289.46588388785705</v>
      </c>
      <c r="BH31" s="60">
        <f t="shared" si="8"/>
        <v>582.79921722119036</v>
      </c>
      <c r="BI31" s="60">
        <f ca="1">AVERAGE(OFFSET($BH$3,0,0,'Données projet'!$E$11+1,1))-AVERAGE(OFFSET($H$3,0,0,'Données projet'!$E$11+1,1))</f>
        <v>253.63061102077421</v>
      </c>
      <c r="BJ31" s="60">
        <f t="shared" si="38"/>
        <v>230.98056275369652</v>
      </c>
      <c r="BK31" s="16">
        <f>IF(ISNA(VLOOKUP(A31,'Données projet'!$A$87:$I$107,3,0)),0,VLOOKUP(A31,'Données projet'!$A$87:$I$107,3,0))</f>
        <v>2</v>
      </c>
      <c r="BL31" s="16">
        <f>IF(ISNA(VLOOKUP(A31,'Données projet'!$A$87:$I$107,4,0)),0,VLOOKUP(A31,'Données projet'!$A$87:$I$107,4,0))</f>
        <v>56.91538461538461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0.27500000000000002</v>
      </c>
      <c r="BO31" s="17">
        <f>IF(ISNA(VLOOKUP(A31,'Données projet'!$A$87:$I$107,7,0)),0%,VLOOKUP(A31,'Données projet'!$A$87:$I$107,7,0))</f>
        <v>0.5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21.79386126634699</v>
      </c>
      <c r="BR31" s="23">
        <f>EXP(-LN(2)/2)*BR30+(1-EXP(-LN(2)/2))/(LN(2)/2)*BL31*BO31*VLOOKUP('Données projet'!$B$11,Paramètres!$A$1:$I$89,3,0)*0.475*44/12</f>
        <v>19.722363337596647</v>
      </c>
      <c r="BS31" s="24">
        <f t="shared" si="9"/>
        <v>41.516224603943641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150.99999999999994</v>
      </c>
      <c r="BZ31" s="14">
        <f>BY31*VLOOKUP('Données projet'!$B$12,Paramètres!$A$1:$I$89,3,0)*VLOOKUP('Données projet'!$B$12,Paramètres!$A$1:$I$89,5,0)</f>
        <v>110.71319999999996</v>
      </c>
      <c r="CA31" s="14">
        <f t="shared" si="39"/>
        <v>29.498956799987518</v>
      </c>
      <c r="CB31" s="22">
        <f t="shared" si="10"/>
        <v>244.20283975997816</v>
      </c>
      <c r="CC31" s="60">
        <f t="shared" si="11"/>
        <v>537.5361730933115</v>
      </c>
      <c r="CD31" s="60">
        <f ca="1">AVERAGE(OFFSET($CC$3,0,0,'Données projet'!$E$12+1,1))-AVERAGE(OFFSET($H$3,0,0,'Données projet'!$E$12+1,1))</f>
        <v>216.97968518094325</v>
      </c>
      <c r="CE31" s="60">
        <f t="shared" si="40"/>
        <v>248.38190023108666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7.6923076923076907</v>
      </c>
      <c r="CT31" s="13">
        <f>IF('Données projet'!$A$140&gt;35,CT30+CS31-DB30,IF(A31&lt;'Données projet'!$A$140,$CQ$205^A31,IF(A31='Données projet'!$A$140,'Données projet'!$B$140,CT30+CS31-DB30)))</f>
        <v>104.48717948717947</v>
      </c>
      <c r="CU31" s="18">
        <f>CT31*VLOOKUP('Données projet'!$B$13,Paramètres!$A$1:$I$89,3,0)*VLOOKUP('Données projet'!$B$13,Paramètres!$A$1:$I$89,5,0)</f>
        <v>70.089999999999989</v>
      </c>
      <c r="CV31" s="14">
        <f t="shared" si="41"/>
        <v>19.695806071745888</v>
      </c>
      <c r="CW31" s="22">
        <f t="shared" si="13"/>
        <v>156.3769455749574</v>
      </c>
      <c r="CX31" s="60">
        <f t="shared" si="14"/>
        <v>449.71027890829072</v>
      </c>
      <c r="CY31" s="60">
        <f ca="1">AVERAGE(OFFSET($CX$3,0,0,'Données projet'!$E$13+1,1))-AVERAGE(OFFSET($H$3,0,0,'Données projet'!$E$13+1,1))</f>
        <v>199.36703853638392</v>
      </c>
      <c r="CZ31" s="60">
        <f t="shared" si="42"/>
        <v>145.15653612907363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8">
        <f t="shared" si="1"/>
        <v>325.86609922271543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0">
        <f t="shared" si="0"/>
        <v>489.99306810277216</v>
      </c>
      <c r="S32" s="60">
        <f ca="1">AVERAGE(OFFSET($R$3,0,0,'Données projet'!$E$9+1,1))-AVERAGE(OFFSET($H$3,0,0,'Données projet'!$E$9+1,1))</f>
        <v>314.4389771131751</v>
      </c>
      <c r="T32" s="60">
        <f t="shared" si="34"/>
        <v>176.7239677722049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0">
        <f t="shared" si="5"/>
        <v>513.10437544201238</v>
      </c>
      <c r="AN32" s="60">
        <f ca="1">AVERAGE(OFFSET($AM$3,0,0,'Données projet'!$E$10+1,1))-AVERAGE(OFFSET($H$3,0,0,'Données projet'!$E$10+1,1))</f>
        <v>361.06925636707814</v>
      </c>
      <c r="AO32" s="60">
        <f t="shared" si="36"/>
        <v>201.44775212076888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18.092307692307688</v>
      </c>
      <c r="BD32" s="13">
        <f>IF('Données projet'!$A$88&gt;35,BD31+BC32-BL31,IF(A32&lt;'Données projet'!$A$88,$BA$205^A32,IF(A32='Données projet'!$A$88,'Données projet'!$B$88,BD31+BC32-BL31)))</f>
        <v>196.93846153846152</v>
      </c>
      <c r="BE32" s="14">
        <f>BD32*VLOOKUP('Données projet'!$B$11,Paramètres!$A$1:$I$89,3,0)*VLOOKUP('Données projet'!$B$11,Paramètres!$A$1:$I$89,5,0)</f>
        <v>110.0886</v>
      </c>
      <c r="BF32" s="14">
        <f t="shared" si="37"/>
        <v>29.351858445346817</v>
      </c>
      <c r="BG32" s="22">
        <f t="shared" si="7"/>
        <v>242.85879845897907</v>
      </c>
      <c r="BH32" s="60">
        <f t="shared" si="8"/>
        <v>536.19213179231235</v>
      </c>
      <c r="BI32" s="60">
        <f ca="1">AVERAGE(OFFSET($BH$3,0,0,'Données projet'!$E$11+1,1))-AVERAGE(OFFSET($H$3,0,0,'Données projet'!$E$11+1,1))</f>
        <v>253.63061102077421</v>
      </c>
      <c r="BJ32" s="60">
        <f t="shared" si="38"/>
        <v>230.98056275369652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21.197906983929379</v>
      </c>
      <c r="BR32" s="23">
        <f>EXP(-LN(2)/2)*BR31+(1-EXP(-LN(2)/2))/(LN(2)/2)*BL32*BO32*VLOOKUP('Données projet'!$B$11,Paramètres!$A$1:$I$89,3,0)*0.475*44/12</f>
        <v>13.94581685703954</v>
      </c>
      <c r="BS32" s="24">
        <f t="shared" si="9"/>
        <v>35.143723840968917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162.99999999999994</v>
      </c>
      <c r="BZ32" s="14">
        <f>BY32*VLOOKUP('Données projet'!$B$12,Paramètres!$A$1:$I$89,3,0)*VLOOKUP('Données projet'!$B$12,Paramètres!$A$1:$I$89,5,0)</f>
        <v>119.51159999999996</v>
      </c>
      <c r="CA32" s="14">
        <f t="shared" si="39"/>
        <v>31.561060990985474</v>
      </c>
      <c r="CB32" s="22">
        <f t="shared" si="10"/>
        <v>263.11821789263291</v>
      </c>
      <c r="CC32" s="60">
        <f t="shared" si="11"/>
        <v>556.45155122596623</v>
      </c>
      <c r="CD32" s="60">
        <f ca="1">AVERAGE(OFFSET($CC$3,0,0,'Données projet'!$E$12+1,1))-AVERAGE(OFFSET($H$3,0,0,'Données projet'!$E$12+1,1))</f>
        <v>216.97968518094325</v>
      </c>
      <c r="CE32" s="60">
        <f t="shared" si="40"/>
        <v>248.38190023108666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7.6923076923076907</v>
      </c>
      <c r="CT32" s="13">
        <f>IF('Données projet'!$A$140&gt;35,CT31+CS32-DB31,IF(A32&lt;'Données projet'!$A$140,$CQ$205^A32,IF(A32='Données projet'!$A$140,'Données projet'!$B$140,CT31+CS32-DB31)))</f>
        <v>112.17948717948717</v>
      </c>
      <c r="CU32" s="18">
        <f>CT32*VLOOKUP('Données projet'!$B$13,Paramètres!$A$1:$I$89,3,0)*VLOOKUP('Données projet'!$B$13,Paramètres!$A$1:$I$89,5,0)</f>
        <v>75.25</v>
      </c>
      <c r="CV32" s="14">
        <f t="shared" si="41"/>
        <v>20.971679502814343</v>
      </c>
      <c r="CW32" s="22">
        <f t="shared" si="13"/>
        <v>167.58609180073498</v>
      </c>
      <c r="CX32" s="60">
        <f t="shared" si="14"/>
        <v>460.91942513406832</v>
      </c>
      <c r="CY32" s="60">
        <f ca="1">AVERAGE(OFFSET($CX$3,0,0,'Données projet'!$E$13+1,1))-AVERAGE(OFFSET($H$3,0,0,'Données projet'!$E$13+1,1))</f>
        <v>199.36703853638392</v>
      </c>
      <c r="CZ32" s="60">
        <f t="shared" si="42"/>
        <v>145.15653612907363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8">
        <f t="shared" si="1"/>
        <v>326.95435467009145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0">
        <f t="shared" si="0"/>
        <v>503.67832244229635</v>
      </c>
      <c r="S33" s="60">
        <f ca="1">AVERAGE(OFFSET($R$3,0,0,'Données projet'!$E$9+1,1))-AVERAGE(OFFSET($H$3,0,0,'Données projet'!$E$9+1,1))</f>
        <v>314.4389771131751</v>
      </c>
      <c r="T33" s="60">
        <f t="shared" si="34"/>
        <v>176.7239677722049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0">
        <f t="shared" si="5"/>
        <v>528.40210679086033</v>
      </c>
      <c r="AN33" s="60">
        <f ca="1">AVERAGE(OFFSET($AM$3,0,0,'Données projet'!$E$10+1,1))-AVERAGE(OFFSET($H$3,0,0,'Données projet'!$E$10+1,1))</f>
        <v>361.06925636707814</v>
      </c>
      <c r="AO33" s="60">
        <f t="shared" si="36"/>
        <v>201.44775212076888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18.092307692307688</v>
      </c>
      <c r="BD33" s="13">
        <f>IF('Données projet'!$A$88&gt;35,BD32+BC33-BL32,IF(A33&lt;'Données projet'!$A$88,$BA$205^A33,IF(A33='Données projet'!$A$88,'Données projet'!$B$88,BD32+BC33-BL32)))</f>
        <v>215.03076923076921</v>
      </c>
      <c r="BE33" s="14">
        <f>BD33*VLOOKUP('Données projet'!$B$11,Paramètres!$A$1:$I$89,3,0)*VLOOKUP('Données projet'!$B$11,Paramètres!$A$1:$I$89,5,0)</f>
        <v>120.20219999999999</v>
      </c>
      <c r="BF33" s="14">
        <f t="shared" si="37"/>
        <v>31.722154501696497</v>
      </c>
      <c r="BG33" s="22">
        <f t="shared" si="7"/>
        <v>264.60158409045465</v>
      </c>
      <c r="BH33" s="60">
        <f t="shared" si="8"/>
        <v>557.93491742378797</v>
      </c>
      <c r="BI33" s="60">
        <f ca="1">AVERAGE(OFFSET($BH$3,0,0,'Données projet'!$E$11+1,1))-AVERAGE(OFFSET($H$3,0,0,'Données projet'!$E$11+1,1))</f>
        <v>253.63061102077421</v>
      </c>
      <c r="BJ33" s="60">
        <f t="shared" si="38"/>
        <v>230.98056275369652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20.61824910270435</v>
      </c>
      <c r="BR33" s="23">
        <f>EXP(-LN(2)/2)*BR32+(1-EXP(-LN(2)/2))/(LN(2)/2)*BL33*BO33*VLOOKUP('Données projet'!$B$11,Paramètres!$A$1:$I$89,3,0)*0.475*44/12</f>
        <v>9.8611816687983254</v>
      </c>
      <c r="BS33" s="24">
        <f t="shared" si="9"/>
        <v>30.479430771502678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175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174.99999999999994</v>
      </c>
      <c r="BZ33" s="14">
        <f>BY33*VLOOKUP('Données projet'!$B$12,Paramètres!$A$1:$I$89,3,0)*VLOOKUP('Données projet'!$B$12,Paramètres!$A$1:$I$89,5,0)</f>
        <v>128.30999999999997</v>
      </c>
      <c r="CA33" s="14">
        <f t="shared" si="39"/>
        <v>33.605553053308043</v>
      </c>
      <c r="CB33" s="22">
        <f t="shared" si="10"/>
        <v>282.00292156784479</v>
      </c>
      <c r="CC33" s="60">
        <f t="shared" si="11"/>
        <v>575.33625490117811</v>
      </c>
      <c r="CD33" s="60">
        <f ca="1">AVERAGE(OFFSET($CC$3,0,0,'Données projet'!$E$12+1,1))-AVERAGE(OFFSET($H$3,0,0,'Données projet'!$E$12+1,1))</f>
        <v>216.97968518094325</v>
      </c>
      <c r="CE33" s="60">
        <f t="shared" si="40"/>
        <v>248.38190023108666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56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119.87179487179486</v>
      </c>
      <c r="CR33" s="13">
        <f>VLOOKUP(A33,'Données projet'!$A$139:$I$159,9,0)</f>
        <v>7.6923076923076907</v>
      </c>
      <c r="CS33" s="13">
        <f t="array" ref="CS33">INDEX(CR:CR,MIN(IF(ISNUMBER(CR33:CR229),ROW(CR33:CR229),"")))</f>
        <v>7.6923076923076907</v>
      </c>
      <c r="CT33" s="13">
        <f>IF('Données projet'!$A$140&gt;35,CT32+CS33-DB32,IF(A33&lt;'Données projet'!$A$140,$CQ$205^A33,IF(A33='Données projet'!$A$140,'Données projet'!$B$140,CT32+CS33-DB32)))</f>
        <v>119.87179487179486</v>
      </c>
      <c r="CU33" s="18">
        <f>CT33*VLOOKUP('Données projet'!$B$13,Paramètres!$A$1:$I$89,3,0)*VLOOKUP('Données projet'!$B$13,Paramètres!$A$1:$I$89,5,0)</f>
        <v>80.41</v>
      </c>
      <c r="CV33" s="14">
        <f t="shared" si="41"/>
        <v>22.2374014157886</v>
      </c>
      <c r="CW33" s="22">
        <f t="shared" si="13"/>
        <v>178.77755746583179</v>
      </c>
      <c r="CX33" s="60">
        <f t="shared" si="14"/>
        <v>472.11089079916508</v>
      </c>
      <c r="CY33" s="60">
        <f ca="1">AVERAGE(OFFSET($CX$3,0,0,'Données projet'!$E$13+1,1))-AVERAGE(OFFSET($H$3,0,0,'Données projet'!$E$13+1,1))</f>
        <v>199.36703853638392</v>
      </c>
      <c r="CZ33" s="60">
        <f t="shared" si="42"/>
        <v>145.15653612907363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8">
        <f t="shared" si="1"/>
        <v>328.04163981740385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0">
        <f t="shared" si="0"/>
        <v>462.55410206940076</v>
      </c>
      <c r="S34" s="60">
        <f ca="1">AVERAGE(OFFSET($R$3,0,0,'Données projet'!$E$9+1,1))-AVERAGE(OFFSET($H$3,0,0,'Données projet'!$E$9+1,1))</f>
        <v>314.4389771131751</v>
      </c>
      <c r="T34" s="60">
        <f t="shared" si="34"/>
        <v>176.7239677722049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0">
        <f t="shared" si="5"/>
        <v>482.4332041160016</v>
      </c>
      <c r="AN34" s="60">
        <f ca="1">AVERAGE(OFFSET($AM$3,0,0,'Données projet'!$E$10+1,1))-AVERAGE(OFFSET($H$3,0,0,'Données projet'!$E$10+1,1))</f>
        <v>361.06925636707814</v>
      </c>
      <c r="AO34" s="60">
        <f t="shared" si="36"/>
        <v>201.44775212076888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18.092307692307688</v>
      </c>
      <c r="BD34" s="13">
        <f>IF('Données projet'!$A$88&gt;35,BD33+BC34-BL33,IF(A34&lt;'Données projet'!$A$88,$BA$205^A34,IF(A34='Données projet'!$A$88,'Données projet'!$B$88,BD33+BC34-BL33)))</f>
        <v>233.12307692307689</v>
      </c>
      <c r="BE34" s="14">
        <f>BD34*VLOOKUP('Données projet'!$B$11,Paramètres!$A$1:$I$89,3,0)*VLOOKUP('Données projet'!$B$11,Paramètres!$A$1:$I$89,5,0)</f>
        <v>130.3158</v>
      </c>
      <c r="BF34" s="14">
        <f t="shared" si="37"/>
        <v>34.069321132661628</v>
      </c>
      <c r="BG34" s="22">
        <f t="shared" si="7"/>
        <v>286.30408597271895</v>
      </c>
      <c r="BH34" s="60">
        <f t="shared" si="8"/>
        <v>579.63741930605227</v>
      </c>
      <c r="BI34" s="60">
        <f ca="1">AVERAGE(OFFSET($BH$3,0,0,'Données projet'!$E$11+1,1))-AVERAGE(OFFSET($H$3,0,0,'Données projet'!$E$11+1,1))</f>
        <v>253.63061102077421</v>
      </c>
      <c r="BJ34" s="60">
        <f t="shared" si="38"/>
        <v>230.98056275369652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20.054441996724304</v>
      </c>
      <c r="BR34" s="23">
        <f>EXP(-LN(2)/2)*BR33+(1-EXP(-LN(2)/2))/(LN(2)/2)*BL34*BO34*VLOOKUP('Données projet'!$B$11,Paramètres!$A$1:$I$89,3,0)*0.475*44/12</f>
        <v>6.9729084285197711</v>
      </c>
      <c r="BS34" s="24">
        <f t="shared" si="9"/>
        <v>27.027350425244073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10.6</v>
      </c>
      <c r="BY34" s="13">
        <f>IF('Données projet'!$A$114&gt;35,BY33+BX34-CG33,IF(A34&lt;'Données projet'!$A$114,$BV$205^A34,IF(A34='Données projet'!$A$114,'Données projet'!$B$114,BY33+BX34-CG33)))</f>
        <v>129.59999999999994</v>
      </c>
      <c r="BZ34" s="14">
        <f>BY34*VLOOKUP('Données projet'!$B$12,Paramètres!$A$1:$I$89,3,0)*VLOOKUP('Données projet'!$B$12,Paramètres!$A$1:$I$89,5,0)</f>
        <v>95.022719999999964</v>
      </c>
      <c r="CA34" s="14">
        <f t="shared" si="39"/>
        <v>25.772728965975034</v>
      </c>
      <c r="CB34" s="22">
        <f t="shared" si="10"/>
        <v>210.38540694907314</v>
      </c>
      <c r="CC34" s="60">
        <f t="shared" si="11"/>
        <v>503.71874028240643</v>
      </c>
      <c r="CD34" s="60">
        <f ca="1">AVERAGE(OFFSET($CC$3,0,0,'Données projet'!$E$12+1,1))-AVERAGE(OFFSET($H$3,0,0,'Données projet'!$E$12+1,1))</f>
        <v>216.97968518094325</v>
      </c>
      <c r="CE34" s="60">
        <f t="shared" si="40"/>
        <v>248.38190023108666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7.1794871794871824</v>
      </c>
      <c r="CT34" s="13">
        <f>IF('Données projet'!$A$140&gt;35,CT33+CS34-DB33,IF(A34&lt;'Données projet'!$A$140,$CQ$205^A34,IF(A34='Données projet'!$A$140,'Données projet'!$B$140,CT33+CS34-DB33)))</f>
        <v>127.05128205128204</v>
      </c>
      <c r="CU34" s="18">
        <f>CT34*VLOOKUP('Données projet'!$B$13,Paramètres!$A$1:$I$89,3,0)*VLOOKUP('Données projet'!$B$13,Paramètres!$A$1:$I$89,5,0)</f>
        <v>85.225999999999999</v>
      </c>
      <c r="CV34" s="14">
        <f t="shared" si="41"/>
        <v>23.410224444266952</v>
      </c>
      <c r="CW34" s="22">
        <f t="shared" si="13"/>
        <v>189.20809090709827</v>
      </c>
      <c r="CX34" s="60">
        <f t="shared" si="14"/>
        <v>482.54142424043158</v>
      </c>
      <c r="CY34" s="60">
        <f ca="1">AVERAGE(OFFSET($CX$3,0,0,'Données projet'!$E$13+1,1))-AVERAGE(OFFSET($H$3,0,0,'Données projet'!$E$13+1,1))</f>
        <v>199.36703853638392</v>
      </c>
      <c r="CZ34" s="60">
        <f t="shared" si="42"/>
        <v>145.15653612907363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8">
        <f t="shared" si="1"/>
        <v>329.12798955473778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0">
        <f t="shared" si="0"/>
        <v>478.24526587136597</v>
      </c>
      <c r="S35" s="60">
        <f ca="1">AVERAGE(OFFSET($R$3,0,0,'Données projet'!$E$9+1,1))-AVERAGE(OFFSET($H$3,0,0,'Données projet'!$E$9+1,1))</f>
        <v>314.4389771131751</v>
      </c>
      <c r="T35" s="60">
        <f t="shared" si="34"/>
        <v>176.7239677722049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0">
        <f t="shared" si="5"/>
        <v>499.97258746891305</v>
      </c>
      <c r="AN35" s="60">
        <f ca="1">AVERAGE(OFFSET($AM$3,0,0,'Données projet'!$E$10+1,1))-AVERAGE(OFFSET($H$3,0,0,'Données projet'!$E$10+1,1))</f>
        <v>361.06925636707814</v>
      </c>
      <c r="AO35" s="60">
        <f t="shared" si="36"/>
        <v>201.44775212076888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18.092307692307688</v>
      </c>
      <c r="BD35" s="13">
        <f>IF('Données projet'!$A$88&gt;35,BD34+BC35-BL34,IF(A35&lt;'Données projet'!$A$88,$BA$205^A35,IF(A35='Données projet'!$A$88,'Données projet'!$B$88,BD34+BC35-BL34)))</f>
        <v>251.21538461538458</v>
      </c>
      <c r="BE35" s="14">
        <f>BD35*VLOOKUP('Données projet'!$B$11,Paramètres!$A$1:$I$89,3,0)*VLOOKUP('Données projet'!$B$11,Paramètres!$A$1:$I$89,5,0)</f>
        <v>140.42939999999999</v>
      </c>
      <c r="BF35" s="14">
        <f t="shared" si="37"/>
        <v>36.395357465468557</v>
      </c>
      <c r="BG35" s="22">
        <f t="shared" si="7"/>
        <v>307.96978591902433</v>
      </c>
      <c r="BH35" s="60">
        <f t="shared" si="8"/>
        <v>601.30311925235765</v>
      </c>
      <c r="BI35" s="60">
        <f ca="1">AVERAGE(OFFSET($BH$3,0,0,'Données projet'!$E$11+1,1))-AVERAGE(OFFSET($H$3,0,0,'Données projet'!$E$11+1,1))</f>
        <v>253.63061102077421</v>
      </c>
      <c r="BJ35" s="60">
        <f t="shared" si="38"/>
        <v>230.98056275369652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19.506052225706608</v>
      </c>
      <c r="BR35" s="23">
        <f>EXP(-LN(2)/2)*BR34+(1-EXP(-LN(2)/2))/(LN(2)/2)*BL35*BO35*VLOOKUP('Données projet'!$B$11,Paramètres!$A$1:$I$89,3,0)*0.475*44/12</f>
        <v>4.9305908343991627</v>
      </c>
      <c r="BS35" s="24">
        <f t="shared" si="9"/>
        <v>24.436643060105769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10.6</v>
      </c>
      <c r="BY35" s="13">
        <f>IF('Données projet'!$A$114&gt;35,BY34+BX35-CG34,IF(A35&lt;'Données projet'!$A$114,$BV$205^A35,IF(A35='Données projet'!$A$114,'Données projet'!$B$114,BY34+BX35-CG34)))</f>
        <v>140.19999999999993</v>
      </c>
      <c r="BZ35" s="14">
        <f>BY35*VLOOKUP('Données projet'!$B$12,Paramètres!$A$1:$I$89,3,0)*VLOOKUP('Données projet'!$B$12,Paramètres!$A$1:$I$89,5,0)</f>
        <v>102.79463999999994</v>
      </c>
      <c r="CA35" s="14">
        <f t="shared" si="39"/>
        <v>27.62671020390955</v>
      </c>
      <c r="CB35" s="22">
        <f t="shared" si="10"/>
        <v>227.15051827180903</v>
      </c>
      <c r="CC35" s="60">
        <f t="shared" si="11"/>
        <v>520.48385160514238</v>
      </c>
      <c r="CD35" s="60">
        <f ca="1">AVERAGE(OFFSET($CC$3,0,0,'Données projet'!$E$12+1,1))-AVERAGE(OFFSET($H$3,0,0,'Données projet'!$E$12+1,1))</f>
        <v>216.97968518094325</v>
      </c>
      <c r="CE35" s="60">
        <f t="shared" si="40"/>
        <v>248.38190023108666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7.1794871794871824</v>
      </c>
      <c r="CT35" s="13">
        <f>IF('Données projet'!$A$140&gt;35,CT34+CS35-DB34,IF(A35&lt;'Données projet'!$A$140,$CQ$205^A35,IF(A35='Données projet'!$A$140,'Données projet'!$B$140,CT34+CS35-DB34)))</f>
        <v>134.23076923076923</v>
      </c>
      <c r="CU35" s="18">
        <f>CT35*VLOOKUP('Données projet'!$B$13,Paramètres!$A$1:$I$89,3,0)*VLOOKUP('Données projet'!$B$13,Paramètres!$A$1:$I$89,5,0)</f>
        <v>90.042000000000002</v>
      </c>
      <c r="CV35" s="14">
        <f t="shared" si="41"/>
        <v>24.575354107485161</v>
      </c>
      <c r="CW35" s="22">
        <f t="shared" si="13"/>
        <v>199.62522507053666</v>
      </c>
      <c r="CX35" s="60">
        <f t="shared" si="14"/>
        <v>492.95855840386997</v>
      </c>
      <c r="CY35" s="60">
        <f ca="1">AVERAGE(OFFSET($CX$3,0,0,'Données projet'!$E$13+1,1))-AVERAGE(OFFSET($H$3,0,0,'Données projet'!$E$13+1,1))</f>
        <v>199.36703853638392</v>
      </c>
      <c r="CZ35" s="60">
        <f t="shared" si="42"/>
        <v>145.15653612907363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8">
        <f t="shared" si="1"/>
        <v>330.21343646768912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0">
        <f t="shared" si="0"/>
        <v>493.9053274736159</v>
      </c>
      <c r="S36" s="60">
        <f ca="1">AVERAGE(OFFSET($R$3,0,0,'Données projet'!$E$9+1,1))-AVERAGE(OFFSET($H$3,0,0,'Données projet'!$E$9+1,1))</f>
        <v>314.4389771131751</v>
      </c>
      <c r="T36" s="60">
        <f t="shared" si="34"/>
        <v>176.7239677722049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0">
        <f t="shared" si="5"/>
        <v>517.477574153982</v>
      </c>
      <c r="AN36" s="60">
        <f ca="1">AVERAGE(OFFSET($AM$3,0,0,'Données projet'!$E$10+1,1))-AVERAGE(OFFSET($H$3,0,0,'Données projet'!$E$10+1,1))</f>
        <v>361.06925636707814</v>
      </c>
      <c r="AO36" s="60">
        <f t="shared" si="36"/>
        <v>201.44775212076888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18.092307692307688</v>
      </c>
      <c r="BD36" s="13">
        <f>IF('Données projet'!$A$88&gt;35,BD35+BC36-BL35,IF(A36&lt;'Données projet'!$A$88,$BA$205^A36,IF(A36='Données projet'!$A$88,'Données projet'!$B$88,BD35+BC36-BL35)))</f>
        <v>269.30769230769226</v>
      </c>
      <c r="BE36" s="14">
        <f>BD36*VLOOKUP('Données projet'!$B$11,Paramètres!$A$1:$I$89,3,0)*VLOOKUP('Données projet'!$B$11,Paramètres!$A$1:$I$89,5,0)</f>
        <v>150.54299999999998</v>
      </c>
      <c r="BF36" s="14">
        <f t="shared" si="37"/>
        <v>38.701958356159636</v>
      </c>
      <c r="BG36" s="22">
        <f t="shared" si="7"/>
        <v>329.60163580364463</v>
      </c>
      <c r="BH36" s="60">
        <f t="shared" si="8"/>
        <v>622.934969136978</v>
      </c>
      <c r="BI36" s="60">
        <f ca="1">AVERAGE(OFFSET($BH$3,0,0,'Données projet'!$E$11+1,1))-AVERAGE(OFFSET($H$3,0,0,'Données projet'!$E$11+1,1))</f>
        <v>253.63061102077421</v>
      </c>
      <c r="BJ36" s="60">
        <f t="shared" si="38"/>
        <v>230.98056275369652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18.972658201815957</v>
      </c>
      <c r="BR36" s="23">
        <f>EXP(-LN(2)/2)*BR35+(1-EXP(-LN(2)/2))/(LN(2)/2)*BL36*BO36*VLOOKUP('Données projet'!$B$11,Paramètres!$A$1:$I$89,3,0)*0.475*44/12</f>
        <v>3.4864542142598856</v>
      </c>
      <c r="BS36" s="24">
        <f t="shared" si="9"/>
        <v>22.459112416075843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10.6</v>
      </c>
      <c r="BY36" s="13">
        <f>IF('Données projet'!$A$114&gt;35,BY35+BX36-CG35,IF(A36&lt;'Données projet'!$A$114,$BV$205^A36,IF(A36='Données projet'!$A$114,'Données projet'!$B$114,BY35+BX36-CG35)))</f>
        <v>150.79999999999993</v>
      </c>
      <c r="BZ36" s="14">
        <f>BY36*VLOOKUP('Données projet'!$B$12,Paramètres!$A$1:$I$89,3,0)*VLOOKUP('Données projet'!$B$12,Paramètres!$A$1:$I$89,5,0)</f>
        <v>110.56655999999994</v>
      </c>
      <c r="CA36" s="14">
        <f t="shared" si="39"/>
        <v>29.464430590067003</v>
      </c>
      <c r="CB36" s="22">
        <f t="shared" si="10"/>
        <v>243.88730861103326</v>
      </c>
      <c r="CC36" s="60">
        <f t="shared" si="11"/>
        <v>537.22064194436655</v>
      </c>
      <c r="CD36" s="60">
        <f ca="1">AVERAGE(OFFSET($CC$3,0,0,'Données projet'!$E$12+1,1))-AVERAGE(OFFSET($H$3,0,0,'Données projet'!$E$12+1,1))</f>
        <v>216.97968518094325</v>
      </c>
      <c r="CE36" s="60">
        <f t="shared" si="40"/>
        <v>248.38190023108666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7.1794871794871824</v>
      </c>
      <c r="CT36" s="13">
        <f>IF('Données projet'!$A$140&gt;35,CT35+CS36-DB35,IF(A36&lt;'Données projet'!$A$140,$CQ$205^A36,IF(A36='Données projet'!$A$140,'Données projet'!$B$140,CT35+CS36-DB35)))</f>
        <v>141.41025641025641</v>
      </c>
      <c r="CU36" s="18">
        <f>CT36*VLOOKUP('Données projet'!$B$13,Paramètres!$A$1:$I$89,3,0)*VLOOKUP('Données projet'!$B$13,Paramètres!$A$1:$I$89,5,0)</f>
        <v>94.858000000000004</v>
      </c>
      <c r="CV36" s="14">
        <f t="shared" si="41"/>
        <v>25.733248812615624</v>
      </c>
      <c r="CW36" s="22">
        <f t="shared" si="13"/>
        <v>210.02975834863889</v>
      </c>
      <c r="CX36" s="60">
        <f t="shared" si="14"/>
        <v>503.36309168197221</v>
      </c>
      <c r="CY36" s="60">
        <f ca="1">AVERAGE(OFFSET($CX$3,0,0,'Données projet'!$E$13+1,1))-AVERAGE(OFFSET($H$3,0,0,'Données projet'!$E$13+1,1))</f>
        <v>199.36703853638392</v>
      </c>
      <c r="CZ36" s="60">
        <f t="shared" si="42"/>
        <v>145.15653612907363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8">
        <f t="shared" si="1"/>
        <v>331.29801105474394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0">
        <f t="shared" si="0"/>
        <v>509.537057935093</v>
      </c>
      <c r="S37" s="60">
        <f ca="1">AVERAGE(OFFSET($R$3,0,0,'Données projet'!$E$9+1,1))-AVERAGE(OFFSET($H$3,0,0,'Données projet'!$E$9+1,1))</f>
        <v>314.4389771131751</v>
      </c>
      <c r="T37" s="60">
        <f t="shared" si="34"/>
        <v>176.7239677722049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0">
        <f t="shared" si="5"/>
        <v>534.95122875168499</v>
      </c>
      <c r="AN37" s="60">
        <f ca="1">AVERAGE(OFFSET($AM$3,0,0,'Données projet'!$E$10+1,1))-AVERAGE(OFFSET($H$3,0,0,'Données projet'!$E$10+1,1))</f>
        <v>361.06925636707814</v>
      </c>
      <c r="AO37" s="60">
        <f t="shared" si="36"/>
        <v>201.44775212076888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18.092307692307688</v>
      </c>
      <c r="BD37" s="13">
        <f>IF('Données projet'!$A$88&gt;35,BD36+BC37-BL36,IF(A37&lt;'Données projet'!$A$88,$BA$205^A37,IF(A37='Données projet'!$A$88,'Données projet'!$B$88,BD36+BC37-BL36)))</f>
        <v>287.39999999999998</v>
      </c>
      <c r="BE37" s="14">
        <f>BD37*VLOOKUP('Données projet'!$B$11,Paramètres!$A$1:$I$89,3,0)*VLOOKUP('Données projet'!$B$11,Paramètres!$A$1:$I$89,5,0)</f>
        <v>160.6566</v>
      </c>
      <c r="BF37" s="14">
        <f t="shared" si="37"/>
        <v>40.990578051927393</v>
      </c>
      <c r="BG37" s="22">
        <f t="shared" si="7"/>
        <v>351.20216844044018</v>
      </c>
      <c r="BH37" s="60">
        <f t="shared" si="8"/>
        <v>644.53550177377349</v>
      </c>
      <c r="BI37" s="60">
        <f ca="1">AVERAGE(OFFSET($BH$3,0,0,'Données projet'!$E$11+1,1))-AVERAGE(OFFSET($H$3,0,0,'Données projet'!$E$11+1,1))</f>
        <v>253.63061102077421</v>
      </c>
      <c r="BJ37" s="60">
        <f t="shared" si="38"/>
        <v>230.98056275369652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18.453849865558567</v>
      </c>
      <c r="BR37" s="23">
        <f>EXP(-LN(2)/2)*BR36+(1-EXP(-LN(2)/2))/(LN(2)/2)*BL37*BO37*VLOOKUP('Données projet'!$B$11,Paramètres!$A$1:$I$89,3,0)*0.475*44/12</f>
        <v>2.4652954171995813</v>
      </c>
      <c r="BS37" s="24">
        <f t="shared" si="9"/>
        <v>20.919145282758148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10.6</v>
      </c>
      <c r="BY37" s="13">
        <f>IF('Données projet'!$A$114&gt;35,BY36+BX37-CG36,IF(A37&lt;'Données projet'!$A$114,$BV$205^A37,IF(A37='Données projet'!$A$114,'Données projet'!$B$114,BY36+BX37-CG36)))</f>
        <v>161.39999999999992</v>
      </c>
      <c r="BZ37" s="14">
        <f>BY37*VLOOKUP('Données projet'!$B$12,Paramètres!$A$1:$I$89,3,0)*VLOOKUP('Données projet'!$B$12,Paramètres!$A$1:$I$89,5,0)</f>
        <v>118.33847999999995</v>
      </c>
      <c r="CA37" s="14">
        <f t="shared" si="39"/>
        <v>31.287163138599794</v>
      </c>
      <c r="CB37" s="22">
        <f t="shared" si="10"/>
        <v>260.59799513306115</v>
      </c>
      <c r="CC37" s="60">
        <f t="shared" si="11"/>
        <v>553.93132846639446</v>
      </c>
      <c r="CD37" s="60">
        <f ca="1">AVERAGE(OFFSET($CC$3,0,0,'Données projet'!$E$12+1,1))-AVERAGE(OFFSET($H$3,0,0,'Données projet'!$E$12+1,1))</f>
        <v>216.97968518094325</v>
      </c>
      <c r="CE37" s="60">
        <f t="shared" si="40"/>
        <v>248.38190023108666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7.1794871794871824</v>
      </c>
      <c r="CT37" s="13">
        <f>IF('Données projet'!$A$140&gt;35,CT36+CS37-DB36,IF(A37&lt;'Données projet'!$A$140,$CQ$205^A37,IF(A37='Données projet'!$A$140,'Données projet'!$B$140,CT36+CS37-DB36)))</f>
        <v>148.58974358974359</v>
      </c>
      <c r="CU37" s="18">
        <f>CT37*VLOOKUP('Données projet'!$B$13,Paramètres!$A$1:$I$89,3,0)*VLOOKUP('Données projet'!$B$13,Paramètres!$A$1:$I$89,5,0)</f>
        <v>99.674000000000007</v>
      </c>
      <c r="CV37" s="14">
        <f t="shared" si="41"/>
        <v>26.884317790337015</v>
      </c>
      <c r="CW37" s="22">
        <f t="shared" si="13"/>
        <v>220.42240348483696</v>
      </c>
      <c r="CX37" s="60">
        <f t="shared" si="14"/>
        <v>513.75573681817025</v>
      </c>
      <c r="CY37" s="60">
        <f ca="1">AVERAGE(OFFSET($CX$3,0,0,'Données projet'!$E$13+1,1))-AVERAGE(OFFSET($H$3,0,0,'Données projet'!$E$13+1,1))</f>
        <v>199.36703853638392</v>
      </c>
      <c r="CZ37" s="60">
        <f t="shared" si="42"/>
        <v>145.15653612907363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8">
        <f t="shared" si="1"/>
        <v>332.38174191836544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0">
        <f t="shared" si="0"/>
        <v>525.14279449916307</v>
      </c>
      <c r="S38" s="60">
        <f ca="1">AVERAGE(OFFSET($R$3,0,0,'Données projet'!$E$9+1,1))-AVERAGE(OFFSET($H$3,0,0,'Données projet'!$E$9+1,1))</f>
        <v>314.4389771131751</v>
      </c>
      <c r="T38" s="60">
        <f t="shared" si="34"/>
        <v>176.7239677722049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0">
        <f t="shared" si="5"/>
        <v>552.39613607545789</v>
      </c>
      <c r="AN38" s="60">
        <f ca="1">AVERAGE(OFFSET($AM$3,0,0,'Données projet'!$E$10+1,1))-AVERAGE(OFFSET($H$3,0,0,'Données projet'!$E$10+1,1))</f>
        <v>361.06925636707814</v>
      </c>
      <c r="AO38" s="60">
        <f t="shared" si="36"/>
        <v>201.44775212076888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305.49230769230769</v>
      </c>
      <c r="BB38" s="13">
        <f>VLOOKUP(A38,'Données projet'!$A$87:$I$107,9,0)</f>
        <v>18.092307692307688</v>
      </c>
      <c r="BC38" s="13">
        <f t="array" ref="BC38">INDEX(BB:BB,MIN(IF(ISNUMBER(BB38:BB234),ROW(BB38:BB234),"")))</f>
        <v>18.092307692307688</v>
      </c>
      <c r="BD38" s="13">
        <f>IF('Données projet'!$A$88&gt;35,BD37+BC38-BL37,IF(A38&lt;'Données projet'!$A$88,$BA$205^A38,IF(A38='Données projet'!$A$88,'Données projet'!$B$88,BD37+BC38-BL37)))</f>
        <v>305.49230769230769</v>
      </c>
      <c r="BE38" s="14">
        <f>BD38*VLOOKUP('Données projet'!$B$11,Paramètres!$A$1:$I$89,3,0)*VLOOKUP('Données projet'!$B$11,Paramètres!$A$1:$I$89,5,0)</f>
        <v>170.77019999999999</v>
      </c>
      <c r="BF38" s="14">
        <f t="shared" si="37"/>
        <v>43.26247735598961</v>
      </c>
      <c r="BG38" s="22">
        <f t="shared" si="7"/>
        <v>372.77357972834852</v>
      </c>
      <c r="BH38" s="60">
        <f t="shared" si="8"/>
        <v>666.10691306168178</v>
      </c>
      <c r="BI38" s="60">
        <f ca="1">AVERAGE(OFFSET($BH$3,0,0,'Données projet'!$E$11+1,1))-AVERAGE(OFFSET($H$3,0,0,'Données projet'!$E$11+1,1))</f>
        <v>253.63061102077421</v>
      </c>
      <c r="BJ38" s="60">
        <f t="shared" si="38"/>
        <v>230.98056275369652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70.5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17.949228370539082</v>
      </c>
      <c r="BR38" s="23">
        <f>EXP(-LN(2)/2)*BR37+(1-EXP(-LN(2)/2))/(LN(2)/2)*BL38*BO38*VLOOKUP('Données projet'!$B$11,Paramètres!$A$1:$I$89,3,0)*0.475*44/12</f>
        <v>1.7432271071299428</v>
      </c>
      <c r="BS38" s="24">
        <f t="shared" si="9"/>
        <v>19.692455477669025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172</v>
      </c>
      <c r="BW38" s="13">
        <f>VLOOKUP(A38,'Données projet'!$A$113:$I$133,9,0)</f>
        <v>10.6</v>
      </c>
      <c r="BX38" s="13">
        <f t="array" ref="BX38">INDEX(BW:BW,MIN(IF(ISNUMBER(BW38:BW234),ROW(BW38:BW234),"")))</f>
        <v>10.6</v>
      </c>
      <c r="BY38" s="13">
        <f>IF('Données projet'!$A$114&gt;35,BY37+BX38-CG37,IF(A38&lt;'Données projet'!$A$114,$BV$205^A38,IF(A38='Données projet'!$A$114,'Données projet'!$B$114,BY37+BX38-CG37)))</f>
        <v>171.99999999999991</v>
      </c>
      <c r="BZ38" s="14">
        <f>BY38*VLOOKUP('Données projet'!$B$12,Paramètres!$A$1:$I$89,3,0)*VLOOKUP('Données projet'!$B$12,Paramètres!$A$1:$I$89,5,0)</f>
        <v>126.11039999999994</v>
      </c>
      <c r="CA38" s="14">
        <f t="shared" si="39"/>
        <v>33.096004194977844</v>
      </c>
      <c r="CB38" s="22">
        <f t="shared" si="10"/>
        <v>277.28448730625297</v>
      </c>
      <c r="CC38" s="60">
        <f t="shared" si="11"/>
        <v>570.61782063958628</v>
      </c>
      <c r="CD38" s="60">
        <f ca="1">AVERAGE(OFFSET($CC$3,0,0,'Données projet'!$E$12+1,1))-AVERAGE(OFFSET($H$3,0,0,'Données projet'!$E$12+1,1))</f>
        <v>216.97968518094325</v>
      </c>
      <c r="CE38" s="60">
        <f t="shared" si="40"/>
        <v>248.38190023108666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155.76923076923077</v>
      </c>
      <c r="CR38" s="13">
        <f>VLOOKUP(A38,'Données projet'!$A$139:$I$159,9,0)</f>
        <v>7.1794871794871824</v>
      </c>
      <c r="CS38" s="13">
        <f t="array" ref="CS38">INDEX(CR:CR,MIN(IF(ISNUMBER(CR38:CR234),ROW(CR38:CR234),"")))</f>
        <v>7.1794871794871824</v>
      </c>
      <c r="CT38" s="13">
        <f>IF('Données projet'!$A$140&gt;35,CT37+CS38-DB37,IF(A38&lt;'Données projet'!$A$140,$CQ$205^A38,IF(A38='Données projet'!$A$140,'Données projet'!$B$140,CT37+CS38-DB37)))</f>
        <v>155.76923076923077</v>
      </c>
      <c r="CU38" s="18">
        <f>CT38*VLOOKUP('Données projet'!$B$13,Paramètres!$A$1:$I$89,3,0)*VLOOKUP('Données projet'!$B$13,Paramètres!$A$1:$I$89,5,0)</f>
        <v>104.49</v>
      </c>
      <c r="CV38" s="14">
        <f t="shared" si="41"/>
        <v>28.028928490951767</v>
      </c>
      <c r="CW38" s="22">
        <f t="shared" si="13"/>
        <v>230.80380045507431</v>
      </c>
      <c r="CX38" s="60">
        <f t="shared" si="14"/>
        <v>524.1371337884076</v>
      </c>
      <c r="CY38" s="60">
        <f ca="1">AVERAGE(OFFSET($CX$3,0,0,'Données projet'!$E$13+1,1))-AVERAGE(OFFSET($H$3,0,0,'Données projet'!$E$13+1,1))</f>
        <v>199.36703853638392</v>
      </c>
      <c r="CZ38" s="60">
        <f t="shared" si="42"/>
        <v>145.15653612907363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31.410256410256409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8">
        <f t="shared" si="1"/>
        <v>333.46465593362842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0">
        <f t="shared" si="0"/>
        <v>541.50302276112825</v>
      </c>
      <c r="S39" s="60">
        <f ca="1">AVERAGE(OFFSET($R$3,0,0,'Données projet'!$E$9+1,1))-AVERAGE(OFFSET($H$3,0,0,'Données projet'!$E$9+1,1))</f>
        <v>314.4389771131751</v>
      </c>
      <c r="T39" s="60">
        <f t="shared" si="34"/>
        <v>176.7239677722049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0">
        <f t="shared" si="5"/>
        <v>570.68476131278612</v>
      </c>
      <c r="AN39" s="60">
        <f ca="1">AVERAGE(OFFSET($AM$3,0,0,'Données projet'!$E$10+1,1))-AVERAGE(OFFSET($H$3,0,0,'Données projet'!$E$10+1,1))</f>
        <v>361.06925636707814</v>
      </c>
      <c r="AO39" s="60">
        <f t="shared" si="36"/>
        <v>201.44775212076888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18.229670329670324</v>
      </c>
      <c r="BD39" s="13">
        <f>IF('Données projet'!$A$88&gt;35,BD38+BC39-BL38,IF(A39&lt;'Données projet'!$A$88,$BA$205^A39,IF(A39='Données projet'!$A$88,'Données projet'!$B$88,BD38+BC39-BL38)))</f>
        <v>253.22197802197803</v>
      </c>
      <c r="BE39" s="14">
        <f>BD39*VLOOKUP('Données projet'!$B$11,Paramètres!$A$1:$I$89,3,0)*VLOOKUP('Données projet'!$B$11,Paramètres!$A$1:$I$89,5,0)</f>
        <v>141.55108571428573</v>
      </c>
      <c r="BF39" s="14">
        <f t="shared" si="37"/>
        <v>36.652109269178766</v>
      </c>
      <c r="BG39" s="22">
        <f t="shared" si="7"/>
        <v>310.37056459620067</v>
      </c>
      <c r="BH39" s="60">
        <f t="shared" si="8"/>
        <v>603.70389792953392</v>
      </c>
      <c r="BI39" s="60">
        <f ca="1">AVERAGE(OFFSET($BH$3,0,0,'Données projet'!$E$11+1,1))-AVERAGE(OFFSET($H$3,0,0,'Données projet'!$E$11+1,1))</f>
        <v>253.63061102077421</v>
      </c>
      <c r="BJ39" s="60">
        <f t="shared" si="38"/>
        <v>230.98056275369652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17.458405776837793</v>
      </c>
      <c r="BR39" s="23">
        <f>EXP(-LN(2)/2)*BR38+(1-EXP(-LN(2)/2))/(LN(2)/2)*BL39*BO39*VLOOKUP('Données projet'!$B$11,Paramètres!$A$1:$I$89,3,0)*0.475*44/12</f>
        <v>1.2326477085997907</v>
      </c>
      <c r="BS39" s="24">
        <f t="shared" si="9"/>
        <v>18.691053485437585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IF('Données projet'!$A$114&gt;35,BY38+BX39-CG38,IF(A39&lt;'Données projet'!$A$114,$BV$205^A39,IF(A39='Données projet'!$A$114,'Données projet'!$B$114,BY38+BX39-CG38)))</f>
        <v>181.59999999999991</v>
      </c>
      <c r="BZ39" s="14">
        <f>BY39*VLOOKUP('Données projet'!$B$12,Paramètres!$A$1:$I$89,3,0)*VLOOKUP('Données projet'!$B$12,Paramètres!$A$1:$I$89,5,0)</f>
        <v>133.14911999999993</v>
      </c>
      <c r="CA39" s="14">
        <f t="shared" si="39"/>
        <v>34.723011740352263</v>
      </c>
      <c r="CB39" s="22">
        <f t="shared" si="10"/>
        <v>292.37729611444672</v>
      </c>
      <c r="CC39" s="60">
        <f t="shared" si="11"/>
        <v>585.71062944778009</v>
      </c>
      <c r="CD39" s="60">
        <f ca="1">AVERAGE(OFFSET($CC$3,0,0,'Données projet'!$E$12+1,1))-AVERAGE(OFFSET($H$3,0,0,'Données projet'!$E$12+1,1))</f>
        <v>216.97968518094325</v>
      </c>
      <c r="CE39" s="60">
        <f t="shared" si="40"/>
        <v>248.38190023108666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6.9230769230769225</v>
      </c>
      <c r="CT39" s="13">
        <f>IF('Données projet'!$A$140&gt;35,CT38+CS39-DB38,IF(A39&lt;'Données projet'!$A$140,$CQ$205^A39,IF(A39='Données projet'!$A$140,'Données projet'!$B$140,CT38+CS39-DB38)))</f>
        <v>131.2820512820513</v>
      </c>
      <c r="CU39" s="18">
        <f>CT39*VLOOKUP('Données projet'!$B$13,Paramètres!$A$1:$I$89,3,0)*VLOOKUP('Données projet'!$B$13,Paramètres!$A$1:$I$89,5,0)</f>
        <v>88.064000000000007</v>
      </c>
      <c r="CV39" s="14">
        <f t="shared" si="41"/>
        <v>24.097719124688673</v>
      </c>
      <c r="CW39" s="22">
        <f t="shared" si="13"/>
        <v>195.34832747549947</v>
      </c>
      <c r="CX39" s="60">
        <f t="shared" si="14"/>
        <v>488.68166080883282</v>
      </c>
      <c r="CY39" s="60">
        <f ca="1">AVERAGE(OFFSET($CX$3,0,0,'Données projet'!$E$13+1,1))-AVERAGE(OFFSET($H$3,0,0,'Données projet'!$E$13+1,1))</f>
        <v>199.36703853638392</v>
      </c>
      <c r="CZ39" s="60">
        <f t="shared" si="42"/>
        <v>145.15653612907363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8">
        <f t="shared" si="1"/>
        <v>334.54677839758983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0">
        <f t="shared" si="0"/>
        <v>557.83878140250943</v>
      </c>
      <c r="S40" s="60">
        <f ca="1">AVERAGE(OFFSET($R$3,0,0,'Données projet'!$E$9+1,1))-AVERAGE(OFFSET($H$3,0,0,'Données projet'!$E$9+1,1))</f>
        <v>314.4389771131751</v>
      </c>
      <c r="T40" s="60">
        <f t="shared" si="34"/>
        <v>176.7239677722049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0">
        <f t="shared" si="5"/>
        <v>588.9463250104435</v>
      </c>
      <c r="AN40" s="60">
        <f ca="1">AVERAGE(OFFSET($AM$3,0,0,'Données projet'!$E$10+1,1))-AVERAGE(OFFSET($H$3,0,0,'Données projet'!$E$10+1,1))</f>
        <v>361.06925636707814</v>
      </c>
      <c r="AO40" s="60">
        <f t="shared" si="36"/>
        <v>201.44775212076888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18.229670329670324</v>
      </c>
      <c r="BD40" s="13">
        <f>IF('Données projet'!$A$88&gt;35,BD39+BC40-BL39,IF(A40&lt;'Données projet'!$A$88,$BA$205^A40,IF(A40='Données projet'!$A$88,'Données projet'!$B$88,BD39+BC40-BL39)))</f>
        <v>271.45164835164837</v>
      </c>
      <c r="BE40" s="14">
        <f>BD40*VLOOKUP('Données projet'!$B$11,Paramètres!$A$1:$I$89,3,0)*VLOOKUP('Données projet'!$B$11,Paramètres!$A$1:$I$89,5,0)</f>
        <v>151.74147142857143</v>
      </c>
      <c r="BF40" s="14">
        <f t="shared" si="37"/>
        <v>38.974074991810518</v>
      </c>
      <c r="BG40" s="22">
        <f t="shared" si="7"/>
        <v>332.16291001549854</v>
      </c>
      <c r="BH40" s="60">
        <f t="shared" si="8"/>
        <v>625.49624334883185</v>
      </c>
      <c r="BI40" s="60">
        <f ca="1">AVERAGE(OFFSET($BH$3,0,0,'Données projet'!$E$11+1,1))-AVERAGE(OFFSET($H$3,0,0,'Données projet'!$E$11+1,1))</f>
        <v>253.63061102077421</v>
      </c>
      <c r="BJ40" s="60">
        <f t="shared" si="38"/>
        <v>230.98056275369652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16.981004752772506</v>
      </c>
      <c r="BR40" s="23">
        <f>EXP(-LN(2)/2)*BR39+(1-EXP(-LN(2)/2))/(LN(2)/2)*BL40*BO40*VLOOKUP('Données projet'!$B$11,Paramètres!$A$1:$I$89,3,0)*0.475*44/12</f>
        <v>0.87161355356497139</v>
      </c>
      <c r="BS40" s="24">
        <f t="shared" si="9"/>
        <v>17.852618306337476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IF('Données projet'!$A$114&gt;35,BY39+BX40-CG39,IF(A40&lt;'Données projet'!$A$114,$BV$205^A40,IF(A40='Données projet'!$A$114,'Données projet'!$B$114,BY39+BX40-CG39)))</f>
        <v>191.1999999999999</v>
      </c>
      <c r="BZ40" s="14">
        <f>BY40*VLOOKUP('Données projet'!$B$12,Paramètres!$A$1:$I$89,3,0)*VLOOKUP('Données projet'!$B$12,Paramètres!$A$1:$I$89,5,0)</f>
        <v>140.18783999999991</v>
      </c>
      <c r="CA40" s="14">
        <f t="shared" si="39"/>
        <v>36.340033642714133</v>
      </c>
      <c r="CB40" s="22">
        <f t="shared" si="10"/>
        <v>307.4527132610603</v>
      </c>
      <c r="CC40" s="60">
        <f t="shared" si="11"/>
        <v>600.78604659439361</v>
      </c>
      <c r="CD40" s="60">
        <f ca="1">AVERAGE(OFFSET($CC$3,0,0,'Données projet'!$E$12+1,1))-AVERAGE(OFFSET($H$3,0,0,'Données projet'!$E$12+1,1))</f>
        <v>216.97968518094325</v>
      </c>
      <c r="CE40" s="60">
        <f t="shared" si="40"/>
        <v>248.38190023108666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6.9230769230769225</v>
      </c>
      <c r="CT40" s="13">
        <f>IF('Données projet'!$A$140&gt;35,CT39+CS40-DB39,IF(A40&lt;'Données projet'!$A$140,$CQ$205^A40,IF(A40='Données projet'!$A$140,'Données projet'!$B$140,CT39+CS40-DB39)))</f>
        <v>138.20512820512823</v>
      </c>
      <c r="CU40" s="18">
        <f>CT40*VLOOKUP('Données projet'!$B$13,Paramètres!$A$1:$I$89,3,0)*VLOOKUP('Données projet'!$B$13,Paramètres!$A$1:$I$89,5,0)</f>
        <v>92.708000000000027</v>
      </c>
      <c r="CV40" s="14">
        <f t="shared" si="41"/>
        <v>25.217198292374437</v>
      </c>
      <c r="CW40" s="22">
        <f t="shared" si="13"/>
        <v>205.38638702588551</v>
      </c>
      <c r="CX40" s="60">
        <f t="shared" si="14"/>
        <v>498.71972035921885</v>
      </c>
      <c r="CY40" s="60">
        <f ca="1">AVERAGE(OFFSET($CX$3,0,0,'Données projet'!$E$13+1,1))-AVERAGE(OFFSET($H$3,0,0,'Données projet'!$E$13+1,1))</f>
        <v>199.36703853638392</v>
      </c>
      <c r="CZ40" s="60">
        <f t="shared" si="42"/>
        <v>145.15653612907363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8">
        <f t="shared" si="1"/>
        <v>335.62813316205717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0">
        <f t="shared" si="0"/>
        <v>574.15179438724942</v>
      </c>
      <c r="S41" s="60">
        <f ca="1">AVERAGE(OFFSET($R$3,0,0,'Données projet'!$E$9+1,1))-AVERAGE(OFFSET($H$3,0,0,'Données projet'!$E$9+1,1))</f>
        <v>314.4389771131751</v>
      </c>
      <c r="T41" s="60">
        <f t="shared" si="34"/>
        <v>176.7239677722049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0">
        <f t="shared" si="5"/>
        <v>607.18273374145838</v>
      </c>
      <c r="AN41" s="60">
        <f ca="1">AVERAGE(OFFSET($AM$3,0,0,'Données projet'!$E$10+1,1))-AVERAGE(OFFSET($H$3,0,0,'Données projet'!$E$10+1,1))</f>
        <v>361.06925636707814</v>
      </c>
      <c r="AO41" s="60">
        <f t="shared" si="36"/>
        <v>201.44775212076888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18.229670329670324</v>
      </c>
      <c r="BD41" s="13">
        <f>IF('Données projet'!$A$88&gt;35,BD40+BC41-BL40,IF(A41&lt;'Données projet'!$A$88,$BA$205^A41,IF(A41='Données projet'!$A$88,'Données projet'!$B$88,BD40+BC41-BL40)))</f>
        <v>289.68131868131871</v>
      </c>
      <c r="BE41" s="14">
        <f>BD41*VLOOKUP('Données projet'!$B$11,Paramètres!$A$1:$I$89,3,0)*VLOOKUP('Données projet'!$B$11,Paramètres!$A$1:$I$89,5,0)</f>
        <v>161.93185714285718</v>
      </c>
      <c r="BF41" s="14">
        <f t="shared" si="37"/>
        <v>41.277946347593272</v>
      </c>
      <c r="BG41" s="22">
        <f t="shared" si="7"/>
        <v>353.92374107920119</v>
      </c>
      <c r="BH41" s="60">
        <f t="shared" si="8"/>
        <v>647.25707441253451</v>
      </c>
      <c r="BI41" s="60">
        <f ca="1">AVERAGE(OFFSET($BH$3,0,0,'Données projet'!$E$11+1,1))-AVERAGE(OFFSET($H$3,0,0,'Données projet'!$E$11+1,1))</f>
        <v>253.63061102077421</v>
      </c>
      <c r="BJ41" s="60">
        <f t="shared" si="38"/>
        <v>230.98056275369652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16.516658284815712</v>
      </c>
      <c r="BR41" s="23">
        <f>EXP(-LN(2)/2)*BR40+(1-EXP(-LN(2)/2))/(LN(2)/2)*BL41*BO41*VLOOKUP('Données projet'!$B$11,Paramètres!$A$1:$I$89,3,0)*0.475*44/12</f>
        <v>0.61632385429989534</v>
      </c>
      <c r="BS41" s="24">
        <f t="shared" si="9"/>
        <v>17.132982139115608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IF('Données projet'!$A$114&gt;35,BY40+BX41-CG40,IF(A41&lt;'Données projet'!$A$114,$BV$205^A41,IF(A41='Données projet'!$A$114,'Données projet'!$B$114,BY40+BX41-CG40)))</f>
        <v>200.7999999999999</v>
      </c>
      <c r="BZ41" s="14">
        <f>BY41*VLOOKUP('Données projet'!$B$12,Paramètres!$A$1:$I$89,3,0)*VLOOKUP('Données projet'!$B$12,Paramètres!$A$1:$I$89,5,0)</f>
        <v>147.22655999999992</v>
      </c>
      <c r="CA41" s="14">
        <f t="shared" si="39"/>
        <v>37.947628481165793</v>
      </c>
      <c r="CB41" s="22">
        <f t="shared" si="10"/>
        <v>322.51171160469693</v>
      </c>
      <c r="CC41" s="60">
        <f t="shared" si="11"/>
        <v>615.84504493803024</v>
      </c>
      <c r="CD41" s="60">
        <f ca="1">AVERAGE(OFFSET($CC$3,0,0,'Données projet'!$E$12+1,1))-AVERAGE(OFFSET($H$3,0,0,'Données projet'!$E$12+1,1))</f>
        <v>216.97968518094325</v>
      </c>
      <c r="CE41" s="60">
        <f t="shared" si="40"/>
        <v>248.38190023108666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6.9230769230769225</v>
      </c>
      <c r="CT41" s="13">
        <f>IF('Données projet'!$A$140&gt;35,CT40+CS41-DB40,IF(A41&lt;'Données projet'!$A$140,$CQ$205^A41,IF(A41='Données projet'!$A$140,'Données projet'!$B$140,CT40+CS41-DB40)))</f>
        <v>145.12820512820517</v>
      </c>
      <c r="CU41" s="18">
        <f>CT41*VLOOKUP('Données projet'!$B$13,Paramètres!$A$1:$I$89,3,0)*VLOOKUP('Données projet'!$B$13,Paramètres!$A$1:$I$89,5,0)</f>
        <v>97.352000000000032</v>
      </c>
      <c r="CV41" s="14">
        <f t="shared" si="41"/>
        <v>26.330166121651178</v>
      </c>
      <c r="CW41" s="22">
        <f t="shared" si="13"/>
        <v>215.41310599520918</v>
      </c>
      <c r="CX41" s="60">
        <f t="shared" si="14"/>
        <v>508.74643932854246</v>
      </c>
      <c r="CY41" s="60">
        <f ca="1">AVERAGE(OFFSET($CX$3,0,0,'Données projet'!$E$13+1,1))-AVERAGE(OFFSET($H$3,0,0,'Données projet'!$E$13+1,1))</f>
        <v>199.36703853638392</v>
      </c>
      <c r="CZ41" s="60">
        <f t="shared" si="42"/>
        <v>145.15653612907363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8">
        <f t="shared" si="1"/>
        <v>336.70874275198798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0">
        <f t="shared" si="0"/>
        <v>590.44356897369653</v>
      </c>
      <c r="S42" s="60">
        <f ca="1">AVERAGE(OFFSET($R$3,0,0,'Données projet'!$E$9+1,1))-AVERAGE(OFFSET($H$3,0,0,'Données projet'!$E$9+1,1))</f>
        <v>314.4389771131751</v>
      </c>
      <c r="T42" s="60">
        <f t="shared" si="34"/>
        <v>176.7239677722049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0">
        <f t="shared" si="5"/>
        <v>625.39565441895047</v>
      </c>
      <c r="AN42" s="60">
        <f ca="1">AVERAGE(OFFSET($AM$3,0,0,'Données projet'!$E$10+1,1))-AVERAGE(OFFSET($H$3,0,0,'Données projet'!$E$10+1,1))</f>
        <v>361.06925636707814</v>
      </c>
      <c r="AO42" s="60">
        <f t="shared" si="36"/>
        <v>201.44775212076888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18.229670329670324</v>
      </c>
      <c r="BD42" s="13">
        <f>IF('Données projet'!$A$88&gt;35,BD41+BC42-BL41,IF(A42&lt;'Données projet'!$A$88,$BA$205^A42,IF(A42='Données projet'!$A$88,'Données projet'!$B$88,BD41+BC42-BL41)))</f>
        <v>307.91098901098906</v>
      </c>
      <c r="BE42" s="14">
        <f>BD42*VLOOKUP('Données projet'!$B$11,Paramètres!$A$1:$I$89,3,0)*VLOOKUP('Données projet'!$B$11,Paramètres!$A$1:$I$89,5,0)</f>
        <v>172.12224285714288</v>
      </c>
      <c r="BF42" s="14">
        <f t="shared" si="37"/>
        <v>43.564991640658711</v>
      </c>
      <c r="BG42" s="22">
        <f t="shared" si="7"/>
        <v>375.65526675033772</v>
      </c>
      <c r="BH42" s="60">
        <f t="shared" si="8"/>
        <v>668.98860008367103</v>
      </c>
      <c r="BI42" s="60">
        <f ca="1">AVERAGE(OFFSET($BH$3,0,0,'Données projet'!$E$11+1,1))-AVERAGE(OFFSET($H$3,0,0,'Données projet'!$E$11+1,1))</f>
        <v>253.63061102077421</v>
      </c>
      <c r="BJ42" s="60">
        <f t="shared" si="38"/>
        <v>230.98056275369652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16.065009395444118</v>
      </c>
      <c r="BR42" s="23">
        <f>EXP(-LN(2)/2)*BR41+(1-EXP(-LN(2)/2))/(LN(2)/2)*BL42*BO42*VLOOKUP('Données projet'!$B$11,Paramètres!$A$1:$I$89,3,0)*0.475*44/12</f>
        <v>0.43580677678248569</v>
      </c>
      <c r="BS42" s="24">
        <f t="shared" si="9"/>
        <v>16.500816172226603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IF('Données projet'!$A$114&gt;35,BY41+BX42-CG41,IF(A42&lt;'Données projet'!$A$114,$BV$205^A42,IF(A42='Données projet'!$A$114,'Données projet'!$B$114,BY41+BX42-CG41)))</f>
        <v>210.39999999999989</v>
      </c>
      <c r="BZ42" s="14">
        <f>BY42*VLOOKUP('Données projet'!$B$12,Paramètres!$A$1:$I$89,3,0)*VLOOKUP('Données projet'!$B$12,Paramètres!$A$1:$I$89,5,0)</f>
        <v>154.26527999999993</v>
      </c>
      <c r="CA42" s="14">
        <f t="shared" si="39"/>
        <v>39.546298406974444</v>
      </c>
      <c r="CB42" s="22">
        <f t="shared" si="10"/>
        <v>337.55516572548032</v>
      </c>
      <c r="CC42" s="60">
        <f t="shared" si="11"/>
        <v>630.88849905881364</v>
      </c>
      <c r="CD42" s="60">
        <f ca="1">AVERAGE(OFFSET($CC$3,0,0,'Données projet'!$E$12+1,1))-AVERAGE(OFFSET($H$3,0,0,'Données projet'!$E$12+1,1))</f>
        <v>216.97968518094325</v>
      </c>
      <c r="CE42" s="60">
        <f t="shared" si="40"/>
        <v>248.38190023108666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6.9230769230769225</v>
      </c>
      <c r="CT42" s="13">
        <f>IF('Données projet'!$A$140&gt;35,CT41+CS42-DB41,IF(A42&lt;'Données projet'!$A$140,$CQ$205^A42,IF(A42='Données projet'!$A$140,'Données projet'!$B$140,CT41+CS42-DB41)))</f>
        <v>152.0512820512821</v>
      </c>
      <c r="CU42" s="18">
        <f>CT42*VLOOKUP('Données projet'!$B$13,Paramètres!$A$1:$I$89,3,0)*VLOOKUP('Données projet'!$B$13,Paramètres!$A$1:$I$89,5,0)</f>
        <v>101.99600000000004</v>
      </c>
      <c r="CV42" s="14">
        <f t="shared" si="41"/>
        <v>27.436968686812364</v>
      </c>
      <c r="CW42" s="22">
        <f t="shared" si="13"/>
        <v>225.42908712953158</v>
      </c>
      <c r="CX42" s="60">
        <f t="shared" si="14"/>
        <v>518.76242046286484</v>
      </c>
      <c r="CY42" s="60">
        <f ca="1">AVERAGE(OFFSET($CX$3,0,0,'Données projet'!$E$13+1,1))-AVERAGE(OFFSET($H$3,0,0,'Données projet'!$E$13+1,1))</f>
        <v>199.36703853638392</v>
      </c>
      <c r="CZ42" s="60">
        <f t="shared" si="42"/>
        <v>145.15653612907363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8">
        <f t="shared" si="1"/>
        <v>337.78862847140419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0">
        <f t="shared" si="0"/>
        <v>606.71543359582972</v>
      </c>
      <c r="S43" s="60">
        <f ca="1">AVERAGE(OFFSET($R$3,0,0,'Données projet'!$E$9+1,1))-AVERAGE(OFFSET($H$3,0,0,'Données projet'!$E$9+1,1))</f>
        <v>314.4389771131751</v>
      </c>
      <c r="T43" s="60">
        <f t="shared" si="34"/>
        <v>176.7239677722049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0">
        <f t="shared" si="5"/>
        <v>643.58655618988507</v>
      </c>
      <c r="AN43" s="60">
        <f ca="1">AVERAGE(OFFSET($AM$3,0,0,'Données projet'!$E$10+1,1))-AVERAGE(OFFSET($H$3,0,0,'Données projet'!$E$10+1,1))</f>
        <v>361.06925636707814</v>
      </c>
      <c r="AO43" s="60">
        <f t="shared" si="36"/>
        <v>201.44775212076888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18.229670329670324</v>
      </c>
      <c r="BD43" s="13">
        <f>IF('Données projet'!$A$88&gt;35,BD42+BC43-BL42,IF(A43&lt;'Données projet'!$A$88,$BA$205^A43,IF(A43='Données projet'!$A$88,'Données projet'!$B$88,BD42+BC43-BL42)))</f>
        <v>326.1406593406594</v>
      </c>
      <c r="BE43" s="14">
        <f>BD43*VLOOKUP('Données projet'!$B$11,Paramètres!$A$1:$I$89,3,0)*VLOOKUP('Données projet'!$B$11,Paramètres!$A$1:$I$89,5,0)</f>
        <v>182.31262857142863</v>
      </c>
      <c r="BF43" s="14">
        <f t="shared" si="37"/>
        <v>45.836320512875446</v>
      </c>
      <c r="BG43" s="22">
        <f t="shared" si="7"/>
        <v>397.35941965516298</v>
      </c>
      <c r="BH43" s="60">
        <f t="shared" si="8"/>
        <v>690.6927529884963</v>
      </c>
      <c r="BI43" s="60">
        <f ca="1">AVERAGE(OFFSET($BH$3,0,0,'Données projet'!$E$11+1,1))-AVERAGE(OFFSET($H$3,0,0,'Données projet'!$E$11+1,1))</f>
        <v>253.63061102077421</v>
      </c>
      <c r="BJ43" s="60">
        <f t="shared" si="38"/>
        <v>230.98056275369652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15.625710868703571</v>
      </c>
      <c r="BR43" s="23">
        <f>EXP(-LN(2)/2)*BR42+(1-EXP(-LN(2)/2))/(LN(2)/2)*BL43*BO43*VLOOKUP('Données projet'!$B$11,Paramètres!$A$1:$I$89,3,0)*0.475*44/12</f>
        <v>0.30816192714994767</v>
      </c>
      <c r="BS43" s="24">
        <f t="shared" si="9"/>
        <v>15.933872795853519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220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IF('Données projet'!$A$114&gt;35,BY42+BX43-CG42,IF(A43&lt;'Données projet'!$A$114,$BV$205^A43,IF(A43='Données projet'!$A$114,'Données projet'!$B$114,BY42+BX43-CG42)))</f>
        <v>219.99999999999989</v>
      </c>
      <c r="BZ43" s="14">
        <f>BY43*VLOOKUP('Données projet'!$B$12,Paramètres!$A$1:$I$89,3,0)*VLOOKUP('Données projet'!$B$12,Paramètres!$A$1:$I$89,5,0)</f>
        <v>161.30399999999992</v>
      </c>
      <c r="CA43" s="14">
        <f t="shared" si="39"/>
        <v>41.136497157560363</v>
      </c>
      <c r="CB43" s="22">
        <f t="shared" si="10"/>
        <v>352.58386588275084</v>
      </c>
      <c r="CC43" s="60">
        <f t="shared" si="11"/>
        <v>645.9171992160841</v>
      </c>
      <c r="CD43" s="60">
        <f ca="1">AVERAGE(OFFSET($CC$3,0,0,'Données projet'!$E$12+1,1))-AVERAGE(OFFSET($H$3,0,0,'Données projet'!$E$12+1,1))</f>
        <v>216.97968518094325</v>
      </c>
      <c r="CE43" s="60">
        <f t="shared" si="40"/>
        <v>248.38190023108666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158.97435897435898</v>
      </c>
      <c r="CR43" s="13">
        <f>VLOOKUP(A43,'Données projet'!$A$139:$I$159,9,0)</f>
        <v>6.9230769230769225</v>
      </c>
      <c r="CS43" s="13">
        <f t="array" ref="CS43">INDEX(CR:CR,MIN(IF(ISNUMBER(CR43:CR239),ROW(CR43:CR239),"")))</f>
        <v>6.9230769230769225</v>
      </c>
      <c r="CT43" s="13">
        <f>IF('Données projet'!$A$140&gt;35,CT42+CS43-DB42,IF(A43&lt;'Données projet'!$A$140,$CQ$205^A43,IF(A43='Données projet'!$A$140,'Données projet'!$B$140,CT42+CS43-DB42)))</f>
        <v>158.97435897435903</v>
      </c>
      <c r="CU43" s="18">
        <f>CT43*VLOOKUP('Données projet'!$B$13,Paramètres!$A$1:$I$89,3,0)*VLOOKUP('Données projet'!$B$13,Paramètres!$A$1:$I$89,5,0)</f>
        <v>106.64000000000003</v>
      </c>
      <c r="CV43" s="14">
        <f t="shared" si="41"/>
        <v>28.537918766434618</v>
      </c>
      <c r="CW43" s="22">
        <f t="shared" si="13"/>
        <v>235.4348751848737</v>
      </c>
      <c r="CX43" s="60">
        <f t="shared" si="14"/>
        <v>528.76820851820708</v>
      </c>
      <c r="CY43" s="60">
        <f ca="1">AVERAGE(OFFSET($CX$3,0,0,'Données projet'!$E$13+1,1))-AVERAGE(OFFSET($H$3,0,0,'Données projet'!$E$13+1,1))</f>
        <v>199.36703853638392</v>
      </c>
      <c r="CZ43" s="60">
        <f t="shared" si="42"/>
        <v>145.15653612907363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8">
        <f t="shared" si="1"/>
        <v>338.86781049841682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0">
        <f t="shared" si="0"/>
        <v>541.50302276112825</v>
      </c>
      <c r="S44" s="60">
        <f ca="1">AVERAGE(OFFSET($R$3,0,0,'Données projet'!$E$9+1,1))-AVERAGE(OFFSET($H$3,0,0,'Données projet'!$E$9+1,1))</f>
        <v>314.4389771131751</v>
      </c>
      <c r="T44" s="60">
        <f t="shared" si="34"/>
        <v>176.7239677722049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0">
        <f t="shared" si="5"/>
        <v>570.68476131278635</v>
      </c>
      <c r="AN44" s="60">
        <f ca="1">AVERAGE(OFFSET($AM$3,0,0,'Données projet'!$E$10+1,1))-AVERAGE(OFFSET($H$3,0,0,'Données projet'!$E$10+1,1))</f>
        <v>361.06925636707814</v>
      </c>
      <c r="AO44" s="60">
        <f t="shared" si="36"/>
        <v>201.44775212076888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18.229670329670324</v>
      </c>
      <c r="BD44" s="13">
        <f>IF('Données projet'!$A$88&gt;35,BD43+BC44-BL43,IF(A44&lt;'Données projet'!$A$88,$BA$205^A44,IF(A44='Données projet'!$A$88,'Données projet'!$B$88,BD43+BC44-BL43)))</f>
        <v>344.37032967032974</v>
      </c>
      <c r="BE44" s="14">
        <f>BD44*VLOOKUP('Données projet'!$B$11,Paramètres!$A$1:$I$89,3,0)*VLOOKUP('Données projet'!$B$11,Paramètres!$A$1:$I$89,5,0)</f>
        <v>192.50301428571433</v>
      </c>
      <c r="BF44" s="14">
        <f t="shared" si="37"/>
        <v>48.092911552862631</v>
      </c>
      <c r="BG44" s="22">
        <f t="shared" si="7"/>
        <v>419.03790416885482</v>
      </c>
      <c r="BH44" s="60">
        <f t="shared" si="8"/>
        <v>712.37123750218814</v>
      </c>
      <c r="BI44" s="60">
        <f ca="1">AVERAGE(OFFSET($BH$3,0,0,'Données projet'!$E$11+1,1))-AVERAGE(OFFSET($H$3,0,0,'Données projet'!$E$11+1,1))</f>
        <v>253.63061102077421</v>
      </c>
      <c r="BJ44" s="60">
        <f t="shared" si="38"/>
        <v>230.98056275369652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15.19842498327845</v>
      </c>
      <c r="BR44" s="23">
        <f>EXP(-LN(2)/2)*BR43+(1-EXP(-LN(2)/2))/(LN(2)/2)*BL44*BO44*VLOOKUP('Données projet'!$B$11,Paramètres!$A$1:$I$89,3,0)*0.475*44/12</f>
        <v>0.21790338839124285</v>
      </c>
      <c r="BS44" s="24">
        <f t="shared" si="9"/>
        <v>15.416328371669692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8.1999999999999993</v>
      </c>
      <c r="BY44" s="13">
        <f>IF('Données projet'!$A$114&gt;35,BY43+BX44-CG43,IF(A44&lt;'Données projet'!$A$114,$BV$205^A44,IF(A44='Données projet'!$A$114,'Données projet'!$B$114,BY43+BX44-CG43)))</f>
        <v>172.19999999999987</v>
      </c>
      <c r="BZ44" s="14">
        <f>BY44*VLOOKUP('Données projet'!$B$12,Paramètres!$A$1:$I$89,3,0)*VLOOKUP('Données projet'!$B$12,Paramètres!$A$1:$I$89,5,0)</f>
        <v>126.25703999999992</v>
      </c>
      <c r="CA44" s="14">
        <f t="shared" si="39"/>
        <v>33.130006114881219</v>
      </c>
      <c r="CB44" s="22">
        <f t="shared" si="10"/>
        <v>277.59910531675132</v>
      </c>
      <c r="CC44" s="60">
        <f t="shared" si="11"/>
        <v>570.93243865008458</v>
      </c>
      <c r="CD44" s="60">
        <f ca="1">AVERAGE(OFFSET($CC$3,0,0,'Données projet'!$E$12+1,1))-AVERAGE(OFFSET($H$3,0,0,'Données projet'!$E$12+1,1))</f>
        <v>216.97968518094325</v>
      </c>
      <c r="CE44" s="60">
        <f t="shared" si="40"/>
        <v>248.38190023108666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6.2820512820512819</v>
      </c>
      <c r="CT44" s="13">
        <f>IF('Données projet'!$A$140&gt;35,CT43+CS44-DB43,IF(A44&lt;'Données projet'!$A$140,$CQ$205^A44,IF(A44='Données projet'!$A$140,'Données projet'!$B$140,CT43+CS44-DB43)))</f>
        <v>165.25641025641031</v>
      </c>
      <c r="CU44" s="18">
        <f>CT44*VLOOKUP('Données projet'!$B$13,Paramètres!$A$1:$I$89,3,0)*VLOOKUP('Données projet'!$B$13,Paramètres!$A$1:$I$89,5,0)</f>
        <v>110.85400000000003</v>
      </c>
      <c r="CV44" s="14">
        <f t="shared" si="41"/>
        <v>29.532102980068863</v>
      </c>
      <c r="CW44" s="22">
        <f t="shared" si="13"/>
        <v>244.50579602361998</v>
      </c>
      <c r="CX44" s="60">
        <f t="shared" si="14"/>
        <v>537.83912935695332</v>
      </c>
      <c r="CY44" s="60">
        <f ca="1">AVERAGE(OFFSET($CX$3,0,0,'Données projet'!$E$13+1,1))-AVERAGE(OFFSET($H$3,0,0,'Données projet'!$E$13+1,1))</f>
        <v>199.36703853638392</v>
      </c>
      <c r="CZ44" s="60">
        <f t="shared" si="42"/>
        <v>145.15653612907363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8">
        <f t="shared" si="1"/>
        <v>339.94630797071898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0">
        <f t="shared" si="0"/>
        <v>557.83878140250954</v>
      </c>
      <c r="S45" s="60">
        <f ca="1">AVERAGE(OFFSET($R$3,0,0,'Données projet'!$E$9+1,1))-AVERAGE(OFFSET($H$3,0,0,'Données projet'!$E$9+1,1))</f>
        <v>314.4389771131751</v>
      </c>
      <c r="T45" s="60">
        <f t="shared" si="34"/>
        <v>176.7239677722049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0">
        <f t="shared" si="5"/>
        <v>588.94632501044362</v>
      </c>
      <c r="AN45" s="60">
        <f ca="1">AVERAGE(OFFSET($AM$3,0,0,'Données projet'!$E$10+1,1))-AVERAGE(OFFSET($H$3,0,0,'Données projet'!$E$10+1,1))</f>
        <v>361.06925636707814</v>
      </c>
      <c r="AO45" s="60">
        <f t="shared" si="36"/>
        <v>201.44775212076888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362.59999999999997</v>
      </c>
      <c r="BB45" s="13">
        <f>VLOOKUP(A45,'Données projet'!$A$87:$I$107,9,0)</f>
        <v>18.229670329670324</v>
      </c>
      <c r="BC45" s="13">
        <f t="array" ref="BC45">INDEX(BB:BB,MIN(IF(ISNUMBER(BB45:BB241),ROW(BB45:BB241),"")))</f>
        <v>18.229670329670324</v>
      </c>
      <c r="BD45" s="13">
        <f>IF('Données projet'!$A$88&gt;35,BD44+BC45-BL44,IF(A45&lt;'Données projet'!$A$88,$BA$205^A45,IF(A45='Données projet'!$A$88,'Données projet'!$B$88,BD44+BC45-BL44)))</f>
        <v>362.60000000000008</v>
      </c>
      <c r="BE45" s="14">
        <f>BD45*VLOOKUP('Données projet'!$B$11,Paramètres!$A$1:$I$89,3,0)*VLOOKUP('Données projet'!$B$11,Paramètres!$A$1:$I$89,5,0)</f>
        <v>202.69340000000005</v>
      </c>
      <c r="BF45" s="14">
        <f t="shared" si="37"/>
        <v>50.335633892078647</v>
      </c>
      <c r="BG45" s="22">
        <f t="shared" si="7"/>
        <v>440.69223402870375</v>
      </c>
      <c r="BH45" s="60">
        <f t="shared" si="8"/>
        <v>734.02556736203701</v>
      </c>
      <c r="BI45" s="60">
        <f ca="1">AVERAGE(OFFSET($BH$3,0,0,'Données projet'!$E$11+1,1))-AVERAGE(OFFSET($H$3,0,0,'Données projet'!$E$11+1,1))</f>
        <v>253.63061102077421</v>
      </c>
      <c r="BJ45" s="60">
        <f t="shared" si="38"/>
        <v>230.98056275369652</v>
      </c>
      <c r="BK45" s="16">
        <f>IF(ISNA(VLOOKUP(A45,'Données projet'!$A$87:$I$107,3,0)),0,VLOOKUP(A45,'Données projet'!$A$87:$I$107,3,0))</f>
        <v>4</v>
      </c>
      <c r="BL45" s="16">
        <f>IF(ISNA(VLOOKUP(A45,'Données projet'!$A$87:$I$107,4,0)),0,VLOOKUP(A45,'Données projet'!$A$87:$I$107,4,0))</f>
        <v>80.669230769230765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14.782823252860267</v>
      </c>
      <c r="BR45" s="23">
        <f>EXP(-LN(2)/2)*BR44+(1-EXP(-LN(2)/2))/(LN(2)/2)*BL45*BO45*VLOOKUP('Données projet'!$B$11,Paramètres!$A$1:$I$89,3,0)*0.475*44/12</f>
        <v>0.15408096357497383</v>
      </c>
      <c r="BS45" s="24">
        <f t="shared" si="9"/>
        <v>14.93690421643524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8.1999999999999993</v>
      </c>
      <c r="BY45" s="13">
        <f>IF('Données projet'!$A$114&gt;35,BY44+BX45-CG44,IF(A45&lt;'Données projet'!$A$114,$BV$205^A45,IF(A45='Données projet'!$A$114,'Données projet'!$B$114,BY44+BX45-CG44)))</f>
        <v>180.39999999999986</v>
      </c>
      <c r="BZ45" s="14">
        <f>BY45*VLOOKUP('Données projet'!$B$12,Paramètres!$A$1:$I$89,3,0)*VLOOKUP('Données projet'!$B$12,Paramètres!$A$1:$I$89,5,0)</f>
        <v>132.2692799999999</v>
      </c>
      <c r="CA45" s="14">
        <f t="shared" si="39"/>
        <v>34.520194019648734</v>
      </c>
      <c r="CB45" s="22">
        <f t="shared" si="10"/>
        <v>290.49166725088799</v>
      </c>
      <c r="CC45" s="60">
        <f t="shared" si="11"/>
        <v>583.82500058422124</v>
      </c>
      <c r="CD45" s="60">
        <f ca="1">AVERAGE(OFFSET($CC$3,0,0,'Données projet'!$E$12+1,1))-AVERAGE(OFFSET($H$3,0,0,'Données projet'!$E$12+1,1))</f>
        <v>216.97968518094325</v>
      </c>
      <c r="CE45" s="60">
        <f t="shared" si="40"/>
        <v>248.38190023108666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6.2820512820512819</v>
      </c>
      <c r="CT45" s="13">
        <f>IF('Données projet'!$A$140&gt;35,CT44+CS45-DB44,IF(A45&lt;'Données projet'!$A$140,$CQ$205^A45,IF(A45='Données projet'!$A$140,'Données projet'!$B$140,CT44+CS45-DB44)))</f>
        <v>171.53846153846158</v>
      </c>
      <c r="CU45" s="18">
        <f>CT45*VLOOKUP('Données projet'!$B$13,Paramètres!$A$1:$I$89,3,0)*VLOOKUP('Données projet'!$B$13,Paramètres!$A$1:$I$89,5,0)</f>
        <v>115.06800000000003</v>
      </c>
      <c r="CV45" s="14">
        <f t="shared" si="41"/>
        <v>30.521896703482735</v>
      </c>
      <c r="CW45" s="22">
        <f t="shared" si="13"/>
        <v>253.56907009189914</v>
      </c>
      <c r="CX45" s="60">
        <f t="shared" si="14"/>
        <v>546.90240342523248</v>
      </c>
      <c r="CY45" s="60">
        <f ca="1">AVERAGE(OFFSET($CX$3,0,0,'Données projet'!$E$13+1,1))-AVERAGE(OFFSET($H$3,0,0,'Données projet'!$E$13+1,1))</f>
        <v>199.36703853638392</v>
      </c>
      <c r="CZ45" s="60">
        <f t="shared" si="42"/>
        <v>145.15653612907363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8">
        <f t="shared" si="1"/>
        <v>341.02413906270732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0">
        <f t="shared" si="0"/>
        <v>574.15179438724942</v>
      </c>
      <c r="S46" s="60">
        <f ca="1">AVERAGE(OFFSET($R$3,0,0,'Données projet'!$E$9+1,1))-AVERAGE(OFFSET($H$3,0,0,'Données projet'!$E$9+1,1))</f>
        <v>314.4389771131751</v>
      </c>
      <c r="T46" s="60">
        <f t="shared" si="34"/>
        <v>176.7239677722049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0">
        <f t="shared" si="5"/>
        <v>607.18273374145838</v>
      </c>
      <c r="AN46" s="60">
        <f ca="1">AVERAGE(OFFSET($AM$3,0,0,'Données projet'!$E$10+1,1))-AVERAGE(OFFSET($H$3,0,0,'Données projet'!$E$10+1,1))</f>
        <v>361.06925636707814</v>
      </c>
      <c r="AO46" s="60">
        <f t="shared" si="36"/>
        <v>201.44775212076888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17.519780219780223</v>
      </c>
      <c r="BD46" s="13">
        <f>IF('Données projet'!$A$88&gt;35,BD45+BC46-BL45,IF(A46&lt;'Données projet'!$A$88,$BA$205^A46,IF(A46='Données projet'!$A$88,'Données projet'!$B$88,BD45+BC46-BL45)))</f>
        <v>299.45054945054954</v>
      </c>
      <c r="BE46" s="14">
        <f>BD46*VLOOKUP('Données projet'!$B$11,Paramètres!$A$1:$I$89,3,0)*VLOOKUP('Données projet'!$B$11,Paramètres!$A$1:$I$89,5,0)</f>
        <v>167.3928571428572</v>
      </c>
      <c r="BF46" s="14">
        <f t="shared" si="37"/>
        <v>42.505586135425617</v>
      </c>
      <c r="BG46" s="22">
        <f t="shared" si="7"/>
        <v>365.57312204300916</v>
      </c>
      <c r="BH46" s="60">
        <f t="shared" si="8"/>
        <v>658.90645537634248</v>
      </c>
      <c r="BI46" s="60">
        <f ca="1">AVERAGE(OFFSET($BH$3,0,0,'Données projet'!$E$11+1,1))-AVERAGE(OFFSET($H$3,0,0,'Données projet'!$E$11+1,1))</f>
        <v>253.63061102077421</v>
      </c>
      <c r="BJ46" s="60">
        <f t="shared" si="38"/>
        <v>230.98056275369652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14.378586173615915</v>
      </c>
      <c r="BR46" s="23">
        <f>EXP(-LN(2)/2)*BR45+(1-EXP(-LN(2)/2))/(LN(2)/2)*BL46*BO46*VLOOKUP('Données projet'!$B$11,Paramètres!$A$1:$I$89,3,0)*0.475*44/12</f>
        <v>0.10895169419562142</v>
      </c>
      <c r="BS46" s="24">
        <f t="shared" si="9"/>
        <v>14.487537867811536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8.1999999999999993</v>
      </c>
      <c r="BY46" s="13">
        <f>IF('Données projet'!$A$114&gt;35,BY45+BX46-CG45,IF(A46&lt;'Données projet'!$A$114,$BV$205^A46,IF(A46='Données projet'!$A$114,'Données projet'!$B$114,BY45+BX46-CG45)))</f>
        <v>188.59999999999985</v>
      </c>
      <c r="BZ46" s="14">
        <f>BY46*VLOOKUP('Données projet'!$B$12,Paramètres!$A$1:$I$89,3,0)*VLOOKUP('Données projet'!$B$12,Paramètres!$A$1:$I$89,5,0)</f>
        <v>138.28151999999989</v>
      </c>
      <c r="CA46" s="14">
        <f t="shared" si="39"/>
        <v>35.903043322174639</v>
      </c>
      <c r="CB46" s="22">
        <f t="shared" si="10"/>
        <v>303.37144778612065</v>
      </c>
      <c r="CC46" s="60">
        <f t="shared" si="11"/>
        <v>596.70478111945397</v>
      </c>
      <c r="CD46" s="60">
        <f ca="1">AVERAGE(OFFSET($CC$3,0,0,'Données projet'!$E$12+1,1))-AVERAGE(OFFSET($H$3,0,0,'Données projet'!$E$12+1,1))</f>
        <v>216.97968518094325</v>
      </c>
      <c r="CE46" s="60">
        <f t="shared" si="40"/>
        <v>248.38190023108666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6.2820512820512819</v>
      </c>
      <c r="CT46" s="13">
        <f>IF('Données projet'!$A$140&gt;35,CT45+CS46-DB45,IF(A46&lt;'Données projet'!$A$140,$CQ$205^A46,IF(A46='Données projet'!$A$140,'Données projet'!$B$140,CT45+CS46-DB45)))</f>
        <v>177.82051282051285</v>
      </c>
      <c r="CU46" s="18">
        <f>CT46*VLOOKUP('Données projet'!$B$13,Paramètres!$A$1:$I$89,3,0)*VLOOKUP('Données projet'!$B$13,Paramètres!$A$1:$I$89,5,0)</f>
        <v>119.28200000000002</v>
      </c>
      <c r="CV46" s="14">
        <f t="shared" si="41"/>
        <v>31.507479139573579</v>
      </c>
      <c r="CW46" s="22">
        <f t="shared" si="13"/>
        <v>262.62500950142402</v>
      </c>
      <c r="CX46" s="60">
        <f t="shared" si="14"/>
        <v>555.95834283475733</v>
      </c>
      <c r="CY46" s="60">
        <f ca="1">AVERAGE(OFFSET($CX$3,0,0,'Données projet'!$E$13+1,1))-AVERAGE(OFFSET($H$3,0,0,'Données projet'!$E$13+1,1))</f>
        <v>199.36703853638392</v>
      </c>
      <c r="CZ46" s="60">
        <f t="shared" si="42"/>
        <v>145.15653612907363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8">
        <f t="shared" si="1"/>
        <v>342.1013210552274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0">
        <f t="shared" si="0"/>
        <v>590.44356897369653</v>
      </c>
      <c r="S47" s="60">
        <f ca="1">AVERAGE(OFFSET($R$3,0,0,'Données projet'!$E$9+1,1))-AVERAGE(OFFSET($H$3,0,0,'Données projet'!$E$9+1,1))</f>
        <v>314.4389771131751</v>
      </c>
      <c r="T47" s="60">
        <f t="shared" si="34"/>
        <v>176.7239677722049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0">
        <f t="shared" si="5"/>
        <v>625.39565441895047</v>
      </c>
      <c r="AN47" s="60">
        <f ca="1">AVERAGE(OFFSET($AM$3,0,0,'Données projet'!$E$10+1,1))-AVERAGE(OFFSET($H$3,0,0,'Données projet'!$E$10+1,1))</f>
        <v>361.06925636707814</v>
      </c>
      <c r="AO47" s="60">
        <f t="shared" si="36"/>
        <v>201.44775212076888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17.519780219780223</v>
      </c>
      <c r="BD47" s="13">
        <f>IF('Données projet'!$A$88&gt;35,BD46+BC47-BL46,IF(A47&lt;'Données projet'!$A$88,$BA$205^A47,IF(A47='Données projet'!$A$88,'Données projet'!$B$88,BD46+BC47-BL46)))</f>
        <v>316.97032967032976</v>
      </c>
      <c r="BE47" s="14">
        <f>BD47*VLOOKUP('Données projet'!$B$11,Paramètres!$A$1:$I$89,3,0)*VLOOKUP('Données projet'!$B$11,Paramètres!$A$1:$I$89,5,0)</f>
        <v>177.18641428571433</v>
      </c>
      <c r="BF47" s="14">
        <f t="shared" si="37"/>
        <v>44.695642380138821</v>
      </c>
      <c r="BG47" s="22">
        <f t="shared" si="7"/>
        <v>386.44458202636088</v>
      </c>
      <c r="BH47" s="60">
        <f t="shared" si="8"/>
        <v>679.77791535969413</v>
      </c>
      <c r="BI47" s="60">
        <f ca="1">AVERAGE(OFFSET($BH$3,0,0,'Données projet'!$E$11+1,1))-AVERAGE(OFFSET($H$3,0,0,'Données projet'!$E$11+1,1))</f>
        <v>253.63061102077421</v>
      </c>
      <c r="BJ47" s="60">
        <f t="shared" si="38"/>
        <v>230.98056275369652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13.985402978561403</v>
      </c>
      <c r="BR47" s="23">
        <f>EXP(-LN(2)/2)*BR46+(1-EXP(-LN(2)/2))/(LN(2)/2)*BL47*BO47*VLOOKUP('Données projet'!$B$11,Paramètres!$A$1:$I$89,3,0)*0.475*44/12</f>
        <v>7.7040481787486917E-2</v>
      </c>
      <c r="BS47" s="24">
        <f t="shared" si="9"/>
        <v>14.06244346034889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8.1999999999999993</v>
      </c>
      <c r="BY47" s="13">
        <f>IF('Données projet'!$A$114&gt;35,BY46+BX47-CG46,IF(A47&lt;'Données projet'!$A$114,$BV$205^A47,IF(A47='Données projet'!$A$114,'Données projet'!$B$114,BY46+BX47-CG46)))</f>
        <v>196.79999999999984</v>
      </c>
      <c r="BZ47" s="14">
        <f>BY47*VLOOKUP('Données projet'!$B$12,Paramètres!$A$1:$I$89,3,0)*VLOOKUP('Données projet'!$B$12,Paramètres!$A$1:$I$89,5,0)</f>
        <v>144.29375999999988</v>
      </c>
      <c r="CA47" s="14">
        <f t="shared" si="39"/>
        <v>37.278909560653922</v>
      </c>
      <c r="CB47" s="22">
        <f t="shared" si="10"/>
        <v>316.23906615147206</v>
      </c>
      <c r="CC47" s="60">
        <f t="shared" si="11"/>
        <v>609.57239948480537</v>
      </c>
      <c r="CD47" s="60">
        <f ca="1">AVERAGE(OFFSET($CC$3,0,0,'Données projet'!$E$12+1,1))-AVERAGE(OFFSET($H$3,0,0,'Données projet'!$E$12+1,1))</f>
        <v>216.97968518094325</v>
      </c>
      <c r="CE47" s="60">
        <f t="shared" si="40"/>
        <v>248.38190023108666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6.2820512820512819</v>
      </c>
      <c r="CT47" s="13">
        <f>IF('Données projet'!$A$140&gt;35,CT46+CS47-DB46,IF(A47&lt;'Données projet'!$A$140,$CQ$205^A47,IF(A47='Données projet'!$A$140,'Données projet'!$B$140,CT46+CS47-DB46)))</f>
        <v>184.10256410256412</v>
      </c>
      <c r="CU47" s="18">
        <f>CT47*VLOOKUP('Données projet'!$B$13,Paramètres!$A$1:$I$89,3,0)*VLOOKUP('Données projet'!$B$13,Paramètres!$A$1:$I$89,5,0)</f>
        <v>123.49600000000001</v>
      </c>
      <c r="CV47" s="14">
        <f t="shared" si="41"/>
        <v>32.489016111577364</v>
      </c>
      <c r="CW47" s="22">
        <f t="shared" si="13"/>
        <v>271.67390306099725</v>
      </c>
      <c r="CX47" s="60">
        <f t="shared" si="14"/>
        <v>565.00723639433056</v>
      </c>
      <c r="CY47" s="60">
        <f ca="1">AVERAGE(OFFSET($CX$3,0,0,'Données projet'!$E$13+1,1))-AVERAGE(OFFSET($H$3,0,0,'Données projet'!$E$13+1,1))</f>
        <v>199.36703853638392</v>
      </c>
      <c r="CZ47" s="60">
        <f t="shared" si="42"/>
        <v>145.15653612907363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8">
        <f t="shared" si="1"/>
        <v>343.17787039879954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0">
        <f t="shared" si="0"/>
        <v>606.71543359582972</v>
      </c>
      <c r="S48" s="60">
        <f ca="1">AVERAGE(OFFSET($R$3,0,0,'Données projet'!$E$9+1,1))-AVERAGE(OFFSET($H$3,0,0,'Données projet'!$E$9+1,1))</f>
        <v>314.4389771131751</v>
      </c>
      <c r="T48" s="60">
        <f t="shared" si="34"/>
        <v>176.7239677722049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0">
        <f t="shared" si="5"/>
        <v>643.58655618988519</v>
      </c>
      <c r="AN48" s="60">
        <f ca="1">AVERAGE(OFFSET($AM$3,0,0,'Données projet'!$E$10+1,1))-AVERAGE(OFFSET($H$3,0,0,'Données projet'!$E$10+1,1))</f>
        <v>361.06925636707814</v>
      </c>
      <c r="AO48" s="60">
        <f t="shared" si="36"/>
        <v>201.44775212076888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17.519780219780223</v>
      </c>
      <c r="BD48" s="13">
        <f>IF('Données projet'!$A$88&gt;35,BD47+BC48-BL47,IF(A48&lt;'Données projet'!$A$88,$BA$205^A48,IF(A48='Données projet'!$A$88,'Données projet'!$B$88,BD47+BC48-BL47)))</f>
        <v>334.49010989010998</v>
      </c>
      <c r="BE48" s="14">
        <f>BD48*VLOOKUP('Données projet'!$B$11,Paramètres!$A$1:$I$89,3,0)*VLOOKUP('Données projet'!$B$11,Paramètres!$A$1:$I$89,5,0)</f>
        <v>186.9799714285715</v>
      </c>
      <c r="BF48" s="14">
        <f t="shared" si="37"/>
        <v>46.871646064498115</v>
      </c>
      <c r="BG48" s="22">
        <f t="shared" si="7"/>
        <v>407.29156713376295</v>
      </c>
      <c r="BH48" s="60">
        <f t="shared" si="8"/>
        <v>700.62490046709627</v>
      </c>
      <c r="BI48" s="60">
        <f ca="1">AVERAGE(OFFSET($BH$3,0,0,'Données projet'!$E$11+1,1))-AVERAGE(OFFSET($H$3,0,0,'Données projet'!$E$11+1,1))</f>
        <v>253.63061102077421</v>
      </c>
      <c r="BJ48" s="60">
        <f t="shared" si="38"/>
        <v>230.98056275369652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13.602971398652263</v>
      </c>
      <c r="BR48" s="23">
        <f>EXP(-LN(2)/2)*BR47+(1-EXP(-LN(2)/2))/(LN(2)/2)*BL48*BO48*VLOOKUP('Données projet'!$B$11,Paramètres!$A$1:$I$89,3,0)*0.475*44/12</f>
        <v>5.4475847097810712E-2</v>
      </c>
      <c r="BS48" s="24">
        <f t="shared" si="9"/>
        <v>13.657447245750074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205</v>
      </c>
      <c r="BW48" s="13">
        <f>VLOOKUP(A48,'Données projet'!$A$113:$I$133,9,0)</f>
        <v>8.1999999999999993</v>
      </c>
      <c r="BX48" s="13">
        <f t="array" ref="BX48">INDEX(BW:BW,MIN(IF(ISNUMBER(BW48:BW244),ROW(BW48:BW244),"")))</f>
        <v>8.1999999999999993</v>
      </c>
      <c r="BY48" s="13">
        <f>IF('Données projet'!$A$114&gt;35,BY47+BX48-CG47,IF(A48&lt;'Données projet'!$A$114,$BV$205^A48,IF(A48='Données projet'!$A$114,'Données projet'!$B$114,BY47+BX48-CG47)))</f>
        <v>204.99999999999983</v>
      </c>
      <c r="BZ48" s="14">
        <f>BY48*VLOOKUP('Données projet'!$B$12,Paramètres!$A$1:$I$89,3,0)*VLOOKUP('Données projet'!$B$12,Paramètres!$A$1:$I$89,5,0)</f>
        <v>150.30599999999987</v>
      </c>
      <c r="CA48" s="14">
        <f t="shared" si="39"/>
        <v>38.648116968856641</v>
      </c>
      <c r="CB48" s="22">
        <f t="shared" si="10"/>
        <v>329.09508705409172</v>
      </c>
      <c r="CC48" s="60">
        <f t="shared" si="11"/>
        <v>622.42842038742504</v>
      </c>
      <c r="CD48" s="60">
        <f ca="1">AVERAGE(OFFSET($CC$3,0,0,'Données projet'!$E$12+1,1))-AVERAGE(OFFSET($H$3,0,0,'Données projet'!$E$12+1,1))</f>
        <v>216.97968518094325</v>
      </c>
      <c r="CE48" s="60">
        <f t="shared" si="40"/>
        <v>248.38190023108666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190.38461538461539</v>
      </c>
      <c r="CR48" s="13">
        <f>VLOOKUP(A48,'Données projet'!$A$139:$I$159,9,0)</f>
        <v>6.2820512820512819</v>
      </c>
      <c r="CS48" s="13">
        <f t="array" ref="CS48">INDEX(CR:CR,MIN(IF(ISNUMBER(CR48:CR244),ROW(CR48:CR244),"")))</f>
        <v>6.2820512820512819</v>
      </c>
      <c r="CT48" s="13">
        <f>IF('Données projet'!$A$140&gt;35,CT47+CS48-DB47,IF(A48&lt;'Données projet'!$A$140,$CQ$205^A48,IF(A48='Données projet'!$A$140,'Données projet'!$B$140,CT47+CS48-DB47)))</f>
        <v>190.38461538461539</v>
      </c>
      <c r="CU48" s="18">
        <f>CT48*VLOOKUP('Données projet'!$B$13,Paramètres!$A$1:$I$89,3,0)*VLOOKUP('Données projet'!$B$13,Paramètres!$A$1:$I$89,5,0)</f>
        <v>127.71000000000001</v>
      </c>
      <c r="CV48" s="14">
        <f t="shared" si="41"/>
        <v>33.466661484162984</v>
      </c>
      <c r="CW48" s="22">
        <f t="shared" si="13"/>
        <v>280.71601875158382</v>
      </c>
      <c r="CX48" s="60">
        <f t="shared" si="14"/>
        <v>574.04935208491713</v>
      </c>
      <c r="CY48" s="60">
        <f ca="1">AVERAGE(OFFSET($CX$3,0,0,'Données projet'!$E$13+1,1))-AVERAGE(OFFSET($H$3,0,0,'Données projet'!$E$13+1,1))</f>
        <v>199.36703853638392</v>
      </c>
      <c r="CZ48" s="60">
        <f t="shared" si="42"/>
        <v>145.15653612907363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31.410256410256409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8">
        <f t="shared" si="1"/>
        <v>344.25380277106626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0">
        <f t="shared" si="0"/>
        <v>622.58179746983251</v>
      </c>
      <c r="S49" s="60">
        <f ca="1">AVERAGE(OFFSET($R$3,0,0,'Données projet'!$E$9+1,1))-AVERAGE(OFFSET($H$3,0,0,'Données projet'!$E$9+1,1))</f>
        <v>314.4389771131751</v>
      </c>
      <c r="T49" s="60">
        <f t="shared" si="34"/>
        <v>176.7239677722049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0">
        <f t="shared" si="5"/>
        <v>661.32435123407731</v>
      </c>
      <c r="AN49" s="60">
        <f ca="1">AVERAGE(OFFSET($AM$3,0,0,'Données projet'!$E$10+1,1))-AVERAGE(OFFSET($H$3,0,0,'Données projet'!$E$10+1,1))</f>
        <v>361.06925636707814</v>
      </c>
      <c r="AO49" s="60">
        <f t="shared" si="36"/>
        <v>201.44775212076888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17.519780219780223</v>
      </c>
      <c r="BD49" s="13">
        <f>IF('Données projet'!$A$88&gt;35,BD48+BC49-BL48,IF(A49&lt;'Données projet'!$A$88,$BA$205^A49,IF(A49='Données projet'!$A$88,'Données projet'!$B$88,BD48+BC49-BL48)))</f>
        <v>352.00989010989019</v>
      </c>
      <c r="BE49" s="14">
        <f>BD49*VLOOKUP('Données projet'!$B$11,Paramètres!$A$1:$I$89,3,0)*VLOOKUP('Données projet'!$B$11,Paramètres!$A$1:$I$89,5,0)</f>
        <v>196.77352857142861</v>
      </c>
      <c r="BF49" s="14">
        <f t="shared" si="37"/>
        <v>49.034417171503861</v>
      </c>
      <c r="BG49" s="22">
        <f t="shared" si="7"/>
        <v>428.11550550227406</v>
      </c>
      <c r="BH49" s="60">
        <f t="shared" si="8"/>
        <v>721.44883883560738</v>
      </c>
      <c r="BI49" s="60">
        <f ca="1">AVERAGE(OFFSET($BH$3,0,0,'Données projet'!$E$11+1,1))-AVERAGE(OFFSET($H$3,0,0,'Données projet'!$E$11+1,1))</f>
        <v>253.63061102077421</v>
      </c>
      <c r="BJ49" s="60">
        <f t="shared" si="38"/>
        <v>230.98056275369652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13.230997430406941</v>
      </c>
      <c r="BR49" s="23">
        <f>EXP(-LN(2)/2)*BR48+(1-EXP(-LN(2)/2))/(LN(2)/2)*BL49*BO49*VLOOKUP('Données projet'!$B$11,Paramètres!$A$1:$I$89,3,0)*0.475*44/12</f>
        <v>3.8520240893743458E-2</v>
      </c>
      <c r="BS49" s="24">
        <f t="shared" si="9"/>
        <v>13.269517671300685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211.99999999999983</v>
      </c>
      <c r="BZ49" s="14">
        <f>BY49*VLOOKUP('Données projet'!$B$12,Paramètres!$A$1:$I$89,3,0)*VLOOKUP('Données projet'!$B$12,Paramètres!$A$1:$I$89,5,0)</f>
        <v>155.43839999999986</v>
      </c>
      <c r="CA49" s="14">
        <f t="shared" si="39"/>
        <v>39.811908198208883</v>
      </c>
      <c r="CB49" s="22">
        <f t="shared" si="10"/>
        <v>340.06095344521356</v>
      </c>
      <c r="CC49" s="60">
        <f t="shared" si="11"/>
        <v>633.39428677854687</v>
      </c>
      <c r="CD49" s="60">
        <f ca="1">AVERAGE(OFFSET($CC$3,0,0,'Données projet'!$E$12+1,1))-AVERAGE(OFFSET($H$3,0,0,'Données projet'!$E$12+1,1))</f>
        <v>216.97968518094325</v>
      </c>
      <c r="CE49" s="60">
        <f t="shared" si="40"/>
        <v>248.38190023108666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5.8974358974358951</v>
      </c>
      <c r="CT49" s="13">
        <f>IF('Données projet'!$A$140&gt;35,CT48+CS49-DB48,IF(A49&lt;'Données projet'!$A$140,$CQ$205^A49,IF(A49='Données projet'!$A$140,'Données projet'!$B$140,CT48+CS49-DB48)))</f>
        <v>164.87179487179486</v>
      </c>
      <c r="CU49" s="18">
        <f>CT49*VLOOKUP('Données projet'!$B$13,Paramètres!$A$1:$I$89,3,0)*VLOOKUP('Données projet'!$B$13,Paramètres!$A$1:$I$89,5,0)</f>
        <v>110.59599999999999</v>
      </c>
      <c r="CV49" s="14">
        <f t="shared" si="41"/>
        <v>29.471362629717831</v>
      </c>
      <c r="CW49" s="22">
        <f t="shared" si="13"/>
        <v>243.95065658009185</v>
      </c>
      <c r="CX49" s="60">
        <f t="shared" si="14"/>
        <v>537.2839899134251</v>
      </c>
      <c r="CY49" s="60">
        <f ca="1">AVERAGE(OFFSET($CX$3,0,0,'Données projet'!$E$13+1,1))-AVERAGE(OFFSET($H$3,0,0,'Données projet'!$E$13+1,1))</f>
        <v>199.36703853638392</v>
      </c>
      <c r="CZ49" s="60">
        <f t="shared" si="42"/>
        <v>145.15653612907363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8">
        <f t="shared" si="1"/>
        <v>345.32913312910375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0">
        <f t="shared" si="0"/>
        <v>638.43129351369294</v>
      </c>
      <c r="S50" s="60">
        <f ca="1">AVERAGE(OFFSET($R$3,0,0,'Données projet'!$E$9+1,1))-AVERAGE(OFFSET($H$3,0,0,'Données projet'!$E$9+1,1))</f>
        <v>314.4389771131751</v>
      </c>
      <c r="T50" s="60">
        <f t="shared" si="34"/>
        <v>176.7239677722049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0">
        <f t="shared" si="5"/>
        <v>679.04349174077868</v>
      </c>
      <c r="AN50" s="60">
        <f ca="1">AVERAGE(OFFSET($AM$3,0,0,'Données projet'!$E$10+1,1))-AVERAGE(OFFSET($H$3,0,0,'Données projet'!$E$10+1,1))</f>
        <v>361.06925636707814</v>
      </c>
      <c r="AO50" s="60">
        <f t="shared" si="36"/>
        <v>201.44775212076888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17.519780219780223</v>
      </c>
      <c r="BD50" s="13">
        <f>IF('Données projet'!$A$88&gt;35,BD49+BC50-BL49,IF(A50&lt;'Données projet'!$A$88,$BA$205^A50,IF(A50='Données projet'!$A$88,'Données projet'!$B$88,BD49+BC50-BL49)))</f>
        <v>369.52967032967041</v>
      </c>
      <c r="BE50" s="14">
        <f>BD50*VLOOKUP('Données projet'!$B$11,Paramètres!$A$1:$I$89,3,0)*VLOOKUP('Données projet'!$B$11,Paramètres!$A$1:$I$89,5,0)</f>
        <v>206.56708571428578</v>
      </c>
      <c r="BF50" s="14">
        <f t="shared" si="37"/>
        <v>51.184689450990696</v>
      </c>
      <c r="BG50" s="22">
        <f t="shared" si="7"/>
        <v>448.91767507952318</v>
      </c>
      <c r="BH50" s="60">
        <f t="shared" si="8"/>
        <v>742.25100841285644</v>
      </c>
      <c r="BI50" s="60">
        <f ca="1">AVERAGE(OFFSET($BH$3,0,0,'Données projet'!$E$11+1,1))-AVERAGE(OFFSET($H$3,0,0,'Données projet'!$E$11+1,1))</f>
        <v>253.63061102077421</v>
      </c>
      <c r="BJ50" s="60">
        <f t="shared" si="38"/>
        <v>230.98056275369652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12.869195109884547</v>
      </c>
      <c r="BR50" s="23">
        <f>EXP(-LN(2)/2)*BR49+(1-EXP(-LN(2)/2))/(LN(2)/2)*BL50*BO50*VLOOKUP('Données projet'!$B$11,Paramètres!$A$1:$I$89,3,0)*0.475*44/12</f>
        <v>2.7237923548905356E-2</v>
      </c>
      <c r="BS50" s="24">
        <f t="shared" si="9"/>
        <v>12.896433033433453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218.99999999999983</v>
      </c>
      <c r="BZ50" s="14">
        <f>BY50*VLOOKUP('Données projet'!$B$12,Paramètres!$A$1:$I$89,3,0)*VLOOKUP('Données projet'!$B$12,Paramètres!$A$1:$I$89,5,0)</f>
        <v>160.57079999999985</v>
      </c>
      <c r="CA50" s="14">
        <f t="shared" si="39"/>
        <v>40.97123424416818</v>
      </c>
      <c r="CB50" s="22">
        <f t="shared" si="10"/>
        <v>351.01904297525931</v>
      </c>
      <c r="CC50" s="60">
        <f t="shared" si="11"/>
        <v>644.35237630859262</v>
      </c>
      <c r="CD50" s="60">
        <f ca="1">AVERAGE(OFFSET($CC$3,0,0,'Données projet'!$E$12+1,1))-AVERAGE(OFFSET($H$3,0,0,'Données projet'!$E$12+1,1))</f>
        <v>216.97968518094325</v>
      </c>
      <c r="CE50" s="60">
        <f t="shared" si="40"/>
        <v>248.38190023108666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5.8974358974358951</v>
      </c>
      <c r="CT50" s="13">
        <f>IF('Données projet'!$A$140&gt;35,CT49+CS50-DB49,IF(A50&lt;'Données projet'!$A$140,$CQ$205^A50,IF(A50='Données projet'!$A$140,'Données projet'!$B$140,CT49+CS50-DB49)))</f>
        <v>170.76923076923075</v>
      </c>
      <c r="CU50" s="18">
        <f>CT50*VLOOKUP('Données projet'!$B$13,Paramètres!$A$1:$I$89,3,0)*VLOOKUP('Données projet'!$B$13,Paramètres!$A$1:$I$89,5,0)</f>
        <v>114.55199999999998</v>
      </c>
      <c r="CV50" s="14">
        <f t="shared" si="41"/>
        <v>30.400927204443946</v>
      </c>
      <c r="CW50" s="22">
        <f t="shared" si="13"/>
        <v>252.45968154773985</v>
      </c>
      <c r="CX50" s="60">
        <f t="shared" si="14"/>
        <v>545.79301488107319</v>
      </c>
      <c r="CY50" s="60">
        <f ca="1">AVERAGE(OFFSET($CX$3,0,0,'Données projet'!$E$13+1,1))-AVERAGE(OFFSET($H$3,0,0,'Données projet'!$E$13+1,1))</f>
        <v>199.36703853638392</v>
      </c>
      <c r="CZ50" s="60">
        <f t="shared" si="42"/>
        <v>145.15653612907363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8">
        <f t="shared" si="1"/>
        <v>346.40387575715488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0">
        <f t="shared" si="0"/>
        <v>654.26480538883823</v>
      </c>
      <c r="S51" s="60">
        <f ca="1">AVERAGE(OFFSET($R$3,0,0,'Données projet'!$E$9+1,1))-AVERAGE(OFFSET($H$3,0,0,'Données projet'!$E$9+1,1))</f>
        <v>314.4389771131751</v>
      </c>
      <c r="T51" s="60">
        <f t="shared" si="34"/>
        <v>176.7239677722049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0">
        <f t="shared" si="5"/>
        <v>696.74495497233352</v>
      </c>
      <c r="AN51" s="60">
        <f ca="1">AVERAGE(OFFSET($AM$3,0,0,'Données projet'!$E$10+1,1))-AVERAGE(OFFSET($H$3,0,0,'Données projet'!$E$10+1,1))</f>
        <v>361.06925636707814</v>
      </c>
      <c r="AO51" s="60">
        <f t="shared" si="36"/>
        <v>201.44775212076888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17.519780219780223</v>
      </c>
      <c r="BD51" s="13">
        <f>IF('Données projet'!$A$88&gt;35,BD50+BC51-BL50,IF(A51&lt;'Données projet'!$A$88,$BA$205^A51,IF(A51='Données projet'!$A$88,'Données projet'!$B$88,BD50+BC51-BL50)))</f>
        <v>387.04945054945063</v>
      </c>
      <c r="BE51" s="14">
        <f>BD51*VLOOKUP('Données projet'!$B$11,Paramètres!$A$1:$I$89,3,0)*VLOOKUP('Données projet'!$B$11,Paramètres!$A$1:$I$89,5,0)</f>
        <v>216.36064285714289</v>
      </c>
      <c r="BF51" s="14">
        <f t="shared" si="37"/>
        <v>53.323123145592824</v>
      </c>
      <c r="BG51" s="22">
        <f t="shared" si="7"/>
        <v>469.69922578809798</v>
      </c>
      <c r="BH51" s="60">
        <f t="shared" si="8"/>
        <v>763.03255912143129</v>
      </c>
      <c r="BI51" s="60">
        <f ca="1">AVERAGE(OFFSET($BH$3,0,0,'Données projet'!$E$11+1,1))-AVERAGE(OFFSET($H$3,0,0,'Données projet'!$E$11+1,1))</f>
        <v>253.63061102077421</v>
      </c>
      <c r="BJ51" s="60">
        <f t="shared" si="38"/>
        <v>230.98056275369652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12.517286292843197</v>
      </c>
      <c r="BR51" s="23">
        <f>EXP(-LN(2)/2)*BR50+(1-EXP(-LN(2)/2))/(LN(2)/2)*BL51*BO51*VLOOKUP('Données projet'!$B$11,Paramètres!$A$1:$I$89,3,0)*0.475*44/12</f>
        <v>1.9260120446871729E-2</v>
      </c>
      <c r="BS51" s="24">
        <f t="shared" si="9"/>
        <v>12.536546413290068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225.99999999999983</v>
      </c>
      <c r="BZ51" s="14">
        <f>BY51*VLOOKUP('Données projet'!$B$12,Paramètres!$A$1:$I$89,3,0)*VLOOKUP('Données projet'!$B$12,Paramètres!$A$1:$I$89,5,0)</f>
        <v>165.70319999999987</v>
      </c>
      <c r="CA51" s="14">
        <f t="shared" si="39"/>
        <v>42.126254201367267</v>
      </c>
      <c r="CB51" s="22">
        <f t="shared" si="10"/>
        <v>361.96963273404771</v>
      </c>
      <c r="CC51" s="60">
        <f t="shared" si="11"/>
        <v>655.30296606738102</v>
      </c>
      <c r="CD51" s="60">
        <f ca="1">AVERAGE(OFFSET($CC$3,0,0,'Données projet'!$E$12+1,1))-AVERAGE(OFFSET($H$3,0,0,'Données projet'!$E$12+1,1))</f>
        <v>216.97968518094325</v>
      </c>
      <c r="CE51" s="60">
        <f t="shared" si="40"/>
        <v>248.38190023108666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5.8974358974358951</v>
      </c>
      <c r="CT51" s="13">
        <f>IF('Données projet'!$A$140&gt;35,CT50+CS51-DB50,IF(A51&lt;'Données projet'!$A$140,$CQ$205^A51,IF(A51='Données projet'!$A$140,'Données projet'!$B$140,CT50+CS51-DB50)))</f>
        <v>176.66666666666663</v>
      </c>
      <c r="CU51" s="18">
        <f>CT51*VLOOKUP('Données projet'!$B$13,Paramètres!$A$1:$I$89,3,0)*VLOOKUP('Données projet'!$B$13,Paramètres!$A$1:$I$89,5,0)</f>
        <v>118.50799999999998</v>
      </c>
      <c r="CV51" s="14">
        <f t="shared" si="41"/>
        <v>31.326761814194999</v>
      </c>
      <c r="CW51" s="22">
        <f t="shared" si="13"/>
        <v>260.96221015972293</v>
      </c>
      <c r="CX51" s="60">
        <f t="shared" si="14"/>
        <v>554.29554349305624</v>
      </c>
      <c r="CY51" s="60">
        <f ca="1">AVERAGE(OFFSET($CX$3,0,0,'Données projet'!$E$13+1,1))-AVERAGE(OFFSET($H$3,0,0,'Données projet'!$E$13+1,1))</f>
        <v>199.36703853638392</v>
      </c>
      <c r="CZ51" s="60">
        <f t="shared" si="42"/>
        <v>145.15653612907363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8">
        <f t="shared" si="1"/>
        <v>347.47804431027294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0">
        <f t="shared" si="0"/>
        <v>670.08313290501178</v>
      </c>
      <c r="S52" s="60">
        <f ca="1">AVERAGE(OFFSET($R$3,0,0,'Données projet'!$E$9+1,1))-AVERAGE(OFFSET($H$3,0,0,'Données projet'!$E$9+1,1))</f>
        <v>314.4389771131751</v>
      </c>
      <c r="T52" s="60">
        <f t="shared" si="34"/>
        <v>176.7239677722049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0">
        <f t="shared" si="5"/>
        <v>714.4296254574997</v>
      </c>
      <c r="AN52" s="60">
        <f ca="1">AVERAGE(OFFSET($AM$3,0,0,'Données projet'!$E$10+1,1))-AVERAGE(OFFSET($H$3,0,0,'Données projet'!$E$10+1,1))</f>
        <v>361.06925636707814</v>
      </c>
      <c r="AO52" s="60">
        <f t="shared" si="36"/>
        <v>201.44775212076888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404.56923076923078</v>
      </c>
      <c r="BB52" s="13">
        <f>VLOOKUP(A52,'Données projet'!$A$87:$I$107,9,0)</f>
        <v>17.519780219780223</v>
      </c>
      <c r="BC52" s="13">
        <f t="array" ref="BC52">INDEX(BB:BB,MIN(IF(ISNUMBER(BB52:BB248),ROW(BB52:BB248),"")))</f>
        <v>17.519780219780223</v>
      </c>
      <c r="BD52" s="13">
        <f>IF('Données projet'!$A$88&gt;35,BD51+BC52-BL51,IF(A52&lt;'Données projet'!$A$88,$BA$205^A52,IF(A52='Données projet'!$A$88,'Données projet'!$B$88,BD51+BC52-BL51)))</f>
        <v>404.56923076923084</v>
      </c>
      <c r="BE52" s="14">
        <f>BD52*VLOOKUP('Données projet'!$B$11,Paramètres!$A$1:$I$89,3,0)*VLOOKUP('Données projet'!$B$11,Paramètres!$A$1:$I$89,5,0)</f>
        <v>226.15420000000006</v>
      </c>
      <c r="BF52" s="14">
        <f t="shared" si="37"/>
        <v>55.450315347427065</v>
      </c>
      <c r="BG52" s="22">
        <f t="shared" si="7"/>
        <v>490.46119756343563</v>
      </c>
      <c r="BH52" s="60">
        <f t="shared" si="8"/>
        <v>783.79453089676895</v>
      </c>
      <c r="BI52" s="60">
        <f ca="1">AVERAGE(OFFSET($BH$3,0,0,'Données projet'!$E$11+1,1))-AVERAGE(OFFSET($H$3,0,0,'Données projet'!$E$11+1,1))</f>
        <v>253.63061102077421</v>
      </c>
      <c r="BJ52" s="60">
        <f t="shared" si="38"/>
        <v>230.98056275369652</v>
      </c>
      <c r="BK52" s="16">
        <f>IF(ISNA(VLOOKUP(A52,'Données projet'!$A$87:$I$107,3,0)),0,VLOOKUP(A52,'Données projet'!$A$87:$I$107,3,0))</f>
        <v>5</v>
      </c>
      <c r="BL52" s="16">
        <f>IF(ISNA(VLOOKUP(A52,'Données projet'!$A$87:$I$107,4,0)),0,VLOOKUP(A52,'Données projet'!$A$87:$I$107,4,0))</f>
        <v>90.453846153846158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12.175000440909923</v>
      </c>
      <c r="BR52" s="23">
        <f>EXP(-LN(2)/2)*BR51+(1-EXP(-LN(2)/2))/(LN(2)/2)*BL52*BO52*VLOOKUP('Données projet'!$B$11,Paramètres!$A$1:$I$89,3,0)*0.475*44/12</f>
        <v>1.3618961774452678E-2</v>
      </c>
      <c r="BS52" s="24">
        <f t="shared" si="9"/>
        <v>12.188619402684376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232.99999999999983</v>
      </c>
      <c r="BZ52" s="14">
        <f>BY52*VLOOKUP('Données projet'!$B$12,Paramètres!$A$1:$I$89,3,0)*VLOOKUP('Données projet'!$B$12,Paramètres!$A$1:$I$89,5,0)</f>
        <v>170.83559999999989</v>
      </c>
      <c r="CA52" s="14">
        <f t="shared" si="39"/>
        <v>43.277116749159646</v>
      </c>
      <c r="CB52" s="22">
        <f t="shared" si="10"/>
        <v>372.91298167145283</v>
      </c>
      <c r="CC52" s="60">
        <f t="shared" si="11"/>
        <v>666.24631500478608</v>
      </c>
      <c r="CD52" s="60">
        <f ca="1">AVERAGE(OFFSET($CC$3,0,0,'Données projet'!$E$12+1,1))-AVERAGE(OFFSET($H$3,0,0,'Données projet'!$E$12+1,1))</f>
        <v>216.97968518094325</v>
      </c>
      <c r="CE52" s="60">
        <f t="shared" si="40"/>
        <v>248.38190023108666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5.8974358974358951</v>
      </c>
      <c r="CT52" s="13">
        <f>IF('Données projet'!$A$140&gt;35,CT51+CS52-DB51,IF(A52&lt;'Données projet'!$A$140,$CQ$205^A52,IF(A52='Données projet'!$A$140,'Données projet'!$B$140,CT51+CS52-DB51)))</f>
        <v>182.56410256410251</v>
      </c>
      <c r="CU52" s="18">
        <f>CT52*VLOOKUP('Données projet'!$B$13,Paramètres!$A$1:$I$89,3,0)*VLOOKUP('Données projet'!$B$13,Paramètres!$A$1:$I$89,5,0)</f>
        <v>122.46399999999997</v>
      </c>
      <c r="CV52" s="14">
        <f t="shared" si="41"/>
        <v>32.249005247502218</v>
      </c>
      <c r="CW52" s="22">
        <f t="shared" si="13"/>
        <v>269.45848413939967</v>
      </c>
      <c r="CX52" s="60">
        <f t="shared" si="14"/>
        <v>562.79181747273299</v>
      </c>
      <c r="CY52" s="60">
        <f ca="1">AVERAGE(OFFSET($CX$3,0,0,'Données projet'!$E$13+1,1))-AVERAGE(OFFSET($H$3,0,0,'Données projet'!$E$13+1,1))</f>
        <v>199.36703853638392</v>
      </c>
      <c r="CZ52" s="60">
        <f t="shared" si="42"/>
        <v>145.15653612907363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8">
        <f t="shared" si="1"/>
        <v>348.55165185430155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0">
        <f t="shared" si="0"/>
        <v>685.88700323711032</v>
      </c>
      <c r="S53" s="60">
        <f ca="1">AVERAGE(OFFSET($R$3,0,0,'Données projet'!$E$9+1,1))-AVERAGE(OFFSET($H$3,0,0,'Données projet'!$E$9+1,1))</f>
        <v>314.4389771131751</v>
      </c>
      <c r="T53" s="60">
        <f t="shared" si="34"/>
        <v>176.7239677722049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0">
        <f t="shared" si="5"/>
        <v>732.09830739641802</v>
      </c>
      <c r="AN53" s="60">
        <f ca="1">AVERAGE(OFFSET($AM$3,0,0,'Données projet'!$E$10+1,1))-AVERAGE(OFFSET($H$3,0,0,'Données projet'!$E$10+1,1))</f>
        <v>361.06925636707814</v>
      </c>
      <c r="AO53" s="60">
        <f t="shared" si="36"/>
        <v>201.44775212076888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16.227472527472521</v>
      </c>
      <c r="BD53" s="13">
        <f>IF('Données projet'!$A$88&gt;35,BD52+BC53-BL52,IF(A53&lt;'Données projet'!$A$88,$BA$205^A53,IF(A53='Données projet'!$A$88,'Données projet'!$B$88,BD52+BC53-BL52)))</f>
        <v>330.34285714285721</v>
      </c>
      <c r="BE53" s="14">
        <f>BD53*VLOOKUP('Données projet'!$B$11,Paramètres!$A$1:$I$89,3,0)*VLOOKUP('Données projet'!$B$11,Paramètres!$A$1:$I$89,5,0)</f>
        <v>184.66165714285719</v>
      </c>
      <c r="BF53" s="14">
        <f t="shared" si="37"/>
        <v>46.357770619215231</v>
      </c>
      <c r="BG53" s="22">
        <f t="shared" si="7"/>
        <v>402.3588366856095</v>
      </c>
      <c r="BH53" s="60">
        <f t="shared" si="8"/>
        <v>695.69217001894276</v>
      </c>
      <c r="BI53" s="60">
        <f ca="1">AVERAGE(OFFSET($BH$3,0,0,'Données projet'!$E$11+1,1))-AVERAGE(OFFSET($H$3,0,0,'Données projet'!$E$11+1,1))</f>
        <v>253.63061102077421</v>
      </c>
      <c r="BJ53" s="60">
        <f t="shared" si="38"/>
        <v>230.98056275369652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11.842074413597794</v>
      </c>
      <c r="BR53" s="23">
        <f>EXP(-LN(2)/2)*BR52+(1-EXP(-LN(2)/2))/(LN(2)/2)*BL53*BO53*VLOOKUP('Données projet'!$B$11,Paramètres!$A$1:$I$89,3,0)*0.475*44/12</f>
        <v>9.6300602234358646E-3</v>
      </c>
      <c r="BS53" s="24">
        <f t="shared" si="9"/>
        <v>11.851704473821231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240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239.99999999999983</v>
      </c>
      <c r="BZ53" s="14">
        <f>BY53*VLOOKUP('Données projet'!$B$12,Paramètres!$A$1:$I$89,3,0)*VLOOKUP('Données projet'!$B$12,Paramètres!$A$1:$I$89,5,0)</f>
        <v>175.96799999999988</v>
      </c>
      <c r="CA53" s="14">
        <f t="shared" si="39"/>
        <v>44.423961125650585</v>
      </c>
      <c r="CB53" s="22">
        <f t="shared" si="10"/>
        <v>383.8493322938412</v>
      </c>
      <c r="CC53" s="60">
        <f t="shared" si="11"/>
        <v>677.18266562717452</v>
      </c>
      <c r="CD53" s="60">
        <f ca="1">AVERAGE(OFFSET($CC$3,0,0,'Données projet'!$E$12+1,1))-AVERAGE(OFFSET($H$3,0,0,'Données projet'!$E$12+1,1))</f>
        <v>216.97968518094325</v>
      </c>
      <c r="CE53" s="60">
        <f t="shared" si="40"/>
        <v>248.38190023108666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39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188.46153846153845</v>
      </c>
      <c r="CR53" s="13">
        <f>VLOOKUP(A53,'Données projet'!$A$139:$I$159,9,0)</f>
        <v>5.8974358974358951</v>
      </c>
      <c r="CS53" s="13">
        <f t="array" ref="CS53">INDEX(CR:CR,MIN(IF(ISNUMBER(CR53:CR249),ROW(CR53:CR249),"")))</f>
        <v>5.8974358974358951</v>
      </c>
      <c r="CT53" s="13">
        <f>IF('Données projet'!$A$140&gt;35,CT52+CS53-DB52,IF(A53&lt;'Données projet'!$A$140,$CQ$205^A53,IF(A53='Données projet'!$A$140,'Données projet'!$B$140,CT52+CS53-DB52)))</f>
        <v>188.4615384615384</v>
      </c>
      <c r="CU53" s="18">
        <f>CT53*VLOOKUP('Données projet'!$B$13,Paramètres!$A$1:$I$89,3,0)*VLOOKUP('Données projet'!$B$13,Paramètres!$A$1:$I$89,5,0)</f>
        <v>126.41999999999994</v>
      </c>
      <c r="CV53" s="14">
        <f t="shared" si="41"/>
        <v>33.167786817172448</v>
      </c>
      <c r="CW53" s="22">
        <f t="shared" si="13"/>
        <v>277.94872870657525</v>
      </c>
      <c r="CX53" s="60">
        <f t="shared" si="14"/>
        <v>571.28206203990862</v>
      </c>
      <c r="CY53" s="60">
        <f ca="1">AVERAGE(OFFSET($CX$3,0,0,'Données projet'!$E$13+1,1))-AVERAGE(OFFSET($H$3,0,0,'Données projet'!$E$13+1,1))</f>
        <v>199.36703853638392</v>
      </c>
      <c r="CZ53" s="60">
        <f t="shared" si="42"/>
        <v>145.15653612907363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8">
        <f t="shared" si="1"/>
        <v>349.62471090256616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0">
        <f t="shared" si="0"/>
        <v>620.26096644164511</v>
      </c>
      <c r="S54" s="60">
        <f ca="1">AVERAGE(OFFSET($R$3,0,0,'Données projet'!$E$9+1,1))-AVERAGE(OFFSET($H$3,0,0,'Données projet'!$E$9+1,1))</f>
        <v>314.4389771131751</v>
      </c>
      <c r="T54" s="60">
        <f t="shared" si="34"/>
        <v>176.7239677722049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0">
        <f t="shared" si="5"/>
        <v>658.72976619125518</v>
      </c>
      <c r="AN54" s="60">
        <f ca="1">AVERAGE(OFFSET($AM$3,0,0,'Données projet'!$E$10+1,1))-AVERAGE(OFFSET($H$3,0,0,'Données projet'!$E$10+1,1))</f>
        <v>361.06925636707814</v>
      </c>
      <c r="AO54" s="60">
        <f t="shared" si="36"/>
        <v>201.44775212076888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16.227472527472521</v>
      </c>
      <c r="BD54" s="13">
        <f>IF('Données projet'!$A$88&gt;35,BD53+BC54-BL53,IF(A54&lt;'Données projet'!$A$88,$BA$205^A54,IF(A54='Données projet'!$A$88,'Données projet'!$B$88,BD53+BC54-BL53)))</f>
        <v>346.57032967032973</v>
      </c>
      <c r="BE54" s="14">
        <f>BD54*VLOOKUP('Données projet'!$B$11,Paramètres!$A$1:$I$89,3,0)*VLOOKUP('Données projet'!$B$11,Paramètres!$A$1:$I$89,5,0)</f>
        <v>193.73281428571431</v>
      </c>
      <c r="BF54" s="14">
        <f t="shared" si="37"/>
        <v>48.364288285880889</v>
      </c>
      <c r="BG54" s="22">
        <f t="shared" si="7"/>
        <v>421.65245364552828</v>
      </c>
      <c r="BH54" s="60">
        <f t="shared" si="8"/>
        <v>714.9857869788616</v>
      </c>
      <c r="BI54" s="60">
        <f ca="1">AVERAGE(OFFSET($BH$3,0,0,'Données projet'!$E$11+1,1))-AVERAGE(OFFSET($H$3,0,0,'Données projet'!$E$11+1,1))</f>
        <v>253.63061102077421</v>
      </c>
      <c r="BJ54" s="60">
        <f t="shared" si="38"/>
        <v>230.98056275369652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11.518252266010334</v>
      </c>
      <c r="BR54" s="23">
        <f>EXP(-LN(2)/2)*BR53+(1-EXP(-LN(2)/2))/(LN(2)/2)*BL54*BO54*VLOOKUP('Données projet'!$B$11,Paramètres!$A$1:$I$89,3,0)*0.475*44/12</f>
        <v>6.809480887226339E-3</v>
      </c>
      <c r="BS54" s="24">
        <f t="shared" si="9"/>
        <v>11.52506174689756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6.4</v>
      </c>
      <c r="BY54" s="13">
        <f>IF('Données projet'!$A$114&gt;35,BY53+BX54-CG53,IF(A54&lt;'Données projet'!$A$114,$BV$205^A54,IF(A54='Données projet'!$A$114,'Données projet'!$B$114,BY53+BX54-CG53)))</f>
        <v>207.39999999999984</v>
      </c>
      <c r="BZ54" s="14">
        <f>BY54*VLOOKUP('Données projet'!$B$12,Paramètres!$A$1:$I$89,3,0)*VLOOKUP('Données projet'!$B$12,Paramètres!$A$1:$I$89,5,0)</f>
        <v>152.06567999999987</v>
      </c>
      <c r="CA54" s="14">
        <f t="shared" si="39"/>
        <v>39.047644484359502</v>
      </c>
      <c r="CB54" s="22">
        <f t="shared" si="10"/>
        <v>332.85570681025916</v>
      </c>
      <c r="CC54" s="60">
        <f t="shared" si="11"/>
        <v>626.18904014359248</v>
      </c>
      <c r="CD54" s="60">
        <f ca="1">AVERAGE(OFFSET($CC$3,0,0,'Données projet'!$E$12+1,1))-AVERAGE(OFFSET($H$3,0,0,'Données projet'!$E$12+1,1))</f>
        <v>216.97968518094325</v>
      </c>
      <c r="CE54" s="60">
        <f t="shared" si="40"/>
        <v>248.38190023108666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5.6410256410256405</v>
      </c>
      <c r="CT54" s="13">
        <f>IF('Données projet'!$A$140&gt;35,CT53+CS54-DB53,IF(A54&lt;'Données projet'!$A$140,$CQ$205^A54,IF(A54='Données projet'!$A$140,'Données projet'!$B$140,CT53+CS54-DB53)))</f>
        <v>194.10256410256403</v>
      </c>
      <c r="CU54" s="18">
        <f>CT54*VLOOKUP('Données projet'!$B$13,Paramètres!$A$1:$I$89,3,0)*VLOOKUP('Données projet'!$B$13,Paramètres!$A$1:$I$89,5,0)</f>
        <v>130.20399999999995</v>
      </c>
      <c r="CV54" s="14">
        <f t="shared" si="41"/>
        <v>34.043493440159544</v>
      </c>
      <c r="CW54" s="22">
        <f t="shared" si="13"/>
        <v>286.06438440827776</v>
      </c>
      <c r="CX54" s="60">
        <f t="shared" si="14"/>
        <v>579.39771774161113</v>
      </c>
      <c r="CY54" s="60">
        <f ca="1">AVERAGE(OFFSET($CX$3,0,0,'Données projet'!$E$13+1,1))-AVERAGE(OFFSET($H$3,0,0,'Données projet'!$E$13+1,1))</f>
        <v>199.36703853638392</v>
      </c>
      <c r="CZ54" s="60">
        <f t="shared" si="42"/>
        <v>145.15653612907363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8">
        <f t="shared" si="1"/>
        <v>350.69723344960619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0">
        <f t="shared" si="0"/>
        <v>635.72643681712532</v>
      </c>
      <c r="S55" s="60">
        <f ca="1">AVERAGE(OFFSET($R$3,0,0,'Données projet'!$E$9+1,1))-AVERAGE(OFFSET($H$3,0,0,'Données projet'!$E$9+1,1))</f>
        <v>314.4389771131751</v>
      </c>
      <c r="T55" s="60">
        <f t="shared" si="34"/>
        <v>176.7239677722049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0">
        <f t="shared" si="5"/>
        <v>676.01954977643072</v>
      </c>
      <c r="AN55" s="60">
        <f ca="1">AVERAGE(OFFSET($AM$3,0,0,'Données projet'!$E$10+1,1))-AVERAGE(OFFSET($H$3,0,0,'Données projet'!$E$10+1,1))</f>
        <v>361.06925636707814</v>
      </c>
      <c r="AO55" s="60">
        <f t="shared" si="36"/>
        <v>201.44775212076888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16.227472527472521</v>
      </c>
      <c r="BD55" s="13">
        <f>IF('Données projet'!$A$88&gt;35,BD54+BC55-BL54,IF(A55&lt;'Données projet'!$A$88,$BA$205^A55,IF(A55='Données projet'!$A$88,'Données projet'!$B$88,BD54+BC55-BL54)))</f>
        <v>362.79780219780224</v>
      </c>
      <c r="BE55" s="14">
        <f>BD55*VLOOKUP('Données projet'!$B$11,Paramètres!$A$1:$I$89,3,0)*VLOOKUP('Données projet'!$B$11,Paramètres!$A$1:$I$89,5,0)</f>
        <v>202.80397142857146</v>
      </c>
      <c r="BF55" s="14">
        <f t="shared" si="37"/>
        <v>50.359895566849652</v>
      </c>
      <c r="BG55" s="22">
        <f t="shared" si="7"/>
        <v>440.92706835035841</v>
      </c>
      <c r="BH55" s="60">
        <f t="shared" si="8"/>
        <v>734.26040168369173</v>
      </c>
      <c r="BI55" s="60">
        <f ca="1">AVERAGE(OFFSET($BH$3,0,0,'Données projet'!$E$11+1,1))-AVERAGE(OFFSET($H$3,0,0,'Données projet'!$E$11+1,1))</f>
        <v>253.63061102077421</v>
      </c>
      <c r="BJ55" s="60">
        <f t="shared" si="38"/>
        <v>230.98056275369652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11.203285052077721</v>
      </c>
      <c r="BR55" s="23">
        <f>EXP(-LN(2)/2)*BR54+(1-EXP(-LN(2)/2))/(LN(2)/2)*BL55*BO55*VLOOKUP('Données projet'!$B$11,Paramètres!$A$1:$I$89,3,0)*0.475*44/12</f>
        <v>4.8150301117179323E-3</v>
      </c>
      <c r="BS55" s="24">
        <f t="shared" si="9"/>
        <v>11.208100082189439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6.4</v>
      </c>
      <c r="BY55" s="13">
        <f>IF('Données projet'!$A$114&gt;35,BY54+BX55-CG54,IF(A55&lt;'Données projet'!$A$114,$BV$205^A55,IF(A55='Données projet'!$A$114,'Données projet'!$B$114,BY54+BX55-CG54)))</f>
        <v>213.79999999999984</v>
      </c>
      <c r="BZ55" s="14">
        <f>BY55*VLOOKUP('Données projet'!$B$12,Paramètres!$A$1:$I$89,3,0)*VLOOKUP('Données projet'!$B$12,Paramètres!$A$1:$I$89,5,0)</f>
        <v>156.75815999999989</v>
      </c>
      <c r="CA55" s="14">
        <f t="shared" si="39"/>
        <v>40.110440521385584</v>
      </c>
      <c r="CB55" s="22">
        <f t="shared" si="10"/>
        <v>342.87947924141304</v>
      </c>
      <c r="CC55" s="60">
        <f t="shared" si="11"/>
        <v>636.21281257474629</v>
      </c>
      <c r="CD55" s="60">
        <f ca="1">AVERAGE(OFFSET($CC$3,0,0,'Données projet'!$E$12+1,1))-AVERAGE(OFFSET($H$3,0,0,'Données projet'!$E$12+1,1))</f>
        <v>216.97968518094325</v>
      </c>
      <c r="CE55" s="60">
        <f t="shared" si="40"/>
        <v>248.38190023108666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5.6410256410256405</v>
      </c>
      <c r="CT55" s="13">
        <f>IF('Données projet'!$A$140&gt;35,CT54+CS55-DB54,IF(A55&lt;'Données projet'!$A$140,$CQ$205^A55,IF(A55='Données projet'!$A$140,'Données projet'!$B$140,CT54+CS55-DB54)))</f>
        <v>199.74358974358967</v>
      </c>
      <c r="CU55" s="18">
        <f>CT55*VLOOKUP('Données projet'!$B$13,Paramètres!$A$1:$I$89,3,0)*VLOOKUP('Données projet'!$B$13,Paramètres!$A$1:$I$89,5,0)</f>
        <v>133.98799999999997</v>
      </c>
      <c r="CV55" s="14">
        <f t="shared" si="41"/>
        <v>34.916242264181065</v>
      </c>
      <c r="CW55" s="22">
        <f t="shared" si="13"/>
        <v>294.17488861011532</v>
      </c>
      <c r="CX55" s="60">
        <f t="shared" si="14"/>
        <v>587.50822194344869</v>
      </c>
      <c r="CY55" s="60">
        <f ca="1">AVERAGE(OFFSET($CX$3,0,0,'Données projet'!$E$13+1,1))-AVERAGE(OFFSET($H$3,0,0,'Données projet'!$E$13+1,1))</f>
        <v>199.36703853638392</v>
      </c>
      <c r="CZ55" s="60">
        <f t="shared" si="42"/>
        <v>145.15653612907363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8">
        <f t="shared" si="1"/>
        <v>351.76923100223922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0">
        <f t="shared" si="0"/>
        <v>651.17655593527957</v>
      </c>
      <c r="S56" s="60">
        <f ca="1">AVERAGE(OFFSET($R$3,0,0,'Données projet'!$E$9+1,1))-AVERAGE(OFFSET($H$3,0,0,'Données projet'!$E$9+1,1))</f>
        <v>314.4389771131751</v>
      </c>
      <c r="T56" s="60">
        <f t="shared" si="34"/>
        <v>176.7239677722049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0">
        <f t="shared" si="5"/>
        <v>693.29235603832899</v>
      </c>
      <c r="AN56" s="60">
        <f ca="1">AVERAGE(OFFSET($AM$3,0,0,'Données projet'!$E$10+1,1))-AVERAGE(OFFSET($H$3,0,0,'Données projet'!$E$10+1,1))</f>
        <v>361.06925636707814</v>
      </c>
      <c r="AO56" s="60">
        <f t="shared" si="36"/>
        <v>201.44775212076888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16.227472527472521</v>
      </c>
      <c r="BD56" s="13">
        <f>IF('Données projet'!$A$88&gt;35,BD55+BC56-BL55,IF(A56&lt;'Données projet'!$A$88,$BA$205^A56,IF(A56='Données projet'!$A$88,'Données projet'!$B$88,BD55+BC56-BL55)))</f>
        <v>379.02527472527476</v>
      </c>
      <c r="BE56" s="14">
        <f>BD56*VLOOKUP('Données projet'!$B$11,Paramètres!$A$1:$I$89,3,0)*VLOOKUP('Données projet'!$B$11,Paramètres!$A$1:$I$89,5,0)</f>
        <v>211.87512857142858</v>
      </c>
      <c r="BF56" s="14">
        <f t="shared" si="37"/>
        <v>52.345136228066735</v>
      </c>
      <c r="BG56" s="22">
        <f t="shared" si="7"/>
        <v>460.18362785912103</v>
      </c>
      <c r="BH56" s="60">
        <f t="shared" si="8"/>
        <v>753.51696119245435</v>
      </c>
      <c r="BI56" s="60">
        <f ca="1">AVERAGE(OFFSET($BH$3,0,0,'Données projet'!$E$11+1,1))-AVERAGE(OFFSET($H$3,0,0,'Données projet'!$E$11+1,1))</f>
        <v>253.63061102077421</v>
      </c>
      <c r="BJ56" s="60">
        <f t="shared" si="38"/>
        <v>230.98056275369652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10.896930633173501</v>
      </c>
      <c r="BR56" s="23">
        <f>EXP(-LN(2)/2)*BR55+(1-EXP(-LN(2)/2))/(LN(2)/2)*BL56*BO56*VLOOKUP('Données projet'!$B$11,Paramètres!$A$1:$I$89,3,0)*0.475*44/12</f>
        <v>3.4047404436131695E-3</v>
      </c>
      <c r="BS56" s="24">
        <f t="shared" si="9"/>
        <v>10.900335373617114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6.4</v>
      </c>
      <c r="BY56" s="13">
        <f>IF('Données projet'!$A$114&gt;35,BY55+BX56-CG55,IF(A56&lt;'Données projet'!$A$114,$BV$205^A56,IF(A56='Données projet'!$A$114,'Données projet'!$B$114,BY55+BX56-CG55)))</f>
        <v>220.19999999999985</v>
      </c>
      <c r="BZ56" s="14">
        <f>BY56*VLOOKUP('Données projet'!$B$12,Paramètres!$A$1:$I$89,3,0)*VLOOKUP('Données projet'!$B$12,Paramètres!$A$1:$I$89,5,0)</f>
        <v>161.45063999999991</v>
      </c>
      <c r="CA56" s="14">
        <f t="shared" si="39"/>
        <v>41.169539236094941</v>
      </c>
      <c r="CB56" s="22">
        <f t="shared" si="10"/>
        <v>352.89681216953187</v>
      </c>
      <c r="CC56" s="60">
        <f t="shared" si="11"/>
        <v>646.23014550286518</v>
      </c>
      <c r="CD56" s="60">
        <f ca="1">AVERAGE(OFFSET($CC$3,0,0,'Données projet'!$E$12+1,1))-AVERAGE(OFFSET($H$3,0,0,'Données projet'!$E$12+1,1))</f>
        <v>216.97968518094325</v>
      </c>
      <c r="CE56" s="60">
        <f t="shared" si="40"/>
        <v>248.38190023108666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5.6410256410256405</v>
      </c>
      <c r="CT56" s="13">
        <f>IF('Données projet'!$A$140&gt;35,CT55+CS56-DB55,IF(A56&lt;'Données projet'!$A$140,$CQ$205^A56,IF(A56='Données projet'!$A$140,'Données projet'!$B$140,CT55+CS56-DB55)))</f>
        <v>205.3846153846153</v>
      </c>
      <c r="CU56" s="18">
        <f>CT56*VLOOKUP('Données projet'!$B$13,Paramètres!$A$1:$I$89,3,0)*VLOOKUP('Données projet'!$B$13,Paramètres!$A$1:$I$89,5,0)</f>
        <v>137.77199999999993</v>
      </c>
      <c r="CV56" s="14">
        <f t="shared" si="41"/>
        <v>35.786126416547233</v>
      </c>
      <c r="CW56" s="22">
        <f t="shared" si="13"/>
        <v>302.28040350881963</v>
      </c>
      <c r="CX56" s="60">
        <f t="shared" si="14"/>
        <v>595.613736842153</v>
      </c>
      <c r="CY56" s="60">
        <f ca="1">AVERAGE(OFFSET($CX$3,0,0,'Données projet'!$E$13+1,1))-AVERAGE(OFFSET($H$3,0,0,'Données projet'!$E$13+1,1))</f>
        <v>199.36703853638392</v>
      </c>
      <c r="CZ56" s="60">
        <f t="shared" si="42"/>
        <v>145.15653612907363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8">
        <f t="shared" si="1"/>
        <v>352.84071460821417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0">
        <f t="shared" si="0"/>
        <v>666.61207984061377</v>
      </c>
      <c r="S57" s="60">
        <f ca="1">AVERAGE(OFFSET($R$3,0,0,'Données projet'!$E$9+1,1))-AVERAGE(OFFSET($H$3,0,0,'Données projet'!$E$9+1,1))</f>
        <v>314.4389771131751</v>
      </c>
      <c r="T57" s="60">
        <f t="shared" si="34"/>
        <v>176.7239677722049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0">
        <f t="shared" si="5"/>
        <v>710.54902110468288</v>
      </c>
      <c r="AN57" s="60">
        <f ca="1">AVERAGE(OFFSET($AM$3,0,0,'Données projet'!$E$10+1,1))-AVERAGE(OFFSET($H$3,0,0,'Données projet'!$E$10+1,1))</f>
        <v>361.06925636707814</v>
      </c>
      <c r="AO57" s="60">
        <f t="shared" si="36"/>
        <v>201.44775212076888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16.227472527472521</v>
      </c>
      <c r="BD57" s="13">
        <f>IF('Données projet'!$A$88&gt;35,BD56+BC57-BL56,IF(A57&lt;'Données projet'!$A$88,$BA$205^A57,IF(A57='Données projet'!$A$88,'Données projet'!$B$88,BD56+BC57-BL56)))</f>
        <v>395.25274725274727</v>
      </c>
      <c r="BE57" s="14">
        <f>BD57*VLOOKUP('Données projet'!$B$11,Paramètres!$A$1:$I$89,3,0)*VLOOKUP('Données projet'!$B$11,Paramètres!$A$1:$I$89,5,0)</f>
        <v>220.94628571428572</v>
      </c>
      <c r="BF57" s="14">
        <f t="shared" si="37"/>
        <v>54.320504840756463</v>
      </c>
      <c r="BG57" s="22">
        <f t="shared" si="7"/>
        <v>479.42299355003178</v>
      </c>
      <c r="BH57" s="60">
        <f t="shared" si="8"/>
        <v>772.75632688336509</v>
      </c>
      <c r="BI57" s="60">
        <f ca="1">AVERAGE(OFFSET($BH$3,0,0,'Données projet'!$E$11+1,1))-AVERAGE(OFFSET($H$3,0,0,'Données projet'!$E$11+1,1))</f>
        <v>253.63061102077421</v>
      </c>
      <c r="BJ57" s="60">
        <f t="shared" si="38"/>
        <v>230.98056275369652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10.598953491964695</v>
      </c>
      <c r="BR57" s="23">
        <f>EXP(-LN(2)/2)*BR56+(1-EXP(-LN(2)/2))/(LN(2)/2)*BL57*BO57*VLOOKUP('Données projet'!$B$11,Paramètres!$A$1:$I$89,3,0)*0.475*44/12</f>
        <v>2.4075150558589662E-3</v>
      </c>
      <c r="BS57" s="24">
        <f t="shared" si="9"/>
        <v>10.601361007020554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6.4</v>
      </c>
      <c r="BY57" s="13">
        <f>IF('Données projet'!$A$114&gt;35,BY56+BX57-CG56,IF(A57&lt;'Données projet'!$A$114,$BV$205^A57,IF(A57='Données projet'!$A$114,'Données projet'!$B$114,BY56+BX57-CG56)))</f>
        <v>226.59999999999985</v>
      </c>
      <c r="BZ57" s="14">
        <f>BY57*VLOOKUP('Données projet'!$B$12,Paramètres!$A$1:$I$89,3,0)*VLOOKUP('Données projet'!$B$12,Paramètres!$A$1:$I$89,5,0)</f>
        <v>166.1431199999999</v>
      </c>
      <c r="CA57" s="14">
        <f t="shared" si="39"/>
        <v>42.225060429180445</v>
      </c>
      <c r="CB57" s="22">
        <f t="shared" si="10"/>
        <v>362.90791424748909</v>
      </c>
      <c r="CC57" s="60">
        <f t="shared" si="11"/>
        <v>656.24124758082235</v>
      </c>
      <c r="CD57" s="60">
        <f ca="1">AVERAGE(OFFSET($CC$3,0,0,'Données projet'!$E$12+1,1))-AVERAGE(OFFSET($H$3,0,0,'Données projet'!$E$12+1,1))</f>
        <v>216.97968518094325</v>
      </c>
      <c r="CE57" s="60">
        <f t="shared" si="40"/>
        <v>248.38190023108666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5.6410256410256405</v>
      </c>
      <c r="CT57" s="13">
        <f>IF('Données projet'!$A$140&gt;35,CT56+CS57-DB56,IF(A57&lt;'Données projet'!$A$140,$CQ$205^A57,IF(A57='Données projet'!$A$140,'Données projet'!$B$140,CT56+CS57-DB56)))</f>
        <v>211.02564102564094</v>
      </c>
      <c r="CU57" s="18">
        <f>CT57*VLOOKUP('Données projet'!$B$13,Paramètres!$A$1:$I$89,3,0)*VLOOKUP('Données projet'!$B$13,Paramètres!$A$1:$I$89,5,0)</f>
        <v>141.55599999999995</v>
      </c>
      <c r="CV57" s="14">
        <f t="shared" si="41"/>
        <v>36.653233617821797</v>
      </c>
      <c r="CW57" s="22">
        <f t="shared" si="13"/>
        <v>310.38108188437286</v>
      </c>
      <c r="CX57" s="60">
        <f t="shared" si="14"/>
        <v>603.71441521770612</v>
      </c>
      <c r="CY57" s="60">
        <f ca="1">AVERAGE(OFFSET($CX$3,0,0,'Données projet'!$E$13+1,1))-AVERAGE(OFFSET($H$3,0,0,'Données projet'!$E$13+1,1))</f>
        <v>199.36703853638392</v>
      </c>
      <c r="CZ57" s="60">
        <f t="shared" si="42"/>
        <v>145.15653612907363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8">
        <f t="shared" si="1"/>
        <v>353.91169488268253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0">
        <f t="shared" si="0"/>
        <v>682.03369695342735</v>
      </c>
      <c r="S58" s="60">
        <f ca="1">AVERAGE(OFFSET($R$3,0,0,'Données projet'!$E$9+1,1))-AVERAGE(OFFSET($H$3,0,0,'Données projet'!$E$9+1,1))</f>
        <v>314.4389771131751</v>
      </c>
      <c r="T58" s="60">
        <f t="shared" si="34"/>
        <v>176.7239677722049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0">
        <f t="shared" si="5"/>
        <v>727.79030631599562</v>
      </c>
      <c r="AN58" s="60">
        <f ca="1">AVERAGE(OFFSET($AM$3,0,0,'Données projet'!$E$10+1,1))-AVERAGE(OFFSET($H$3,0,0,'Données projet'!$E$10+1,1))</f>
        <v>361.06925636707814</v>
      </c>
      <c r="AO58" s="60">
        <f t="shared" si="36"/>
        <v>201.44775212076888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16.227472527472521</v>
      </c>
      <c r="BD58" s="13">
        <f>IF('Données projet'!$A$88&gt;35,BD57+BC58-BL57,IF(A58&lt;'Données projet'!$A$88,$BA$205^A58,IF(A58='Données projet'!$A$88,'Données projet'!$B$88,BD57+BC58-BL57)))</f>
        <v>411.48021978021978</v>
      </c>
      <c r="BE58" s="14">
        <f>BD58*VLOOKUP('Données projet'!$B$11,Paramètres!$A$1:$I$89,3,0)*VLOOKUP('Données projet'!$B$11,Paramètres!$A$1:$I$89,5,0)</f>
        <v>230.01744285714284</v>
      </c>
      <c r="BF58" s="14">
        <f t="shared" si="37"/>
        <v>56.286453068022915</v>
      </c>
      <c r="BG58" s="22">
        <f t="shared" si="7"/>
        <v>498.64595206966368</v>
      </c>
      <c r="BH58" s="60">
        <f t="shared" si="8"/>
        <v>791.97928540299699</v>
      </c>
      <c r="BI58" s="60">
        <f ca="1">AVERAGE(OFFSET($BH$3,0,0,'Données projet'!$E$11+1,1))-AVERAGE(OFFSET($H$3,0,0,'Données projet'!$E$11+1,1))</f>
        <v>253.63061102077421</v>
      </c>
      <c r="BJ58" s="60">
        <f t="shared" si="38"/>
        <v>230.98056275369652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10.309124551352181</v>
      </c>
      <c r="BR58" s="23">
        <f>EXP(-LN(2)/2)*BR57+(1-EXP(-LN(2)/2))/(LN(2)/2)*BL58*BO58*VLOOKUP('Données projet'!$B$11,Paramètres!$A$1:$I$89,3,0)*0.475*44/12</f>
        <v>1.7023702218065847E-3</v>
      </c>
      <c r="BS58" s="24">
        <f t="shared" si="9"/>
        <v>10.310826921573987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233</v>
      </c>
      <c r="BW58" s="13">
        <f>VLOOKUP(A58,'Données projet'!$A$113:$I$133,9,0)</f>
        <v>6.4</v>
      </c>
      <c r="BX58" s="13">
        <f t="array" ref="BX58">INDEX(BW:BW,MIN(IF(ISNUMBER(BW58:BW254),ROW(BW58:BW254),"")))</f>
        <v>6.4</v>
      </c>
      <c r="BY58" s="13">
        <f>IF('Données projet'!$A$114&gt;35,BY57+BX58-CG57,IF(A58&lt;'Données projet'!$A$114,$BV$205^A58,IF(A58='Données projet'!$A$114,'Données projet'!$B$114,BY57+BX58-CG57)))</f>
        <v>232.99999999999986</v>
      </c>
      <c r="BZ58" s="14">
        <f>BY58*VLOOKUP('Données projet'!$B$12,Paramètres!$A$1:$I$89,3,0)*VLOOKUP('Données projet'!$B$12,Paramètres!$A$1:$I$89,5,0)</f>
        <v>170.83559999999991</v>
      </c>
      <c r="CA58" s="14">
        <f t="shared" si="39"/>
        <v>43.277116749159646</v>
      </c>
      <c r="CB58" s="22">
        <f t="shared" si="10"/>
        <v>372.91298167145288</v>
      </c>
      <c r="CC58" s="60">
        <f t="shared" si="11"/>
        <v>666.2463150047862</v>
      </c>
      <c r="CD58" s="60">
        <f ca="1">AVERAGE(OFFSET($CC$3,0,0,'Données projet'!$E$12+1,1))-AVERAGE(OFFSET($H$3,0,0,'Données projet'!$E$12+1,1))</f>
        <v>216.97968518094325</v>
      </c>
      <c r="CE58" s="60">
        <f t="shared" si="40"/>
        <v>248.38190023108666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216.66666666666666</v>
      </c>
      <c r="CR58" s="13">
        <f>VLOOKUP(A58,'Données projet'!$A$139:$I$159,9,0)</f>
        <v>5.6410256410256405</v>
      </c>
      <c r="CS58" s="13">
        <f t="array" ref="CS58">INDEX(CR:CR,MIN(IF(ISNUMBER(CR58:CR254),ROW(CR58:CR254),"")))</f>
        <v>5.6410256410256405</v>
      </c>
      <c r="CT58" s="13">
        <f>IF('Données projet'!$A$140&gt;35,CT57+CS58-DB57,IF(A58&lt;'Données projet'!$A$140,$CQ$205^A58,IF(A58='Données projet'!$A$140,'Données projet'!$B$140,CT57+CS58-DB57)))</f>
        <v>216.66666666666657</v>
      </c>
      <c r="CU58" s="18">
        <f>CT58*VLOOKUP('Données projet'!$B$13,Paramètres!$A$1:$I$89,3,0)*VLOOKUP('Données projet'!$B$13,Paramètres!$A$1:$I$89,5,0)</f>
        <v>145.33999999999995</v>
      </c>
      <c r="CV58" s="14">
        <f t="shared" si="41"/>
        <v>37.517646631752974</v>
      </c>
      <c r="CW58" s="22">
        <f t="shared" si="13"/>
        <v>318.47706788363627</v>
      </c>
      <c r="CX58" s="60">
        <f t="shared" si="14"/>
        <v>611.81040121696958</v>
      </c>
      <c r="CY58" s="60">
        <f ca="1">AVERAGE(OFFSET($CX$3,0,0,'Données projet'!$E$13+1,1))-AVERAGE(OFFSET($H$3,0,0,'Données projet'!$E$13+1,1))</f>
        <v>199.36703853638392</v>
      </c>
      <c r="CZ58" s="60">
        <f t="shared" si="42"/>
        <v>145.15653612907363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30.128205128205128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8">
        <f t="shared" si="1"/>
        <v>354.98218203268914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0">
        <f t="shared" si="0"/>
        <v>696.67192586439194</v>
      </c>
      <c r="S59" s="60">
        <f ca="1">AVERAGE(OFFSET($R$3,0,0,'Données projet'!$E$9+1,1))-AVERAGE(OFFSET($H$3,0,0,'Données projet'!$E$9+1,1))</f>
        <v>314.4389771131751</v>
      </c>
      <c r="T59" s="60">
        <f t="shared" si="34"/>
        <v>176.7239677722049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0">
        <f t="shared" si="5"/>
        <v>744.15591627769948</v>
      </c>
      <c r="AN59" s="60">
        <f ca="1">AVERAGE(OFFSET($AM$3,0,0,'Données projet'!$E$10+1,1))-AVERAGE(OFFSET($H$3,0,0,'Données projet'!$E$10+1,1))</f>
        <v>361.06925636707814</v>
      </c>
      <c r="AO59" s="60">
        <f t="shared" si="36"/>
        <v>201.44775212076888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427.7076923076923</v>
      </c>
      <c r="BB59" s="13">
        <f>VLOOKUP(A59,'Données projet'!$A$87:$I$107,9,0)</f>
        <v>16.227472527472521</v>
      </c>
      <c r="BC59" s="13">
        <f t="array" ref="BC59">INDEX(BB:BB,MIN(IF(ISNUMBER(BB59:BB255),ROW(BB59:BB255),"")))</f>
        <v>16.227472527472521</v>
      </c>
      <c r="BD59" s="13">
        <f>IF('Données projet'!$A$88&gt;35,BD58+BC59-BL58,IF(A59&lt;'Données projet'!$A$88,$BA$205^A59,IF(A59='Données projet'!$A$88,'Données projet'!$B$88,BD58+BC59-BL58)))</f>
        <v>427.7076923076923</v>
      </c>
      <c r="BE59" s="14">
        <f>BD59*VLOOKUP('Données projet'!$B$11,Paramètres!$A$1:$I$89,3,0)*VLOOKUP('Données projet'!$B$11,Paramètres!$A$1:$I$89,5,0)</f>
        <v>239.08860000000001</v>
      </c>
      <c r="BF59" s="14">
        <f t="shared" si="37"/>
        <v>58.243394931850105</v>
      </c>
      <c r="BG59" s="22">
        <f t="shared" si="7"/>
        <v>517.85322450630554</v>
      </c>
      <c r="BH59" s="60">
        <f t="shared" si="8"/>
        <v>811.18655783963891</v>
      </c>
      <c r="BI59" s="60">
        <f ca="1">AVERAGE(OFFSET($BH$3,0,0,'Données projet'!$E$11+1,1))-AVERAGE(OFFSET($H$3,0,0,'Données projet'!$E$11+1,1))</f>
        <v>253.63061102077421</v>
      </c>
      <c r="BJ59" s="60">
        <f t="shared" si="38"/>
        <v>230.98056275369652</v>
      </c>
      <c r="BK59" s="16">
        <f>IF(ISNA(VLOOKUP(A59,'Données projet'!$A$87:$I$107,3,0)),0,VLOOKUP(A59,'Données projet'!$A$87:$I$107,3,0))</f>
        <v>6</v>
      </c>
      <c r="BL59" s="16">
        <f>IF(ISNA(VLOOKUP(A59,'Données projet'!$A$87:$I$107,4,0)),0,VLOOKUP(A59,'Données projet'!$A$87:$I$107,4,0))</f>
        <v>75.869230769230768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10.027220998362157</v>
      </c>
      <c r="BR59" s="23">
        <f>EXP(-LN(2)/2)*BR58+(1-EXP(-LN(2)/2))/(LN(2)/2)*BL59*BO59*VLOOKUP('Données projet'!$B$11,Paramètres!$A$1:$I$89,3,0)*0.475*44/12</f>
        <v>1.2037575279294831E-3</v>
      </c>
      <c r="BS59" s="24">
        <f t="shared" si="9"/>
        <v>10.028424755890086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</v>
      </c>
      <c r="BY59" s="13">
        <f>IF('Données projet'!$A$114&gt;35,BY58+BX59-CG58,IF(A59&lt;'Données projet'!$A$114,$BV$205^A59,IF(A59='Données projet'!$A$114,'Données projet'!$B$114,BY58+BX59-CG58)))</f>
        <v>237.99999999999986</v>
      </c>
      <c r="BZ59" s="14">
        <f>BY59*VLOOKUP('Données projet'!$B$12,Paramètres!$A$1:$I$89,3,0)*VLOOKUP('Données projet'!$B$12,Paramètres!$A$1:$I$89,5,0)</f>
        <v>174.50159999999988</v>
      </c>
      <c r="CA59" s="14">
        <f t="shared" si="39"/>
        <v>44.096693550140635</v>
      </c>
      <c r="CB59" s="22">
        <f t="shared" si="10"/>
        <v>380.7253612664947</v>
      </c>
      <c r="CC59" s="60">
        <f t="shared" si="11"/>
        <v>674.05869459982796</v>
      </c>
      <c r="CD59" s="60">
        <f ca="1">AVERAGE(OFFSET($CC$3,0,0,'Données projet'!$E$12+1,1))-AVERAGE(OFFSET($H$3,0,0,'Données projet'!$E$12+1,1))</f>
        <v>216.97968518094325</v>
      </c>
      <c r="CE59" s="60">
        <f t="shared" si="40"/>
        <v>248.38190023108666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5.2564102564102599</v>
      </c>
      <c r="CT59" s="13">
        <f>IF('Données projet'!$A$140&gt;35,CT58+CS59-DB58,IF(A59&lt;'Données projet'!$A$140,$CQ$205^A59,IF(A59='Données projet'!$A$140,'Données projet'!$B$140,CT58+CS59-DB58)))</f>
        <v>191.79487179487168</v>
      </c>
      <c r="CU59" s="18">
        <f>CT59*VLOOKUP('Données projet'!$B$13,Paramètres!$A$1:$I$89,3,0)*VLOOKUP('Données projet'!$B$13,Paramètres!$A$1:$I$89,5,0)</f>
        <v>128.65599999999995</v>
      </c>
      <c r="CV59" s="14">
        <f t="shared" si="41"/>
        <v>33.685612807452138</v>
      </c>
      <c r="CW59" s="22">
        <f t="shared" si="13"/>
        <v>282.7449756396457</v>
      </c>
      <c r="CX59" s="60">
        <f t="shared" si="14"/>
        <v>576.07830897297902</v>
      </c>
      <c r="CY59" s="60">
        <f ca="1">AVERAGE(OFFSET($CX$3,0,0,'Données projet'!$E$13+1,1))-AVERAGE(OFFSET($H$3,0,0,'Données projet'!$E$13+1,1))</f>
        <v>199.36703853638392</v>
      </c>
      <c r="CZ59" s="60">
        <f t="shared" si="42"/>
        <v>145.15653612907363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8">
        <f t="shared" si="1"/>
        <v>356.05218587986496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0">
        <f t="shared" si="0"/>
        <v>711.29866832489597</v>
      </c>
      <c r="S60" s="60">
        <f ca="1">AVERAGE(OFFSET($R$3,0,0,'Données projet'!$E$9+1,1))-AVERAGE(OFFSET($H$3,0,0,'Données projet'!$E$9+1,1))</f>
        <v>314.4389771131751</v>
      </c>
      <c r="T60" s="60">
        <f t="shared" si="34"/>
        <v>176.7239677722049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0">
        <f t="shared" si="5"/>
        <v>760.50882309863516</v>
      </c>
      <c r="AN60" s="60">
        <f ca="1">AVERAGE(OFFSET($AM$3,0,0,'Données projet'!$E$10+1,1))-AVERAGE(OFFSET($H$3,0,0,'Données projet'!$E$10+1,1))</f>
        <v>361.06925636707814</v>
      </c>
      <c r="AO60" s="60">
        <f t="shared" si="36"/>
        <v>201.44775212076888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14.839560439560435</v>
      </c>
      <c r="BD60" s="13">
        <f>IF('Données projet'!$A$88&gt;35,BD59+BC60-BL59,IF(A60&lt;'Données projet'!$A$88,$BA$205^A60,IF(A60='Données projet'!$A$88,'Données projet'!$B$88,BD59+BC60-BL59)))</f>
        <v>366.678021978022</v>
      </c>
      <c r="BE60" s="14">
        <f>BD60*VLOOKUP('Données projet'!$B$11,Paramètres!$A$1:$I$89,3,0)*VLOOKUP('Données projet'!$B$11,Paramètres!$A$1:$I$89,5,0)</f>
        <v>204.9730142857143</v>
      </c>
      <c r="BF60" s="14">
        <f t="shared" si="37"/>
        <v>50.835518579260878</v>
      </c>
      <c r="BG60" s="22">
        <f t="shared" si="7"/>
        <v>445.53319473983174</v>
      </c>
      <c r="BH60" s="60">
        <f t="shared" si="8"/>
        <v>738.866528073165</v>
      </c>
      <c r="BI60" s="60">
        <f ca="1">AVERAGE(OFFSET($BH$3,0,0,'Données projet'!$E$11+1,1))-AVERAGE(OFFSET($H$3,0,0,'Données projet'!$E$11+1,1))</f>
        <v>253.63061102077421</v>
      </c>
      <c r="BJ60" s="60">
        <f t="shared" si="38"/>
        <v>230.98056275369652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9.7530261128533091</v>
      </c>
      <c r="BR60" s="23">
        <f>EXP(-LN(2)/2)*BR59+(1-EXP(-LN(2)/2))/(LN(2)/2)*BL60*BO60*VLOOKUP('Données projet'!$B$11,Paramètres!$A$1:$I$89,3,0)*0.475*44/12</f>
        <v>8.5118511090329237E-4</v>
      </c>
      <c r="BS60" s="24">
        <f t="shared" si="9"/>
        <v>9.7538772979642125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</v>
      </c>
      <c r="BY60" s="13">
        <f>IF('Données projet'!$A$114&gt;35,BY59+BX60-CG59,IF(A60&lt;'Données projet'!$A$114,$BV$205^A60,IF(A60='Données projet'!$A$114,'Données projet'!$B$114,BY59+BX60-CG59)))</f>
        <v>242.99999999999986</v>
      </c>
      <c r="BZ60" s="14">
        <f>BY60*VLOOKUP('Données projet'!$B$12,Paramètres!$A$1:$I$89,3,0)*VLOOKUP('Données projet'!$B$12,Paramètres!$A$1:$I$89,5,0)</f>
        <v>178.16759999999988</v>
      </c>
      <c r="CA60" s="14">
        <f t="shared" si="39"/>
        <v>44.91426846875347</v>
      </c>
      <c r="CB60" s="22">
        <f t="shared" si="10"/>
        <v>388.5342542497454</v>
      </c>
      <c r="CC60" s="60">
        <f t="shared" si="11"/>
        <v>681.86758758307872</v>
      </c>
      <c r="CD60" s="60">
        <f ca="1">AVERAGE(OFFSET($CC$3,0,0,'Données projet'!$E$12+1,1))-AVERAGE(OFFSET($H$3,0,0,'Données projet'!$E$12+1,1))</f>
        <v>216.97968518094325</v>
      </c>
      <c r="CE60" s="60">
        <f t="shared" si="40"/>
        <v>248.38190023108666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5.2564102564102599</v>
      </c>
      <c r="CT60" s="13">
        <f>IF('Données projet'!$A$140&gt;35,CT59+CS60-DB59,IF(A60&lt;'Données projet'!$A$140,$CQ$205^A60,IF(A60='Données projet'!$A$140,'Données projet'!$B$140,CT59+CS60-DB59)))</f>
        <v>197.05128205128193</v>
      </c>
      <c r="CU60" s="18">
        <f>CT60*VLOOKUP('Données projet'!$B$13,Paramètres!$A$1:$I$89,3,0)*VLOOKUP('Données projet'!$B$13,Paramètres!$A$1:$I$89,5,0)</f>
        <v>132.18199999999993</v>
      </c>
      <c r="CV60" s="14">
        <f t="shared" si="41"/>
        <v>34.500065985258935</v>
      </c>
      <c r="CW60" s="22">
        <f t="shared" si="13"/>
        <v>290.30459825765917</v>
      </c>
      <c r="CX60" s="60">
        <f t="shared" si="14"/>
        <v>583.63793159099248</v>
      </c>
      <c r="CY60" s="60">
        <f ca="1">AVERAGE(OFFSET($CX$3,0,0,'Données projet'!$E$13+1,1))-AVERAGE(OFFSET($H$3,0,0,'Données projet'!$E$13+1,1))</f>
        <v>199.36703853638392</v>
      </c>
      <c r="CZ60" s="60">
        <f t="shared" si="42"/>
        <v>145.15653612907363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8">
        <f t="shared" si="1"/>
        <v>357.12171588148163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0">
        <f t="shared" si="0"/>
        <v>725.91438285442098</v>
      </c>
      <c r="S61" s="60">
        <f ca="1">AVERAGE(OFFSET($R$3,0,0,'Données projet'!$E$9+1,1))-AVERAGE(OFFSET($H$3,0,0,'Données projet'!$E$9+1,1))</f>
        <v>314.4389771131751</v>
      </c>
      <c r="T61" s="60">
        <f t="shared" si="34"/>
        <v>176.7239677722049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0">
        <f t="shared" si="5"/>
        <v>776.84953386648317</v>
      </c>
      <c r="AN61" s="60">
        <f ca="1">AVERAGE(OFFSET($AM$3,0,0,'Données projet'!$E$10+1,1))-AVERAGE(OFFSET($H$3,0,0,'Données projet'!$E$10+1,1))</f>
        <v>361.06925636707814</v>
      </c>
      <c r="AO61" s="60">
        <f t="shared" si="36"/>
        <v>201.44775212076888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14.839560439560435</v>
      </c>
      <c r="BD61" s="13">
        <f>IF('Données projet'!$A$88&gt;35,BD60+BC61-BL60,IF(A61&lt;'Données projet'!$A$88,$BA$205^A61,IF(A61='Données projet'!$A$88,'Données projet'!$B$88,BD60+BC61-BL60)))</f>
        <v>381.51758241758245</v>
      </c>
      <c r="BE61" s="14">
        <f>BD61*VLOOKUP('Données projet'!$B$11,Paramètres!$A$1:$I$89,3,0)*VLOOKUP('Données projet'!$B$11,Paramètres!$A$1:$I$89,5,0)</f>
        <v>213.26832857142858</v>
      </c>
      <c r="BF61" s="14">
        <f t="shared" si="37"/>
        <v>52.649154508451623</v>
      </c>
      <c r="BG61" s="22">
        <f t="shared" si="7"/>
        <v>463.13961636412461</v>
      </c>
      <c r="BH61" s="60">
        <f t="shared" si="8"/>
        <v>756.47294969745792</v>
      </c>
      <c r="BI61" s="60">
        <f ca="1">AVERAGE(OFFSET($BH$3,0,0,'Données projet'!$E$11+1,1))-AVERAGE(OFFSET($H$3,0,0,'Données projet'!$E$11+1,1))</f>
        <v>253.63061102077421</v>
      </c>
      <c r="BJ61" s="60">
        <f t="shared" si="38"/>
        <v>230.98056275369652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9.4863291009079838</v>
      </c>
      <c r="BR61" s="23">
        <f>EXP(-LN(2)/2)*BR60+(1-EXP(-LN(2)/2))/(LN(2)/2)*BL61*BO61*VLOOKUP('Données projet'!$B$11,Paramètres!$A$1:$I$89,3,0)*0.475*44/12</f>
        <v>6.0187876396474154E-4</v>
      </c>
      <c r="BS61" s="24">
        <f t="shared" si="9"/>
        <v>9.4869309796719481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</v>
      </c>
      <c r="BY61" s="13">
        <f>IF('Données projet'!$A$114&gt;35,BY60+BX61-CG60,IF(A61&lt;'Données projet'!$A$114,$BV$205^A61,IF(A61='Données projet'!$A$114,'Données projet'!$B$114,BY60+BX61-CG60)))</f>
        <v>247.99999999999986</v>
      </c>
      <c r="BZ61" s="14">
        <f>BY61*VLOOKUP('Données projet'!$B$12,Paramètres!$A$1:$I$89,3,0)*VLOOKUP('Données projet'!$B$12,Paramètres!$A$1:$I$89,5,0)</f>
        <v>181.8335999999999</v>
      </c>
      <c r="CA61" s="14">
        <f t="shared" si="39"/>
        <v>45.729887442143784</v>
      </c>
      <c r="CB61" s="22">
        <f t="shared" si="10"/>
        <v>396.33974062840025</v>
      </c>
      <c r="CC61" s="60">
        <f t="shared" si="11"/>
        <v>689.67307396173351</v>
      </c>
      <c r="CD61" s="60">
        <f ca="1">AVERAGE(OFFSET($CC$3,0,0,'Données projet'!$E$12+1,1))-AVERAGE(OFFSET($H$3,0,0,'Données projet'!$E$12+1,1))</f>
        <v>216.97968518094325</v>
      </c>
      <c r="CE61" s="60">
        <f t="shared" si="40"/>
        <v>248.38190023108666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5.2564102564102599</v>
      </c>
      <c r="CT61" s="13">
        <f>IF('Données projet'!$A$140&gt;35,CT60+CS61-DB60,IF(A61&lt;'Données projet'!$A$140,$CQ$205^A61,IF(A61='Données projet'!$A$140,'Données projet'!$B$140,CT60+CS61-DB60)))</f>
        <v>202.30769230769218</v>
      </c>
      <c r="CU61" s="18">
        <f>CT61*VLOOKUP('Données projet'!$B$13,Paramètres!$A$1:$I$89,3,0)*VLOOKUP('Données projet'!$B$13,Paramètres!$A$1:$I$89,5,0)</f>
        <v>135.70799999999991</v>
      </c>
      <c r="CV61" s="14">
        <f t="shared" si="41"/>
        <v>35.311993883566068</v>
      </c>
      <c r="CW61" s="22">
        <f t="shared" si="13"/>
        <v>297.85982268054408</v>
      </c>
      <c r="CX61" s="60">
        <f t="shared" si="14"/>
        <v>591.19315601387734</v>
      </c>
      <c r="CY61" s="60">
        <f ca="1">AVERAGE(OFFSET($CX$3,0,0,'Données projet'!$E$13+1,1))-AVERAGE(OFFSET($H$3,0,0,'Données projet'!$E$13+1,1))</f>
        <v>199.36703853638392</v>
      </c>
      <c r="CZ61" s="60">
        <f t="shared" si="42"/>
        <v>145.15653612907363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8">
        <f t="shared" si="1"/>
        <v>358.19078115001309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0">
        <f t="shared" si="0"/>
        <v>740.51949446577237</v>
      </c>
      <c r="S62" s="60">
        <f ca="1">AVERAGE(OFFSET($R$3,0,0,'Données projet'!$E$9+1,1))-AVERAGE(OFFSET($H$3,0,0,'Données projet'!$E$9+1,1))</f>
        <v>314.4389771131751</v>
      </c>
      <c r="T62" s="60">
        <f t="shared" si="34"/>
        <v>176.7239677722049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0">
        <f t="shared" si="5"/>
        <v>793.17851861308782</v>
      </c>
      <c r="AN62" s="60">
        <f ca="1">AVERAGE(OFFSET($AM$3,0,0,'Données projet'!$E$10+1,1))-AVERAGE(OFFSET($H$3,0,0,'Données projet'!$E$10+1,1))</f>
        <v>361.06925636707814</v>
      </c>
      <c r="AO62" s="60">
        <f t="shared" si="36"/>
        <v>201.44775212076888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14.839560439560435</v>
      </c>
      <c r="BD62" s="13">
        <f>IF('Données projet'!$A$88&gt;35,BD61+BC62-BL61,IF(A62&lt;'Données projet'!$A$88,$BA$205^A62,IF(A62='Données projet'!$A$88,'Données projet'!$B$88,BD61+BC62-BL61)))</f>
        <v>396.35714285714289</v>
      </c>
      <c r="BE62" s="14">
        <f>BD62*VLOOKUP('Données projet'!$B$11,Paramètres!$A$1:$I$89,3,0)*VLOOKUP('Données projet'!$B$11,Paramètres!$A$1:$I$89,5,0)</f>
        <v>221.56364285714287</v>
      </c>
      <c r="BF62" s="14">
        <f t="shared" si="37"/>
        <v>54.45459555983345</v>
      </c>
      <c r="BG62" s="22">
        <f t="shared" si="7"/>
        <v>480.73176524290039</v>
      </c>
      <c r="BH62" s="60">
        <f t="shared" si="8"/>
        <v>774.06509857623371</v>
      </c>
      <c r="BI62" s="60">
        <f ca="1">AVERAGE(OFFSET($BH$3,0,0,'Données projet'!$E$11+1,1))-AVERAGE(OFFSET($H$3,0,0,'Données projet'!$E$11+1,1))</f>
        <v>253.63061102077421</v>
      </c>
      <c r="BJ62" s="60">
        <f t="shared" si="38"/>
        <v>230.98056275369652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9.2269249327792888</v>
      </c>
      <c r="BR62" s="23">
        <f>EXP(-LN(2)/2)*BR61+(1-EXP(-LN(2)/2))/(LN(2)/2)*BL62*BO62*VLOOKUP('Données projet'!$B$11,Paramètres!$A$1:$I$89,3,0)*0.475*44/12</f>
        <v>4.2559255545164619E-4</v>
      </c>
      <c r="BS62" s="24">
        <f t="shared" si="9"/>
        <v>9.2273505253347405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</v>
      </c>
      <c r="BY62" s="13">
        <f>IF('Données projet'!$A$114&gt;35,BY61+BX62-CG61,IF(A62&lt;'Données projet'!$A$114,$BV$205^A62,IF(A62='Données projet'!$A$114,'Données projet'!$B$114,BY61+BX62-CG61)))</f>
        <v>252.99999999999986</v>
      </c>
      <c r="BZ62" s="14">
        <f>BY62*VLOOKUP('Données projet'!$B$12,Paramètres!$A$1:$I$89,3,0)*VLOOKUP('Données projet'!$B$12,Paramètres!$A$1:$I$89,5,0)</f>
        <v>185.4995999999999</v>
      </c>
      <c r="CA62" s="14">
        <f t="shared" si="39"/>
        <v>46.543594449249014</v>
      </c>
      <c r="CB62" s="22">
        <f t="shared" si="10"/>
        <v>404.1418969991085</v>
      </c>
      <c r="CC62" s="60">
        <f t="shared" si="11"/>
        <v>697.47523033244181</v>
      </c>
      <c r="CD62" s="60">
        <f ca="1">AVERAGE(OFFSET($CC$3,0,0,'Données projet'!$E$12+1,1))-AVERAGE(OFFSET($H$3,0,0,'Données projet'!$E$12+1,1))</f>
        <v>216.97968518094325</v>
      </c>
      <c r="CE62" s="60">
        <f t="shared" si="40"/>
        <v>248.38190023108666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5.2564102564102599</v>
      </c>
      <c r="CT62" s="13">
        <f>IF('Données projet'!$A$140&gt;35,CT61+CS62-DB61,IF(A62&lt;'Données projet'!$A$140,$CQ$205^A62,IF(A62='Données projet'!$A$140,'Données projet'!$B$140,CT61+CS62-DB61)))</f>
        <v>207.56410256410243</v>
      </c>
      <c r="CU62" s="18">
        <f>CT62*VLOOKUP('Données projet'!$B$13,Paramètres!$A$1:$I$89,3,0)*VLOOKUP('Données projet'!$B$13,Paramètres!$A$1:$I$89,5,0)</f>
        <v>139.2339999999999</v>
      </c>
      <c r="CV62" s="14">
        <f t="shared" si="41"/>
        <v>36.12146965812709</v>
      </c>
      <c r="CW62" s="22">
        <f t="shared" si="13"/>
        <v>305.41077632123785</v>
      </c>
      <c r="CX62" s="60">
        <f t="shared" si="14"/>
        <v>598.74410965457116</v>
      </c>
      <c r="CY62" s="60">
        <f ca="1">AVERAGE(OFFSET($CX$3,0,0,'Données projet'!$E$13+1,1))-AVERAGE(OFFSET($H$3,0,0,'Données projet'!$E$13+1,1))</f>
        <v>199.36703853638392</v>
      </c>
      <c r="CZ62" s="60">
        <f t="shared" si="42"/>
        <v>145.15653612907363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8">
        <f t="shared" si="1"/>
        <v>359.25939047133363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0">
        <f t="shared" si="0"/>
        <v>755.11439815081053</v>
      </c>
      <c r="S63" s="60">
        <f ca="1">AVERAGE(OFFSET($R$3,0,0,'Données projet'!$E$9+1,1))-AVERAGE(OFFSET($H$3,0,0,'Données projet'!$E$9+1,1))</f>
        <v>314.4389771131751</v>
      </c>
      <c r="T63" s="60">
        <f t="shared" si="34"/>
        <v>176.7239677722049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0">
        <f t="shared" si="5"/>
        <v>809.49621416941091</v>
      </c>
      <c r="AN63" s="60">
        <f ca="1">AVERAGE(OFFSET($AM$3,0,0,'Données projet'!$E$10+1,1))-AVERAGE(OFFSET($H$3,0,0,'Données projet'!$E$10+1,1))</f>
        <v>361.06925636707814</v>
      </c>
      <c r="AO63" s="60">
        <f t="shared" si="36"/>
        <v>201.44775212076888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14.839560439560435</v>
      </c>
      <c r="BD63" s="13">
        <f>IF('Données projet'!$A$88&gt;35,BD62+BC63-BL62,IF(A63&lt;'Données projet'!$A$88,$BA$205^A63,IF(A63='Données projet'!$A$88,'Données projet'!$B$88,BD62+BC63-BL62)))</f>
        <v>411.19670329670333</v>
      </c>
      <c r="BE63" s="14">
        <f>BD63*VLOOKUP('Données projet'!$B$11,Paramètres!$A$1:$I$89,3,0)*VLOOKUP('Données projet'!$B$11,Paramètres!$A$1:$I$89,5,0)</f>
        <v>229.85895714285718</v>
      </c>
      <c r="BF63" s="14">
        <f t="shared" si="37"/>
        <v>56.252183679167004</v>
      </c>
      <c r="BG63" s="22">
        <f t="shared" si="7"/>
        <v>498.31023693169209</v>
      </c>
      <c r="BH63" s="60">
        <f t="shared" si="8"/>
        <v>791.64357026502535</v>
      </c>
      <c r="BI63" s="60">
        <f ca="1">AVERAGE(OFFSET($BH$3,0,0,'Données projet'!$E$11+1,1))-AVERAGE(OFFSET($H$3,0,0,'Données projet'!$E$11+1,1))</f>
        <v>253.63061102077421</v>
      </c>
      <c r="BJ63" s="60">
        <f t="shared" si="38"/>
        <v>230.98056275369652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8.9746141852695462</v>
      </c>
      <c r="BR63" s="23">
        <f>EXP(-LN(2)/2)*BR62+(1-EXP(-LN(2)/2))/(LN(2)/2)*BL63*BO63*VLOOKUP('Données projet'!$B$11,Paramètres!$A$1:$I$89,3,0)*0.475*44/12</f>
        <v>3.0093938198237077E-4</v>
      </c>
      <c r="BS63" s="24">
        <f t="shared" si="9"/>
        <v>8.9749151246515293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258</v>
      </c>
      <c r="BW63" s="13">
        <f>VLOOKUP(A63,'Données projet'!$A$113:$I$133,9,0)</f>
        <v>5</v>
      </c>
      <c r="BX63" s="13">
        <f t="array" ref="BX63">INDEX(BW:BW,MIN(IF(ISNUMBER(BW63:BW259),ROW(BW63:BW259),"")))</f>
        <v>5</v>
      </c>
      <c r="BY63" s="13">
        <f>IF('Données projet'!$A$114&gt;35,BY62+BX63-CG62,IF(A63&lt;'Données projet'!$A$114,$BV$205^A63,IF(A63='Données projet'!$A$114,'Données projet'!$B$114,BY62+BX63-CG62)))</f>
        <v>257.99999999999989</v>
      </c>
      <c r="BZ63" s="14">
        <f>BY63*VLOOKUP('Données projet'!$B$12,Paramètres!$A$1:$I$89,3,0)*VLOOKUP('Données projet'!$B$12,Paramètres!$A$1:$I$89,5,0)</f>
        <v>189.1655999999999</v>
      </c>
      <c r="CA63" s="14">
        <f t="shared" si="39"/>
        <v>47.355431631295275</v>
      </c>
      <c r="CB63" s="22">
        <f t="shared" si="10"/>
        <v>411.94079675783905</v>
      </c>
      <c r="CC63" s="60">
        <f t="shared" si="11"/>
        <v>705.27413009117231</v>
      </c>
      <c r="CD63" s="60">
        <f ca="1">AVERAGE(OFFSET($CC$3,0,0,'Données projet'!$E$12+1,1))-AVERAGE(OFFSET($H$3,0,0,'Données projet'!$E$12+1,1))</f>
        <v>216.97968518094325</v>
      </c>
      <c r="CE63" s="60">
        <f t="shared" si="40"/>
        <v>248.38190023108666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25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212.82051282051282</v>
      </c>
      <c r="CR63" s="13">
        <f>VLOOKUP(A63,'Données projet'!$A$139:$I$159,9,0)</f>
        <v>5.2564102564102599</v>
      </c>
      <c r="CS63" s="13">
        <f t="array" ref="CS63">INDEX(CR:CR,MIN(IF(ISNUMBER(CR63:CR259),ROW(CR63:CR259),"")))</f>
        <v>5.2564102564102599</v>
      </c>
      <c r="CT63" s="13">
        <f>IF('Données projet'!$A$140&gt;35,CT62+CS63-DB62,IF(A63&lt;'Données projet'!$A$140,$CQ$205^A63,IF(A63='Données projet'!$A$140,'Données projet'!$B$140,CT62+CS63-DB62)))</f>
        <v>212.82051282051268</v>
      </c>
      <c r="CU63" s="18">
        <f>CT63*VLOOKUP('Données projet'!$B$13,Paramètres!$A$1:$I$89,3,0)*VLOOKUP('Données projet'!$B$13,Paramètres!$A$1:$I$89,5,0)</f>
        <v>142.75999999999991</v>
      </c>
      <c r="CV63" s="14">
        <f t="shared" si="41"/>
        <v>36.928562548329118</v>
      </c>
      <c r="CW63" s="22">
        <f t="shared" si="13"/>
        <v>312.95757977167301</v>
      </c>
      <c r="CX63" s="60">
        <f t="shared" si="14"/>
        <v>606.29091310500633</v>
      </c>
      <c r="CY63" s="60">
        <f ca="1">AVERAGE(OFFSET($CX$3,0,0,'Données projet'!$E$13+1,1))-AVERAGE(OFFSET($H$3,0,0,'Données projet'!$E$13+1,1))</f>
        <v>199.36703853638392</v>
      </c>
      <c r="CZ63" s="60">
        <f t="shared" si="42"/>
        <v>145.15653612907363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8">
        <f t="shared" si="1"/>
        <v>360.32755232166795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0">
        <f t="shared" si="0"/>
        <v>688.19859268339724</v>
      </c>
      <c r="S64" s="60">
        <f ca="1">AVERAGE(OFFSET($R$3,0,0,'Données projet'!$E$9+1,1))-AVERAGE(OFFSET($H$3,0,0,'Données projet'!$E$9+1,1))</f>
        <v>314.4389771131751</v>
      </c>
      <c r="T64" s="60">
        <f t="shared" si="34"/>
        <v>176.7239677722049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0">
        <f t="shared" si="5"/>
        <v>734.68267195239741</v>
      </c>
      <c r="AN64" s="60">
        <f ca="1">AVERAGE(OFFSET($AM$3,0,0,'Données projet'!$E$10+1,1))-AVERAGE(OFFSET($H$3,0,0,'Données projet'!$E$10+1,1))</f>
        <v>361.06925636707814</v>
      </c>
      <c r="AO64" s="60">
        <f t="shared" si="36"/>
        <v>201.44775212076888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14.839560439560435</v>
      </c>
      <c r="BD64" s="13">
        <f>IF('Données projet'!$A$88&gt;35,BD63+BC64-BL63,IF(A64&lt;'Données projet'!$A$88,$BA$205^A64,IF(A64='Données projet'!$A$88,'Données projet'!$B$88,BD63+BC64-BL63)))</f>
        <v>426.03626373626378</v>
      </c>
      <c r="BE64" s="14">
        <f>BD64*VLOOKUP('Données projet'!$B$11,Paramètres!$A$1:$I$89,3,0)*VLOOKUP('Données projet'!$B$11,Paramètres!$A$1:$I$89,5,0)</f>
        <v>238.15427142857146</v>
      </c>
      <c r="BF64" s="14">
        <f t="shared" si="37"/>
        <v>58.042234732541061</v>
      </c>
      <c r="BG64" s="22">
        <f t="shared" si="7"/>
        <v>515.87558156393777</v>
      </c>
      <c r="BH64" s="60">
        <f t="shared" si="8"/>
        <v>809.20891489727114</v>
      </c>
      <c r="BI64" s="60">
        <f ca="1">AVERAGE(OFFSET($BH$3,0,0,'Données projet'!$E$11+1,1))-AVERAGE(OFFSET($H$3,0,0,'Données projet'!$E$11+1,1))</f>
        <v>253.63061102077421</v>
      </c>
      <c r="BJ64" s="60">
        <f t="shared" si="38"/>
        <v>230.98056275369652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8.7292028884189019</v>
      </c>
      <c r="BR64" s="23">
        <f>EXP(-LN(2)/2)*BR63+(1-EXP(-LN(2)/2))/(LN(2)/2)*BL64*BO64*VLOOKUP('Données projet'!$B$11,Paramètres!$A$1:$I$89,3,0)*0.475*44/12</f>
        <v>2.1279627772582309E-4</v>
      </c>
      <c r="BS64" s="24">
        <f t="shared" si="9"/>
        <v>8.7294156846966278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4.4000000000000004</v>
      </c>
      <c r="BY64" s="13">
        <f>IF('Données projet'!$A$114&gt;35,BY63+BX64-CG63,IF(A64&lt;'Données projet'!$A$114,$BV$205^A64,IF(A64='Données projet'!$A$114,'Données projet'!$B$114,BY63+BX64-CG63)))</f>
        <v>237.39999999999986</v>
      </c>
      <c r="BZ64" s="14">
        <f>BY64*VLOOKUP('Données projet'!$B$12,Paramètres!$A$1:$I$89,3,0)*VLOOKUP('Données projet'!$B$12,Paramètres!$A$1:$I$89,5,0)</f>
        <v>174.06167999999991</v>
      </c>
      <c r="CA64" s="14">
        <f t="shared" si="39"/>
        <v>43.998450960214953</v>
      </c>
      <c r="CB64" s="22">
        <f t="shared" si="10"/>
        <v>379.78806142237414</v>
      </c>
      <c r="CC64" s="60">
        <f t="shared" si="11"/>
        <v>673.12139475570746</v>
      </c>
      <c r="CD64" s="60">
        <f ca="1">AVERAGE(OFFSET($CC$3,0,0,'Données projet'!$E$12+1,1))-AVERAGE(OFFSET($H$3,0,0,'Données projet'!$E$12+1,1))</f>
        <v>216.97968518094325</v>
      </c>
      <c r="CE64" s="60">
        <f t="shared" si="40"/>
        <v>248.38190023108666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4.7435897435897401</v>
      </c>
      <c r="CT64" s="13">
        <f>IF('Données projet'!$A$140&gt;35,CT63+CS64-DB63,IF(A64&lt;'Données projet'!$A$140,$CQ$205^A64,IF(A64='Données projet'!$A$140,'Données projet'!$B$140,CT63+CS64-DB63)))</f>
        <v>217.56410256410243</v>
      </c>
      <c r="CU64" s="18">
        <f>CT64*VLOOKUP('Données projet'!$B$13,Paramètres!$A$1:$I$89,3,0)*VLOOKUP('Données projet'!$B$13,Paramètres!$A$1:$I$89,5,0)</f>
        <v>145.94199999999992</v>
      </c>
      <c r="CV64" s="14">
        <f t="shared" si="41"/>
        <v>37.654923728693518</v>
      </c>
      <c r="CW64" s="22">
        <f t="shared" si="13"/>
        <v>319.76464216080774</v>
      </c>
      <c r="CX64" s="60">
        <f t="shared" si="14"/>
        <v>613.09797549414111</v>
      </c>
      <c r="CY64" s="60">
        <f ca="1">AVERAGE(OFFSET($CX$3,0,0,'Données projet'!$E$13+1,1))-AVERAGE(OFFSET($H$3,0,0,'Données projet'!$E$13+1,1))</f>
        <v>199.36703853638392</v>
      </c>
      <c r="CZ64" s="60">
        <f t="shared" si="42"/>
        <v>145.15653612907363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8">
        <f t="shared" si="1"/>
        <v>361.39527488339854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0">
        <f t="shared" si="0"/>
        <v>702.06203699024263</v>
      </c>
      <c r="S65" s="60">
        <f ca="1">AVERAGE(OFFSET($R$3,0,0,'Données projet'!$E$9+1,1))-AVERAGE(OFFSET($H$3,0,0,'Données projet'!$E$9+1,1))</f>
        <v>314.4389771131751</v>
      </c>
      <c r="T65" s="60">
        <f t="shared" si="34"/>
        <v>176.7239677722049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0">
        <f t="shared" si="5"/>
        <v>750.18212158935489</v>
      </c>
      <c r="AN65" s="60">
        <f ca="1">AVERAGE(OFFSET($AM$3,0,0,'Données projet'!$E$10+1,1))-AVERAGE(OFFSET($H$3,0,0,'Données projet'!$E$10+1,1))</f>
        <v>361.06925636707814</v>
      </c>
      <c r="AO65" s="60">
        <f t="shared" si="36"/>
        <v>201.44775212076888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14.839560439560435</v>
      </c>
      <c r="BD65" s="13">
        <f>IF('Données projet'!$A$88&gt;35,BD64+BC65-BL64,IF(A65&lt;'Données projet'!$A$88,$BA$205^A65,IF(A65='Données projet'!$A$88,'Données projet'!$B$88,BD64+BC65-BL64)))</f>
        <v>440.87582417582422</v>
      </c>
      <c r="BE65" s="14">
        <f>BD65*VLOOKUP('Données projet'!$B$11,Paramètres!$A$1:$I$89,3,0)*VLOOKUP('Données projet'!$B$11,Paramètres!$A$1:$I$89,5,0)</f>
        <v>246.44958571428575</v>
      </c>
      <c r="BF65" s="14">
        <f t="shared" si="37"/>
        <v>59.825041333918982</v>
      </c>
      <c r="BG65" s="22">
        <f t="shared" si="7"/>
        <v>533.42830877562324</v>
      </c>
      <c r="BH65" s="60">
        <f t="shared" si="8"/>
        <v>826.76164210895649</v>
      </c>
      <c r="BI65" s="60">
        <f ca="1">AVERAGE(OFFSET($BH$3,0,0,'Données projet'!$E$11+1,1))-AVERAGE(OFFSET($H$3,0,0,'Données projet'!$E$11+1,1))</f>
        <v>253.63061102077421</v>
      </c>
      <c r="BJ65" s="60">
        <f t="shared" si="38"/>
        <v>230.98056275369652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8.4905023763862584</v>
      </c>
      <c r="BR65" s="23">
        <f>EXP(-LN(2)/2)*BR64+(1-EXP(-LN(2)/2))/(LN(2)/2)*BL65*BO65*VLOOKUP('Données projet'!$B$11,Paramètres!$A$1:$I$89,3,0)*0.475*44/12</f>
        <v>1.5046969099118538E-4</v>
      </c>
      <c r="BS65" s="24">
        <f t="shared" si="9"/>
        <v>8.4906528460772499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4.4000000000000004</v>
      </c>
      <c r="BY65" s="13">
        <f>IF('Données projet'!$A$114&gt;35,BY64+BX65-CG64,IF(A65&lt;'Données projet'!$A$114,$BV$205^A65,IF(A65='Données projet'!$A$114,'Données projet'!$B$114,BY64+BX65-CG64)))</f>
        <v>241.79999999999987</v>
      </c>
      <c r="BZ65" s="14">
        <f>BY65*VLOOKUP('Données projet'!$B$12,Paramètres!$A$1:$I$89,3,0)*VLOOKUP('Données projet'!$B$12,Paramètres!$A$1:$I$89,5,0)</f>
        <v>177.28775999999991</v>
      </c>
      <c r="CA65" s="14">
        <f t="shared" si="39"/>
        <v>44.718230568721658</v>
      </c>
      <c r="CB65" s="22">
        <f t="shared" si="10"/>
        <v>386.66043357385666</v>
      </c>
      <c r="CC65" s="60">
        <f t="shared" si="11"/>
        <v>679.99376690718998</v>
      </c>
      <c r="CD65" s="60">
        <f ca="1">AVERAGE(OFFSET($CC$3,0,0,'Données projet'!$E$12+1,1))-AVERAGE(OFFSET($H$3,0,0,'Données projet'!$E$12+1,1))</f>
        <v>216.97968518094325</v>
      </c>
      <c r="CE65" s="60">
        <f t="shared" si="40"/>
        <v>248.38190023108666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4.7435897435897401</v>
      </c>
      <c r="CT65" s="13">
        <f>IF('Données projet'!$A$140&gt;35,CT64+CS65-DB64,IF(A65&lt;'Données projet'!$A$140,$CQ$205^A65,IF(A65='Données projet'!$A$140,'Données projet'!$B$140,CT64+CS65-DB64)))</f>
        <v>222.30769230769218</v>
      </c>
      <c r="CU65" s="18">
        <f>CT65*VLOOKUP('Données projet'!$B$13,Paramètres!$A$1:$I$89,3,0)*VLOOKUP('Données projet'!$B$13,Paramètres!$A$1:$I$89,5,0)</f>
        <v>149.12399999999994</v>
      </c>
      <c r="CV65" s="14">
        <f t="shared" si="41"/>
        <v>38.379443667029371</v>
      </c>
      <c r="CW65" s="22">
        <f t="shared" si="13"/>
        <v>326.56849772007598</v>
      </c>
      <c r="CX65" s="60">
        <f t="shared" si="14"/>
        <v>619.9018310534093</v>
      </c>
      <c r="CY65" s="60">
        <f ca="1">AVERAGE(OFFSET($CX$3,0,0,'Données projet'!$E$13+1,1))-AVERAGE(OFFSET($H$3,0,0,'Données projet'!$E$13+1,1))</f>
        <v>199.36703853638392</v>
      </c>
      <c r="CZ65" s="60">
        <f t="shared" si="42"/>
        <v>145.15653612907363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8">
        <f t="shared" si="1"/>
        <v>362.46256605982404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0">
        <f t="shared" si="0"/>
        <v>715.91532773426115</v>
      </c>
      <c r="S66" s="60">
        <f ca="1">AVERAGE(OFFSET($R$3,0,0,'Données projet'!$E$9+1,1))-AVERAGE(OFFSET($H$3,0,0,'Données projet'!$E$9+1,1))</f>
        <v>314.4389771131751</v>
      </c>
      <c r="T66" s="60">
        <f t="shared" si="34"/>
        <v>176.7239677722049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0">
        <f t="shared" si="5"/>
        <v>765.67034215791341</v>
      </c>
      <c r="AN66" s="60">
        <f ca="1">AVERAGE(OFFSET($AM$3,0,0,'Données projet'!$E$10+1,1))-AVERAGE(OFFSET($H$3,0,0,'Données projet'!$E$10+1,1))</f>
        <v>361.06925636707814</v>
      </c>
      <c r="AO66" s="60">
        <f t="shared" si="36"/>
        <v>201.44775212076888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455.71538461538455</v>
      </c>
      <c r="BB66" s="13">
        <f>VLOOKUP(A66,'Données projet'!$A$87:$I$107,9,0)</f>
        <v>14.839560439560435</v>
      </c>
      <c r="BC66" s="13">
        <f t="array" ref="BC66">INDEX(BB:BB,MIN(IF(ISNUMBER(BB66:BB262),ROW(BB66:BB262),"")))</f>
        <v>14.839560439560435</v>
      </c>
      <c r="BD66" s="13">
        <f>IF('Données projet'!$A$88&gt;35,BD65+BC66-BL65,IF(A66&lt;'Données projet'!$A$88,$BA$205^A66,IF(A66='Données projet'!$A$88,'Données projet'!$B$88,BD65+BC66-BL65)))</f>
        <v>455.71538461538466</v>
      </c>
      <c r="BE66" s="14">
        <f>BD66*VLOOKUP('Données projet'!$B$11,Paramètres!$A$1:$I$89,3,0)*VLOOKUP('Données projet'!$B$11,Paramètres!$A$1:$I$89,5,0)</f>
        <v>254.74490000000003</v>
      </c>
      <c r="BF66" s="14">
        <f t="shared" si="37"/>
        <v>61.600875281297732</v>
      </c>
      <c r="BG66" s="22">
        <f t="shared" si="7"/>
        <v>550.96889194826019</v>
      </c>
      <c r="BH66" s="60">
        <f t="shared" si="8"/>
        <v>844.30222528159356</v>
      </c>
      <c r="BI66" s="60">
        <f ca="1">AVERAGE(OFFSET($BH$3,0,0,'Données projet'!$E$11+1,1))-AVERAGE(OFFSET($H$3,0,0,'Données projet'!$E$11+1,1))</f>
        <v>253.63061102077421</v>
      </c>
      <c r="BJ66" s="60">
        <f t="shared" si="38"/>
        <v>230.98056275369652</v>
      </c>
      <c r="BK66" s="16">
        <f>IF(ISNA(VLOOKUP(A66,'Données projet'!$A$87:$I$107,3,0)),0,VLOOKUP(A66,'Données projet'!$A$87:$I$107,3,0))</f>
        <v>7</v>
      </c>
      <c r="BL66" s="16">
        <f>IF(ISNA(VLOOKUP(A66,'Données projet'!$A$87:$I$107,4,0)),0,VLOOKUP(A66,'Données projet'!$A$87:$I$107,4,0))</f>
        <v>79.723076923076917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8.2583291424078613</v>
      </c>
      <c r="BR66" s="23">
        <f>EXP(-LN(2)/2)*BR65+(1-EXP(-LN(2)/2))/(LN(2)/2)*BL66*BO66*VLOOKUP('Données projet'!$B$11,Paramètres!$A$1:$I$89,3,0)*0.475*44/12</f>
        <v>1.0639813886291155E-4</v>
      </c>
      <c r="BS66" s="24">
        <f t="shared" si="9"/>
        <v>8.2584355405467242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4.4000000000000004</v>
      </c>
      <c r="BY66" s="13">
        <f>IF('Données projet'!$A$114&gt;35,BY65+BX66-CG65,IF(A66&lt;'Données projet'!$A$114,$BV$205^A66,IF(A66='Données projet'!$A$114,'Données projet'!$B$114,BY65+BX66-CG65)))</f>
        <v>246.19999999999987</v>
      </c>
      <c r="BZ66" s="14">
        <f>BY66*VLOOKUP('Données projet'!$B$12,Paramètres!$A$1:$I$89,3,0)*VLOOKUP('Données projet'!$B$12,Paramètres!$A$1:$I$89,5,0)</f>
        <v>180.5138399999999</v>
      </c>
      <c r="CA66" s="14">
        <f t="shared" si="39"/>
        <v>45.43648712647358</v>
      </c>
      <c r="CB66" s="22">
        <f t="shared" si="10"/>
        <v>393.53015307860801</v>
      </c>
      <c r="CC66" s="60">
        <f t="shared" si="11"/>
        <v>686.86348641194127</v>
      </c>
      <c r="CD66" s="60">
        <f ca="1">AVERAGE(OFFSET($CC$3,0,0,'Données projet'!$E$12+1,1))-AVERAGE(OFFSET($H$3,0,0,'Données projet'!$E$12+1,1))</f>
        <v>216.97968518094325</v>
      </c>
      <c r="CE66" s="60">
        <f t="shared" si="40"/>
        <v>248.38190023108666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4.7435897435897401</v>
      </c>
      <c r="CT66" s="13">
        <f>IF('Données projet'!$A$140&gt;35,CT65+CS66-DB65,IF(A66&lt;'Données projet'!$A$140,$CQ$205^A66,IF(A66='Données projet'!$A$140,'Données projet'!$B$140,CT65+CS66-DB65)))</f>
        <v>227.05128205128193</v>
      </c>
      <c r="CU66" s="18">
        <f>CT66*VLOOKUP('Données projet'!$B$13,Paramètres!$A$1:$I$89,3,0)*VLOOKUP('Données projet'!$B$13,Paramètres!$A$1:$I$89,5,0)</f>
        <v>152.3059999999999</v>
      </c>
      <c r="CV66" s="14">
        <f t="shared" si="41"/>
        <v>39.102166177111755</v>
      </c>
      <c r="CW66" s="22">
        <f t="shared" si="13"/>
        <v>333.36922275846945</v>
      </c>
      <c r="CX66" s="60">
        <f t="shared" si="14"/>
        <v>626.70255609180276</v>
      </c>
      <c r="CY66" s="60">
        <f ca="1">AVERAGE(OFFSET($CX$3,0,0,'Données projet'!$E$13+1,1))-AVERAGE(OFFSET($H$3,0,0,'Données projet'!$E$13+1,1))</f>
        <v>199.36703853638392</v>
      </c>
      <c r="CZ66" s="60">
        <f t="shared" si="42"/>
        <v>145.15653612907363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8">
        <f t="shared" si="1"/>
        <v>363.52943348895451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0">
        <f t="shared" ref="R67:R130" si="55">Q67+(I67+J67)*44/12</f>
        <v>729.75884463141938</v>
      </c>
      <c r="S67" s="60">
        <f ca="1">AVERAGE(OFFSET($R$3,0,0,'Données projet'!$E$9+1,1))-AVERAGE(OFFSET($H$3,0,0,'Données projet'!$E$9+1,1))</f>
        <v>314.4389771131751</v>
      </c>
      <c r="T67" s="60">
        <f t="shared" si="34"/>
        <v>176.7239677722049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0">
        <f t="shared" si="5"/>
        <v>781.14775359505757</v>
      </c>
      <c r="AN67" s="60">
        <f ca="1">AVERAGE(OFFSET($AM$3,0,0,'Données projet'!$E$10+1,1))-AVERAGE(OFFSET($H$3,0,0,'Données projet'!$E$10+1,1))</f>
        <v>361.06925636707814</v>
      </c>
      <c r="AO67" s="60">
        <f t="shared" si="36"/>
        <v>201.44775212076888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13.296703296703299</v>
      </c>
      <c r="BD67" s="13">
        <f>IF('Données projet'!$A$88&gt;35,BD66+BC67-BL66,IF(A67&lt;'Données projet'!$A$88,$BA$205^A67,IF(A67='Données projet'!$A$88,'Données projet'!$B$88,BD66+BC67-BL66)))</f>
        <v>389.28901098901105</v>
      </c>
      <c r="BE67" s="14">
        <f>BD67*VLOOKUP('Données projet'!$B$11,Paramètres!$A$1:$I$89,3,0)*VLOOKUP('Données projet'!$B$11,Paramètres!$A$1:$I$89,5,0)</f>
        <v>217.61255714285718</v>
      </c>
      <c r="BF67" s="14">
        <f t="shared" si="37"/>
        <v>53.595657750447323</v>
      </c>
      <c r="BG67" s="22">
        <f t="shared" si="7"/>
        <v>472.35430760583859</v>
      </c>
      <c r="BH67" s="60">
        <f t="shared" si="8"/>
        <v>765.68764093917184</v>
      </c>
      <c r="BI67" s="60">
        <f ca="1">AVERAGE(OFFSET($BH$3,0,0,'Données projet'!$E$11+1,1))-AVERAGE(OFFSET($H$3,0,0,'Données projet'!$E$11+1,1))</f>
        <v>253.63061102077421</v>
      </c>
      <c r="BJ67" s="60">
        <f t="shared" si="38"/>
        <v>230.98056275369652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8.0325046977220627</v>
      </c>
      <c r="BR67" s="23">
        <f>EXP(-LN(2)/2)*BR66+(1-EXP(-LN(2)/2))/(LN(2)/2)*BL67*BO67*VLOOKUP('Données projet'!$B$11,Paramètres!$A$1:$I$89,3,0)*0.475*44/12</f>
        <v>7.5234845495592692E-5</v>
      </c>
      <c r="BS67" s="24">
        <f t="shared" si="9"/>
        <v>8.0325799325675575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4.4000000000000004</v>
      </c>
      <c r="BY67" s="13">
        <f>IF('Données projet'!$A$114&gt;35,BY66+BX67-CG66,IF(A67&lt;'Données projet'!$A$114,$BV$205^A67,IF(A67='Données projet'!$A$114,'Données projet'!$B$114,BY66+BX67-CG66)))</f>
        <v>250.59999999999988</v>
      </c>
      <c r="BZ67" s="14">
        <f>BY67*VLOOKUP('Données projet'!$B$12,Paramètres!$A$1:$I$89,3,0)*VLOOKUP('Données projet'!$B$12,Paramètres!$A$1:$I$89,5,0)</f>
        <v>183.7399199999999</v>
      </c>
      <c r="CA67" s="14">
        <f t="shared" si="39"/>
        <v>46.153250992914103</v>
      </c>
      <c r="CB67" s="22">
        <f t="shared" si="10"/>
        <v>400.39727281265851</v>
      </c>
      <c r="CC67" s="60">
        <f t="shared" si="11"/>
        <v>693.73060614599183</v>
      </c>
      <c r="CD67" s="60">
        <f ca="1">AVERAGE(OFFSET($CC$3,0,0,'Données projet'!$E$12+1,1))-AVERAGE(OFFSET($H$3,0,0,'Données projet'!$E$12+1,1))</f>
        <v>216.97968518094325</v>
      </c>
      <c r="CE67" s="60">
        <f t="shared" si="40"/>
        <v>248.38190023108666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4.7435897435897401</v>
      </c>
      <c r="CT67" s="13">
        <f>IF('Données projet'!$A$140&gt;35,CT66+CS67-DB66,IF(A67&lt;'Données projet'!$A$140,$CQ$205^A67,IF(A67='Données projet'!$A$140,'Données projet'!$B$140,CT66+CS67-DB66)))</f>
        <v>231.79487179487168</v>
      </c>
      <c r="CU67" s="18">
        <f>CT67*VLOOKUP('Données projet'!$B$13,Paramètres!$A$1:$I$89,3,0)*VLOOKUP('Données projet'!$B$13,Paramètres!$A$1:$I$89,5,0)</f>
        <v>155.48799999999991</v>
      </c>
      <c r="CV67" s="14">
        <f t="shared" si="41"/>
        <v>39.823133137370327</v>
      </c>
      <c r="CW67" s="22">
        <f t="shared" si="13"/>
        <v>340.16689021425316</v>
      </c>
      <c r="CX67" s="60">
        <f t="shared" si="14"/>
        <v>633.50022354758653</v>
      </c>
      <c r="CY67" s="60">
        <f ca="1">AVERAGE(OFFSET($CX$3,0,0,'Données projet'!$E$13+1,1))-AVERAGE(OFFSET($H$3,0,0,'Données projet'!$E$13+1,1))</f>
        <v>199.36703853638392</v>
      </c>
      <c r="CZ67" s="60">
        <f t="shared" si="42"/>
        <v>145.15653612907363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8">
        <f t="shared" ref="H68:H131" si="56">(B68+E68+F68)*44/12+(C68+D68)*0.475*44/12</f>
        <v>364.59588455641932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0">
        <f t="shared" si="55"/>
        <v>743.59294134580057</v>
      </c>
      <c r="S68" s="60">
        <f ca="1">AVERAGE(OFFSET($R$3,0,0,'Données projet'!$E$9+1,1))-AVERAGE(OFFSET($H$3,0,0,'Données projet'!$E$9+1,1))</f>
        <v>314.4389771131751</v>
      </c>
      <c r="T68" s="60">
        <f t="shared" si="34"/>
        <v>176.7239677722049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0">
        <f t="shared" ref="AM68:AM131" si="59">AL68+(AD68+AE68)*44/12</f>
        <v>796.61474702637031</v>
      </c>
      <c r="AN68" s="60">
        <f ca="1">AVERAGE(OFFSET($AM$3,0,0,'Données projet'!$E$10+1,1))-AVERAGE(OFFSET($H$3,0,0,'Données projet'!$E$10+1,1))</f>
        <v>361.06925636707814</v>
      </c>
      <c r="AO68" s="60">
        <f t="shared" si="36"/>
        <v>201.44775212076888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13.296703296703299</v>
      </c>
      <c r="BD68" s="13">
        <f>IF('Données projet'!$A$88&gt;35,BD67+BC68-BL67,IF(A68&lt;'Données projet'!$A$88,$BA$205^A68,IF(A68='Données projet'!$A$88,'Données projet'!$B$88,BD67+BC68-BL67)))</f>
        <v>402.58571428571435</v>
      </c>
      <c r="BE68" s="14">
        <f>BD68*VLOOKUP('Données projet'!$B$11,Paramètres!$A$1:$I$89,3,0)*VLOOKUP('Données projet'!$B$11,Paramètres!$A$1:$I$89,5,0)</f>
        <v>225.04541428571432</v>
      </c>
      <c r="BF68" s="14">
        <f t="shared" si="37"/>
        <v>55.210030257376133</v>
      </c>
      <c r="BG68" s="22">
        <f t="shared" ref="BG68:BG131" si="61">(BE68+BF68)*0.475*44/12</f>
        <v>488.11156591254917</v>
      </c>
      <c r="BH68" s="60">
        <f t="shared" ref="BH68:BH131" si="62">BG68+(AY68+AZ68)*44/12</f>
        <v>781.44489924588243</v>
      </c>
      <c r="BI68" s="60">
        <f ca="1">AVERAGE(OFFSET($BH$3,0,0,'Données projet'!$E$11+1,1))-AVERAGE(OFFSET($H$3,0,0,'Données projet'!$E$11+1,1))</f>
        <v>253.63061102077421</v>
      </c>
      <c r="BJ68" s="60">
        <f t="shared" si="38"/>
        <v>230.98056275369652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7.8128554343517891</v>
      </c>
      <c r="BR68" s="23">
        <f>EXP(-LN(2)/2)*BR67+(1-EXP(-LN(2)/2))/(LN(2)/2)*BL68*BO68*VLOOKUP('Données projet'!$B$11,Paramètres!$A$1:$I$89,3,0)*0.475*44/12</f>
        <v>5.3199069431455773E-5</v>
      </c>
      <c r="BS68" s="24">
        <f t="shared" ref="BS68:BS131" si="63">SUM(BP68:BR68)</f>
        <v>7.8129086334212206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255</v>
      </c>
      <c r="BW68" s="13">
        <f>VLOOKUP(A68,'Données projet'!$A$113:$I$133,9,0)</f>
        <v>4.4000000000000004</v>
      </c>
      <c r="BX68" s="13">
        <f t="array" ref="BX68">INDEX(BW:BW,MIN(IF(ISNUMBER(BW68:BW264),ROW(BW68:BW264),"")))</f>
        <v>4.4000000000000004</v>
      </c>
      <c r="BY68" s="13">
        <f>IF('Données projet'!$A$114&gt;35,BY67+BX68-CG67,IF(A68&lt;'Données projet'!$A$114,$BV$205^A68,IF(A68='Données projet'!$A$114,'Données projet'!$B$114,BY67+BX68-CG67)))</f>
        <v>254.99999999999989</v>
      </c>
      <c r="BZ68" s="14">
        <f>BY68*VLOOKUP('Données projet'!$B$12,Paramètres!$A$1:$I$89,3,0)*VLOOKUP('Données projet'!$B$12,Paramètres!$A$1:$I$89,5,0)</f>
        <v>186.96599999999992</v>
      </c>
      <c r="CA68" s="14">
        <f t="shared" si="39"/>
        <v>46.868551400324606</v>
      </c>
      <c r="CB68" s="22">
        <f t="shared" ref="CB68:CB131" si="64">(BZ68+CA68)*0.475*44/12</f>
        <v>407.26184368889852</v>
      </c>
      <c r="CC68" s="60">
        <f t="shared" ref="CC68:CC131" si="65">CB68+(BT68+BU68)*44/12</f>
        <v>700.59517702223184</v>
      </c>
      <c r="CD68" s="60">
        <f ca="1">AVERAGE(OFFSET($CC$3,0,0,'Données projet'!$E$12+1,1))-AVERAGE(OFFSET($H$3,0,0,'Données projet'!$E$12+1,1))</f>
        <v>216.97968518094325</v>
      </c>
      <c r="CE68" s="60">
        <f t="shared" si="40"/>
        <v>248.38190023108666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236.53846153846152</v>
      </c>
      <c r="CR68" s="13">
        <f>VLOOKUP(A68,'Données projet'!$A$139:$I$159,9,0)</f>
        <v>4.7435897435897401</v>
      </c>
      <c r="CS68" s="13">
        <f t="array" ref="CS68">INDEX(CR:CR,MIN(IF(ISNUMBER(CR68:CR264),ROW(CR68:CR264),"")))</f>
        <v>4.7435897435897401</v>
      </c>
      <c r="CT68" s="13">
        <f>IF('Données projet'!$A$140&gt;35,CT67+CS68-DB67,IF(A68&lt;'Données projet'!$A$140,$CQ$205^A68,IF(A68='Données projet'!$A$140,'Données projet'!$B$140,CT67+CS68-DB67)))</f>
        <v>236.53846153846143</v>
      </c>
      <c r="CU68" s="18">
        <f>CT68*VLOOKUP('Données projet'!$B$13,Paramètres!$A$1:$I$89,3,0)*VLOOKUP('Données projet'!$B$13,Paramètres!$A$1:$I$89,5,0)</f>
        <v>158.66999999999993</v>
      </c>
      <c r="CV68" s="14">
        <f t="shared" si="41"/>
        <v>40.54238461420524</v>
      </c>
      <c r="CW68" s="22">
        <f t="shared" ref="CW68:CW131" si="67">(CU68+CV68)*0.475*44/12</f>
        <v>346.96156986974069</v>
      </c>
      <c r="CX68" s="60">
        <f t="shared" ref="CX68:CX131" si="68">CW68+(CO68+CP68)*44/12</f>
        <v>640.294903203074</v>
      </c>
      <c r="CY68" s="60">
        <f ca="1">AVERAGE(OFFSET($CX$3,0,0,'Données projet'!$E$13+1,1))-AVERAGE(OFFSET($H$3,0,0,'Données projet'!$E$13+1,1))</f>
        <v>199.36703853638392</v>
      </c>
      <c r="CZ68" s="60">
        <f t="shared" si="42"/>
        <v>145.15653612907363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27.564102564102562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8">
        <f t="shared" si="56"/>
        <v>365.66192640755855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0">
        <f t="shared" si="55"/>
        <v>756.65012524226813</v>
      </c>
      <c r="S69" s="60">
        <f ca="1">AVERAGE(OFFSET($R$3,0,0,'Données projet'!$E$9+1,1))-AVERAGE(OFFSET($H$3,0,0,'Données projet'!$E$9+1,1))</f>
        <v>314.4389771131751</v>
      </c>
      <c r="T69" s="60">
        <f t="shared" ref="T69:T132" si="88">$T$3</f>
        <v>176.7239677722049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0">
        <f t="shared" si="59"/>
        <v>811.21322649031208</v>
      </c>
      <c r="AN69" s="60">
        <f ca="1">AVERAGE(OFFSET($AM$3,0,0,'Données projet'!$E$10+1,1))-AVERAGE(OFFSET($H$3,0,0,'Données projet'!$E$10+1,1))</f>
        <v>361.06925636707814</v>
      </c>
      <c r="AO69" s="60">
        <f t="shared" ref="AO69:AO132" si="90">$AO$3</f>
        <v>201.44775212076888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13.296703296703299</v>
      </c>
      <c r="BD69" s="13">
        <f>IF('Données projet'!$A$88&gt;35,BD68+BC69-BL68,IF(A69&lt;'Données projet'!$A$88,$BA$205^A69,IF(A69='Données projet'!$A$88,'Données projet'!$B$88,BD68+BC69-BL68)))</f>
        <v>415.88241758241765</v>
      </c>
      <c r="BE69" s="14">
        <f>BD69*VLOOKUP('Données projet'!$B$11,Paramètres!$A$1:$I$89,3,0)*VLOOKUP('Données projet'!$B$11,Paramètres!$A$1:$I$89,5,0)</f>
        <v>232.47827142857147</v>
      </c>
      <c r="BF69" s="14">
        <f t="shared" ref="BF69:BF132" si="91">EXP(-1.0587+0.8836*LN(BE69)+0.284)</f>
        <v>56.818207052289068</v>
      </c>
      <c r="BG69" s="22">
        <f t="shared" si="61"/>
        <v>503.85803335416534</v>
      </c>
      <c r="BH69" s="60">
        <f t="shared" si="62"/>
        <v>797.19136668749866</v>
      </c>
      <c r="BI69" s="60">
        <f ca="1">AVERAGE(OFFSET($BH$3,0,0,'Données projet'!$E$11+1,1))-AVERAGE(OFFSET($H$3,0,0,'Données projet'!$E$11+1,1))</f>
        <v>253.63061102077421</v>
      </c>
      <c r="BJ69" s="60">
        <f t="shared" ref="BJ69:BJ132" si="92">$BJ$3</f>
        <v>230.98056275369652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7.5992124916392285</v>
      </c>
      <c r="BR69" s="23">
        <f>EXP(-LN(2)/2)*BR68+(1-EXP(-LN(2)/2))/(LN(2)/2)*BL69*BO69*VLOOKUP('Données projet'!$B$11,Paramètres!$A$1:$I$89,3,0)*0.475*44/12</f>
        <v>3.7617422747796346E-5</v>
      </c>
      <c r="BS69" s="24">
        <f t="shared" si="63"/>
        <v>7.599250109061976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</v>
      </c>
      <c r="BY69" s="13">
        <f>IF('Données projet'!$A$114&gt;35,BY68+BX69-CG68,IF(A69&lt;'Données projet'!$A$114,$BV$205^A69,IF(A69='Données projet'!$A$114,'Données projet'!$B$114,BY68+BX69-CG68)))</f>
        <v>258.7999999999999</v>
      </c>
      <c r="BZ69" s="14">
        <f>BY69*VLOOKUP('Données projet'!$B$12,Paramètres!$A$1:$I$89,3,0)*VLOOKUP('Données projet'!$B$12,Paramètres!$A$1:$I$89,5,0)</f>
        <v>189.75215999999992</v>
      </c>
      <c r="CA69" s="14">
        <f t="shared" ref="CA69:CA132" si="93">EXP(-1.0587+0.8836*LN(BZ69)+0.284)</f>
        <v>47.48515478428709</v>
      </c>
      <c r="CB69" s="22">
        <f t="shared" si="64"/>
        <v>413.18832324929986</v>
      </c>
      <c r="CC69" s="60">
        <f t="shared" si="65"/>
        <v>706.52165658263311</v>
      </c>
      <c r="CD69" s="60">
        <f ca="1">AVERAGE(OFFSET($CC$3,0,0,'Données projet'!$E$12+1,1))-AVERAGE(OFFSET($H$3,0,0,'Données projet'!$E$12+1,1))</f>
        <v>216.97968518094325</v>
      </c>
      <c r="CE69" s="60">
        <f t="shared" ref="CE69:CE132" si="94">$CE$3</f>
        <v>248.38190023108666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4.6153846153846185</v>
      </c>
      <c r="CT69" s="13">
        <f>IF('Données projet'!$A$140&gt;35,CT68+CS69-DB68,IF(A69&lt;'Données projet'!$A$140,$CQ$205^A69,IF(A69='Données projet'!$A$140,'Données projet'!$B$140,CT68+CS69-DB68)))</f>
        <v>213.58974358974348</v>
      </c>
      <c r="CU69" s="18">
        <f>CT69*VLOOKUP('Données projet'!$B$13,Paramètres!$A$1:$I$89,3,0)*VLOOKUP('Données projet'!$B$13,Paramètres!$A$1:$I$89,5,0)</f>
        <v>143.27599999999993</v>
      </c>
      <c r="CV69" s="14">
        <f t="shared" ref="CV69:CV132" si="95">EXP(-1.0587+0.8836*LN(CU69)+0.284)</f>
        <v>37.046477812084682</v>
      </c>
      <c r="CW69" s="22">
        <f t="shared" si="67"/>
        <v>314.06164885604733</v>
      </c>
      <c r="CX69" s="60">
        <f t="shared" si="68"/>
        <v>607.3949821893807</v>
      </c>
      <c r="CY69" s="60">
        <f ca="1">AVERAGE(OFFSET($CX$3,0,0,'Données projet'!$E$13+1,1))-AVERAGE(OFFSET($H$3,0,0,'Données projet'!$E$13+1,1))</f>
        <v>199.36703853638392</v>
      </c>
      <c r="CZ69" s="60">
        <f t="shared" ref="CZ69:CZ132" si="96">$CZ$3</f>
        <v>145.15653612907363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8">
        <f t="shared" si="56"/>
        <v>366.72756595876103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0">
        <f t="shared" si="55"/>
        <v>769.69946190259475</v>
      </c>
      <c r="S70" s="60">
        <f ca="1">AVERAGE(OFFSET($R$3,0,0,'Données projet'!$E$9+1,1))-AVERAGE(OFFSET($H$3,0,0,'Données projet'!$E$9+1,1))</f>
        <v>314.4389771131751</v>
      </c>
      <c r="T70" s="60">
        <f t="shared" si="88"/>
        <v>176.7239677722049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0">
        <f t="shared" si="59"/>
        <v>825.80302750779379</v>
      </c>
      <c r="AN70" s="60">
        <f ca="1">AVERAGE(OFFSET($AM$3,0,0,'Données projet'!$E$10+1,1))-AVERAGE(OFFSET($H$3,0,0,'Données projet'!$E$10+1,1))</f>
        <v>361.06925636707814</v>
      </c>
      <c r="AO70" s="60">
        <f t="shared" si="90"/>
        <v>201.44775212076888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13.296703296703299</v>
      </c>
      <c r="BD70" s="13">
        <f>IF('Données projet'!$A$88&gt;35,BD69+BC70-BL69,IF(A70&lt;'Données projet'!$A$88,$BA$205^A70,IF(A70='Données projet'!$A$88,'Données projet'!$B$88,BD69+BC70-BL69)))</f>
        <v>429.17912087912094</v>
      </c>
      <c r="BE70" s="14">
        <f>BD70*VLOOKUP('Données projet'!$B$11,Paramètres!$A$1:$I$89,3,0)*VLOOKUP('Données projet'!$B$11,Paramètres!$A$1:$I$89,5,0)</f>
        <v>239.91112857142861</v>
      </c>
      <c r="BF70" s="14">
        <f t="shared" si="91"/>
        <v>58.420408949287598</v>
      </c>
      <c r="BG70" s="22">
        <f t="shared" si="61"/>
        <v>519.59409451524732</v>
      </c>
      <c r="BH70" s="60">
        <f t="shared" si="62"/>
        <v>812.92742784858069</v>
      </c>
      <c r="BI70" s="60">
        <f ca="1">AVERAGE(OFFSET($BH$3,0,0,'Données projet'!$E$11+1,1))-AVERAGE(OFFSET($H$3,0,0,'Données projet'!$E$11+1,1))</f>
        <v>253.63061102077421</v>
      </c>
      <c r="BJ70" s="60">
        <f t="shared" si="92"/>
        <v>230.98056275369652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7.3914116264301368</v>
      </c>
      <c r="BR70" s="23">
        <f>EXP(-LN(2)/2)*BR69+(1-EXP(-LN(2)/2))/(LN(2)/2)*BL70*BO70*VLOOKUP('Données projet'!$B$11,Paramètres!$A$1:$I$89,3,0)*0.475*44/12</f>
        <v>2.6599534715727887E-5</v>
      </c>
      <c r="BS70" s="24">
        <f t="shared" si="63"/>
        <v>7.3914382259648521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</v>
      </c>
      <c r="BY70" s="13">
        <f>IF('Données projet'!$A$114&gt;35,BY69+BX70-CG69,IF(A70&lt;'Données projet'!$A$114,$BV$205^A70,IF(A70='Données projet'!$A$114,'Données projet'!$B$114,BY69+BX70-CG69)))</f>
        <v>262.59999999999991</v>
      </c>
      <c r="BZ70" s="14">
        <f>BY70*VLOOKUP('Données projet'!$B$12,Paramètres!$A$1:$I$89,3,0)*VLOOKUP('Données projet'!$B$12,Paramètres!$A$1:$I$89,5,0)</f>
        <v>192.53831999999994</v>
      </c>
      <c r="CA70" s="14">
        <f t="shared" si="93"/>
        <v>48.100705179740942</v>
      </c>
      <c r="CB70" s="22">
        <f t="shared" si="64"/>
        <v>419.11296885471535</v>
      </c>
      <c r="CC70" s="60">
        <f t="shared" si="65"/>
        <v>712.44630218804866</v>
      </c>
      <c r="CD70" s="60">
        <f ca="1">AVERAGE(OFFSET($CC$3,0,0,'Données projet'!$E$12+1,1))-AVERAGE(OFFSET($H$3,0,0,'Données projet'!$E$12+1,1))</f>
        <v>216.97968518094325</v>
      </c>
      <c r="CE70" s="60">
        <f t="shared" si="94"/>
        <v>248.38190023108666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4.6153846153846185</v>
      </c>
      <c r="CT70" s="13">
        <f>IF('Données projet'!$A$140&gt;35,CT69+CS70-DB69,IF(A70&lt;'Données projet'!$A$140,$CQ$205^A70,IF(A70='Données projet'!$A$140,'Données projet'!$B$140,CT69+CS70-DB69)))</f>
        <v>218.20512820512809</v>
      </c>
      <c r="CU70" s="18">
        <f>CT70*VLOOKUP('Données projet'!$B$13,Paramètres!$A$1:$I$89,3,0)*VLOOKUP('Données projet'!$B$13,Paramètres!$A$1:$I$89,5,0)</f>
        <v>146.37199999999993</v>
      </c>
      <c r="CV70" s="14">
        <f t="shared" si="95"/>
        <v>37.752938435291682</v>
      </c>
      <c r="CW70" s="22">
        <f t="shared" si="67"/>
        <v>320.68426777479954</v>
      </c>
      <c r="CX70" s="60">
        <f t="shared" si="68"/>
        <v>614.01760110813279</v>
      </c>
      <c r="CY70" s="60">
        <f ca="1">AVERAGE(OFFSET($CX$3,0,0,'Données projet'!$E$13+1,1))-AVERAGE(OFFSET($H$3,0,0,'Données projet'!$E$13+1,1))</f>
        <v>199.36703853638392</v>
      </c>
      <c r="CZ70" s="60">
        <f t="shared" si="96"/>
        <v>145.15653612907363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8">
        <f t="shared" si="56"/>
        <v>367.7928099081056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0">
        <f t="shared" si="55"/>
        <v>782.74119655001107</v>
      </c>
      <c r="S71" s="60">
        <f ca="1">AVERAGE(OFFSET($R$3,0,0,'Données projet'!$E$9+1,1))-AVERAGE(OFFSET($H$3,0,0,'Données projet'!$E$9+1,1))</f>
        <v>314.4389771131751</v>
      </c>
      <c r="T71" s="60">
        <f t="shared" si="88"/>
        <v>176.7239677722049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0">
        <f t="shared" si="59"/>
        <v>840.38442127706139</v>
      </c>
      <c r="AN71" s="60">
        <f ca="1">AVERAGE(OFFSET($AM$3,0,0,'Données projet'!$E$10+1,1))-AVERAGE(OFFSET($H$3,0,0,'Données projet'!$E$10+1,1))</f>
        <v>361.06925636707814</v>
      </c>
      <c r="AO71" s="60">
        <f t="shared" si="90"/>
        <v>201.44775212076888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13.296703296703299</v>
      </c>
      <c r="BD71" s="13">
        <f>IF('Données projet'!$A$88&gt;35,BD70+BC71-BL70,IF(A71&lt;'Données projet'!$A$88,$BA$205^A71,IF(A71='Données projet'!$A$88,'Données projet'!$B$88,BD70+BC71-BL70)))</f>
        <v>442.47582417582424</v>
      </c>
      <c r="BE71" s="14">
        <f>BD71*VLOOKUP('Données projet'!$B$11,Paramètres!$A$1:$I$89,3,0)*VLOOKUP('Données projet'!$B$11,Paramètres!$A$1:$I$89,5,0)</f>
        <v>247.34398571428574</v>
      </c>
      <c r="BF71" s="14">
        <f t="shared" si="91"/>
        <v>60.016842302819605</v>
      </c>
      <c r="BG71" s="22">
        <f t="shared" si="61"/>
        <v>535.32010879645838</v>
      </c>
      <c r="BH71" s="60">
        <f t="shared" si="62"/>
        <v>828.65344212979176</v>
      </c>
      <c r="BI71" s="60">
        <f ca="1">AVERAGE(OFFSET($BH$3,0,0,'Données projet'!$E$11+1,1))-AVERAGE(OFFSET($H$3,0,0,'Données projet'!$E$11+1,1))</f>
        <v>253.63061102077421</v>
      </c>
      <c r="BJ71" s="60">
        <f t="shared" si="92"/>
        <v>230.98056275369652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7.189293086807961</v>
      </c>
      <c r="BR71" s="23">
        <f>EXP(-LN(2)/2)*BR70+(1-EXP(-LN(2)/2))/(LN(2)/2)*BL71*BO71*VLOOKUP('Données projet'!$B$11,Paramètres!$A$1:$I$89,3,0)*0.475*44/12</f>
        <v>1.8808711373898173E-5</v>
      </c>
      <c r="BS71" s="24">
        <f t="shared" si="63"/>
        <v>7.1893118955193351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</v>
      </c>
      <c r="BY71" s="13">
        <f>IF('Données projet'!$A$114&gt;35,BY70+BX71-CG70,IF(A71&lt;'Données projet'!$A$114,$BV$205^A71,IF(A71='Données projet'!$A$114,'Données projet'!$B$114,BY70+BX71-CG70)))</f>
        <v>266.39999999999992</v>
      </c>
      <c r="BZ71" s="14">
        <f>BY71*VLOOKUP('Données projet'!$B$12,Paramètres!$A$1:$I$89,3,0)*VLOOKUP('Données projet'!$B$12,Paramètres!$A$1:$I$89,5,0)</f>
        <v>195.32447999999994</v>
      </c>
      <c r="CA71" s="14">
        <f t="shared" si="93"/>
        <v>48.715219584659224</v>
      </c>
      <c r="CB71" s="22">
        <f t="shared" si="64"/>
        <v>425.03581010994799</v>
      </c>
      <c r="CC71" s="60">
        <f t="shared" si="65"/>
        <v>718.36914344328125</v>
      </c>
      <c r="CD71" s="60">
        <f ca="1">AVERAGE(OFFSET($CC$3,0,0,'Données projet'!$E$12+1,1))-AVERAGE(OFFSET($H$3,0,0,'Données projet'!$E$12+1,1))</f>
        <v>216.97968518094325</v>
      </c>
      <c r="CE71" s="60">
        <f t="shared" si="94"/>
        <v>248.38190023108666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4.6153846153846185</v>
      </c>
      <c r="CT71" s="13">
        <f>IF('Données projet'!$A$140&gt;35,CT70+CS71-DB70,IF(A71&lt;'Données projet'!$A$140,$CQ$205^A71,IF(A71='Données projet'!$A$140,'Données projet'!$B$140,CT70+CS71-DB70)))</f>
        <v>222.8205128205127</v>
      </c>
      <c r="CU71" s="18">
        <f>CT71*VLOOKUP('Données projet'!$B$13,Paramètres!$A$1:$I$89,3,0)*VLOOKUP('Données projet'!$B$13,Paramètres!$A$1:$I$89,5,0)</f>
        <v>149.46799999999993</v>
      </c>
      <c r="CV71" s="14">
        <f t="shared" si="95"/>
        <v>38.457661723375857</v>
      </c>
      <c r="CW71" s="22">
        <f t="shared" si="67"/>
        <v>327.30386083487946</v>
      </c>
      <c r="CX71" s="60">
        <f t="shared" si="68"/>
        <v>620.63719416821277</v>
      </c>
      <c r="CY71" s="60">
        <f ca="1">AVERAGE(OFFSET($CX$3,0,0,'Données projet'!$E$13+1,1))-AVERAGE(OFFSET($H$3,0,0,'Données projet'!$E$13+1,1))</f>
        <v>199.36703853638392</v>
      </c>
      <c r="CZ71" s="60">
        <f t="shared" si="96"/>
        <v>145.15653612907363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8">
        <f t="shared" si="56"/>
        <v>368.85766474535927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0">
        <f t="shared" si="55"/>
        <v>795.77556027438573</v>
      </c>
      <c r="S72" s="60">
        <f ca="1">AVERAGE(OFFSET($R$3,0,0,'Données projet'!$E$9+1,1))-AVERAGE(OFFSET($H$3,0,0,'Données projet'!$E$9+1,1))</f>
        <v>314.4389771131751</v>
      </c>
      <c r="T72" s="60">
        <f t="shared" si="88"/>
        <v>176.7239677722049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0">
        <f t="shared" si="59"/>
        <v>854.95766336593738</v>
      </c>
      <c r="AN72" s="60">
        <f ca="1">AVERAGE(OFFSET($AM$3,0,0,'Données projet'!$E$10+1,1))-AVERAGE(OFFSET($H$3,0,0,'Données projet'!$E$10+1,1))</f>
        <v>361.06925636707814</v>
      </c>
      <c r="AO72" s="60">
        <f t="shared" si="90"/>
        <v>201.44775212076888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13.296703296703299</v>
      </c>
      <c r="BD72" s="13">
        <f>IF('Données projet'!$A$88&gt;35,BD71+BC72-BL71,IF(A72&lt;'Données projet'!$A$88,$BA$205^A72,IF(A72='Données projet'!$A$88,'Données projet'!$B$88,BD71+BC72-BL71)))</f>
        <v>455.77252747252754</v>
      </c>
      <c r="BE72" s="14">
        <f>BD72*VLOOKUP('Données projet'!$B$11,Paramètres!$A$1:$I$89,3,0)*VLOOKUP('Données projet'!$B$11,Paramètres!$A$1:$I$89,5,0)</f>
        <v>254.7768428571429</v>
      </c>
      <c r="BF72" s="14">
        <f t="shared" si="91"/>
        <v>61.607700360287495</v>
      </c>
      <c r="BG72" s="22">
        <f t="shared" si="61"/>
        <v>551.03641277035797</v>
      </c>
      <c r="BH72" s="60">
        <f t="shared" si="62"/>
        <v>844.36974610369134</v>
      </c>
      <c r="BI72" s="60">
        <f ca="1">AVERAGE(OFFSET($BH$3,0,0,'Données projet'!$E$11+1,1))-AVERAGE(OFFSET($H$3,0,0,'Données projet'!$E$11+1,1))</f>
        <v>253.63061102077421</v>
      </c>
      <c r="BJ72" s="60">
        <f t="shared" si="92"/>
        <v>230.98056275369652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6.9927014892807051</v>
      </c>
      <c r="BR72" s="23">
        <f>EXP(-LN(2)/2)*BR71+(1-EXP(-LN(2)/2))/(LN(2)/2)*BL72*BO72*VLOOKUP('Données projet'!$B$11,Paramètres!$A$1:$I$89,3,0)*0.475*44/12</f>
        <v>1.3299767357863943E-5</v>
      </c>
      <c r="BS72" s="24">
        <f t="shared" si="63"/>
        <v>6.9927147890480628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</v>
      </c>
      <c r="BY72" s="13">
        <f>IF('Données projet'!$A$114&gt;35,BY71+BX72-CG71,IF(A72&lt;'Données projet'!$A$114,$BV$205^A72,IF(A72='Données projet'!$A$114,'Données projet'!$B$114,BY71+BX72-CG71)))</f>
        <v>270.19999999999993</v>
      </c>
      <c r="BZ72" s="14">
        <f>BY72*VLOOKUP('Données projet'!$B$12,Paramètres!$A$1:$I$89,3,0)*VLOOKUP('Données projet'!$B$12,Paramètres!$A$1:$I$89,5,0)</f>
        <v>198.11063999999993</v>
      </c>
      <c r="CA72" s="14">
        <f t="shared" si="93"/>
        <v>49.328714484239143</v>
      </c>
      <c r="CB72" s="22">
        <f t="shared" si="64"/>
        <v>430.95687572671636</v>
      </c>
      <c r="CC72" s="60">
        <f t="shared" si="65"/>
        <v>724.29020906004962</v>
      </c>
      <c r="CD72" s="60">
        <f ca="1">AVERAGE(OFFSET($CC$3,0,0,'Données projet'!$E$12+1,1))-AVERAGE(OFFSET($H$3,0,0,'Données projet'!$E$12+1,1))</f>
        <v>216.97968518094325</v>
      </c>
      <c r="CE72" s="60">
        <f t="shared" si="94"/>
        <v>248.38190023108666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4.6153846153846185</v>
      </c>
      <c r="CT72" s="13">
        <f>IF('Données projet'!$A$140&gt;35,CT71+CS72-DB71,IF(A72&lt;'Données projet'!$A$140,$CQ$205^A72,IF(A72='Données projet'!$A$140,'Données projet'!$B$140,CT71+CS72-DB71)))</f>
        <v>227.43589743589732</v>
      </c>
      <c r="CU72" s="18">
        <f>CT72*VLOOKUP('Données projet'!$B$13,Paramètres!$A$1:$I$89,3,0)*VLOOKUP('Données projet'!$B$13,Paramètres!$A$1:$I$89,5,0)</f>
        <v>152.56399999999994</v>
      </c>
      <c r="CV72" s="14">
        <f t="shared" si="95"/>
        <v>39.16068780876315</v>
      </c>
      <c r="CW72" s="22">
        <f t="shared" si="67"/>
        <v>333.9204979335957</v>
      </c>
      <c r="CX72" s="60">
        <f t="shared" si="68"/>
        <v>627.25383126692896</v>
      </c>
      <c r="CY72" s="60">
        <f ca="1">AVERAGE(OFFSET($CX$3,0,0,'Données projet'!$E$13+1,1))-AVERAGE(OFFSET($H$3,0,0,'Données projet'!$E$13+1,1))</f>
        <v>199.36703853638392</v>
      </c>
      <c r="CZ72" s="60">
        <f t="shared" si="96"/>
        <v>145.15653612907363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8">
        <f t="shared" si="56"/>
        <v>369.92213676137879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0">
        <f t="shared" si="55"/>
        <v>808.80277120001347</v>
      </c>
      <c r="S73" s="60">
        <f ca="1">AVERAGE(OFFSET($R$3,0,0,'Données projet'!$E$9+1,1))-AVERAGE(OFFSET($H$3,0,0,'Données projet'!$E$9+1,1))</f>
        <v>314.4389771131751</v>
      </c>
      <c r="T73" s="60">
        <f t="shared" si="88"/>
        <v>176.7239677722049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0">
        <f t="shared" si="59"/>
        <v>869.52299500330537</v>
      </c>
      <c r="AN73" s="60">
        <f ca="1">AVERAGE(OFFSET($AM$3,0,0,'Données projet'!$E$10+1,1))-AVERAGE(OFFSET($H$3,0,0,'Données projet'!$E$10+1,1))</f>
        <v>361.06925636707814</v>
      </c>
      <c r="AO73" s="60">
        <f t="shared" si="90"/>
        <v>201.44775212076888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469.06923076923073</v>
      </c>
      <c r="BB73" s="13">
        <f>VLOOKUP(A73,'Données projet'!$A$87:$I$107,9,0)</f>
        <v>13.296703296703299</v>
      </c>
      <c r="BC73" s="13">
        <f t="array" ref="BC73">INDEX(BB:BB,MIN(IF(ISNUMBER(BB73:BB269),ROW(BB73:BB269),"")))</f>
        <v>13.296703296703299</v>
      </c>
      <c r="BD73" s="13">
        <f>IF('Données projet'!$A$88&gt;35,BD72+BC73-BL72,IF(A73&lt;'Données projet'!$A$88,$BA$205^A73,IF(A73='Données projet'!$A$88,'Données projet'!$B$88,BD72+BC73-BL72)))</f>
        <v>469.06923076923084</v>
      </c>
      <c r="BE73" s="14">
        <f>BD73*VLOOKUP('Données projet'!$B$11,Paramètres!$A$1:$I$89,3,0)*VLOOKUP('Données projet'!$B$11,Paramètres!$A$1:$I$89,5,0)</f>
        <v>262.20970000000005</v>
      </c>
      <c r="BF73" s="14">
        <f t="shared" si="91"/>
        <v>63.193164452376628</v>
      </c>
      <c r="BG73" s="22">
        <f t="shared" si="61"/>
        <v>566.74332225455601</v>
      </c>
      <c r="BH73" s="60">
        <f t="shared" si="62"/>
        <v>860.07665558788926</v>
      </c>
      <c r="BI73" s="60">
        <f ca="1">AVERAGE(OFFSET($BH$3,0,0,'Données projet'!$E$11+1,1))-AVERAGE(OFFSET($H$3,0,0,'Données projet'!$E$11+1,1))</f>
        <v>253.63061102077421</v>
      </c>
      <c r="BJ73" s="60">
        <f t="shared" si="92"/>
        <v>230.98056275369652</v>
      </c>
      <c r="BK73" s="16">
        <f>IF(ISNA(VLOOKUP(A73,'Données projet'!$A$87:$I$107,3,0)),0,VLOOKUP(A73,'Données projet'!$A$87:$I$107,3,0))</f>
        <v>8</v>
      </c>
      <c r="BL73" s="16">
        <f>IF(ISNA(VLOOKUP(A73,'Données projet'!$A$87:$I$107,4,0)),0,VLOOKUP(A73,'Données projet'!$A$87:$I$107,4,0))</f>
        <v>469.06923076923073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6.8014856993261352</v>
      </c>
      <c r="BR73" s="23">
        <f>EXP(-LN(2)/2)*BR72+(1-EXP(-LN(2)/2))/(LN(2)/2)*BL73*BO73*VLOOKUP('Données projet'!$B$11,Paramètres!$A$1:$I$89,3,0)*0.475*44/12</f>
        <v>9.4043556869490865E-6</v>
      </c>
      <c r="BS73" s="24">
        <f t="shared" si="63"/>
        <v>6.8014951036818223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274</v>
      </c>
      <c r="BW73" s="13">
        <f>VLOOKUP(A73,'Données projet'!$A$113:$I$133,9,0)</f>
        <v>3.8</v>
      </c>
      <c r="BX73" s="13">
        <f t="array" ref="BX73">INDEX(BW:BW,MIN(IF(ISNUMBER(BW73:BW269),ROW(BW73:BW269),"")))</f>
        <v>3.8</v>
      </c>
      <c r="BY73" s="13">
        <f>IF('Données projet'!$A$114&gt;35,BY72+BX73-CG72,IF(A73&lt;'Données projet'!$A$114,$BV$205^A73,IF(A73='Données projet'!$A$114,'Données projet'!$B$114,BY72+BX73-CG72)))</f>
        <v>273.99999999999994</v>
      </c>
      <c r="BZ73" s="14">
        <f>BY73*VLOOKUP('Données projet'!$B$12,Paramètres!$A$1:$I$89,3,0)*VLOOKUP('Données projet'!$B$12,Paramètres!$A$1:$I$89,5,0)</f>
        <v>200.89679999999996</v>
      </c>
      <c r="CA73" s="14">
        <f t="shared" si="93"/>
        <v>49.941205873360218</v>
      </c>
      <c r="CB73" s="22">
        <f t="shared" si="64"/>
        <v>436.87619356276895</v>
      </c>
      <c r="CC73" s="60">
        <f t="shared" si="65"/>
        <v>730.20952689610226</v>
      </c>
      <c r="CD73" s="60">
        <f ca="1">AVERAGE(OFFSET($CC$3,0,0,'Données projet'!$E$12+1,1))-AVERAGE(OFFSET($H$3,0,0,'Données projet'!$E$12+1,1))</f>
        <v>216.97968518094325</v>
      </c>
      <c r="CE73" s="60">
        <f t="shared" si="94"/>
        <v>248.38190023108666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232.05128205128204</v>
      </c>
      <c r="CR73" s="13">
        <f>VLOOKUP(A73,'Données projet'!$A$139:$I$159,9,0)</f>
        <v>4.6153846153846185</v>
      </c>
      <c r="CS73" s="13">
        <f t="array" ref="CS73">INDEX(CR:CR,MIN(IF(ISNUMBER(CR73:CR269),ROW(CR73:CR269),"")))</f>
        <v>4.6153846153846185</v>
      </c>
      <c r="CT73" s="13">
        <f>IF('Données projet'!$A$140&gt;35,CT72+CS73-DB72,IF(A73&lt;'Données projet'!$A$140,$CQ$205^A73,IF(A73='Données projet'!$A$140,'Données projet'!$B$140,CT72+CS73-DB72)))</f>
        <v>232.05128205128193</v>
      </c>
      <c r="CU73" s="18">
        <f>CT73*VLOOKUP('Données projet'!$B$13,Paramètres!$A$1:$I$89,3,0)*VLOOKUP('Données projet'!$B$13,Paramètres!$A$1:$I$89,5,0)</f>
        <v>155.65999999999991</v>
      </c>
      <c r="CV73" s="14">
        <f t="shared" si="95"/>
        <v>39.862055101936797</v>
      </c>
      <c r="CW73" s="22">
        <f t="shared" si="67"/>
        <v>340.53424596920644</v>
      </c>
      <c r="CX73" s="60">
        <f t="shared" si="68"/>
        <v>633.86757930253975</v>
      </c>
      <c r="CY73" s="60">
        <f ca="1">AVERAGE(OFFSET($CX$3,0,0,'Données projet'!$E$13+1,1))-AVERAGE(OFFSET($H$3,0,0,'Données projet'!$E$13+1,1))</f>
        <v>199.36703853638392</v>
      </c>
      <c r="CZ73" s="60">
        <f t="shared" si="96"/>
        <v>145.15653612907363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8">
        <f t="shared" si="56"/>
        <v>370.98623205696038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0">
        <f t="shared" si="55"/>
        <v>740.13528187395309</v>
      </c>
      <c r="S74" s="60">
        <f ca="1">AVERAGE(OFFSET($R$3,0,0,'Données projet'!$E$9+1,1))-AVERAGE(OFFSET($H$3,0,0,'Données projet'!$E$9+1,1))</f>
        <v>314.4389771131751</v>
      </c>
      <c r="T74" s="60">
        <f t="shared" si="88"/>
        <v>176.7239677722049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0">
        <f t="shared" si="59"/>
        <v>792.74895496845193</v>
      </c>
      <c r="AN74" s="60">
        <f ca="1">AVERAGE(OFFSET($AM$3,0,0,'Données projet'!$E$10+1,1))-AVERAGE(OFFSET($H$3,0,0,'Données projet'!$E$10+1,1))</f>
        <v>361.06925636707814</v>
      </c>
      <c r="AO74" s="60">
        <f t="shared" si="90"/>
        <v>201.44775212076888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6.3550942286383367E-14</v>
      </c>
      <c r="BF74" s="14">
        <f t="shared" si="91"/>
        <v>1.0064464192543978E-12</v>
      </c>
      <c r="BG74" s="22">
        <f t="shared" si="61"/>
        <v>1.8635787380168604E-12</v>
      </c>
      <c r="BH74" s="60">
        <f t="shared" si="62"/>
        <v>293.33333333333519</v>
      </c>
      <c r="BI74" s="60">
        <f ca="1">AVERAGE(OFFSET($BH$3,0,0,'Données projet'!$E$11+1,1))-AVERAGE(OFFSET($H$3,0,0,'Données projet'!$E$11+1,1))</f>
        <v>253.63061102077421</v>
      </c>
      <c r="BJ74" s="60">
        <f t="shared" si="92"/>
        <v>230.98056275369652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6.6154987152034739</v>
      </c>
      <c r="BR74" s="23">
        <f>EXP(-LN(2)/2)*BR73+(1-EXP(-LN(2)/2))/(LN(2)/2)*BL74*BO74*VLOOKUP('Données projet'!$B$11,Paramètres!$A$1:$I$89,3,0)*0.475*44/12</f>
        <v>6.6498836789319717E-6</v>
      </c>
      <c r="BS74" s="24">
        <f t="shared" si="63"/>
        <v>6.6155053650871531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256.39999999999992</v>
      </c>
      <c r="BZ74" s="14">
        <f>BY74*VLOOKUP('Données projet'!$B$12,Paramètres!$A$1:$I$89,3,0)*VLOOKUP('Données projet'!$B$12,Paramètres!$A$1:$I$89,5,0)</f>
        <v>187.99247999999994</v>
      </c>
      <c r="CA74" s="14">
        <f t="shared" si="93"/>
        <v>47.095844674053957</v>
      </c>
      <c r="CB74" s="22">
        <f t="shared" si="64"/>
        <v>409.44549880731051</v>
      </c>
      <c r="CC74" s="60">
        <f t="shared" si="65"/>
        <v>702.77883214064377</v>
      </c>
      <c r="CD74" s="60">
        <f ca="1">AVERAGE(OFFSET($CC$3,0,0,'Données projet'!$E$12+1,1))-AVERAGE(OFFSET($H$3,0,0,'Données projet'!$E$12+1,1))</f>
        <v>216.97968518094325</v>
      </c>
      <c r="CE74" s="60">
        <f t="shared" si="94"/>
        <v>248.38190023108666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4.2307692307692317</v>
      </c>
      <c r="CT74" s="13">
        <f>IF('Données projet'!$A$140&gt;35,CT73+CS74-DB73,IF(A74&lt;'Données projet'!$A$140,$CQ$205^A74,IF(A74='Données projet'!$A$140,'Données projet'!$B$140,CT73+CS74-DB73)))</f>
        <v>236.28205128205116</v>
      </c>
      <c r="CU74" s="18">
        <f>CT74*VLOOKUP('Données projet'!$B$13,Paramètres!$A$1:$I$89,3,0)*VLOOKUP('Données projet'!$B$13,Paramètres!$A$1:$I$89,5,0)</f>
        <v>158.49799999999993</v>
      </c>
      <c r="CV74" s="14">
        <f t="shared" si="95"/>
        <v>40.503549370816764</v>
      </c>
      <c r="CW74" s="22">
        <f t="shared" si="67"/>
        <v>346.59436515417241</v>
      </c>
      <c r="CX74" s="60">
        <f t="shared" si="68"/>
        <v>639.92769848750572</v>
      </c>
      <c r="CY74" s="60">
        <f ca="1">AVERAGE(OFFSET($CX$3,0,0,'Données projet'!$E$13+1,1))-AVERAGE(OFFSET($H$3,0,0,'Données projet'!$E$13+1,1))</f>
        <v>199.36703853638392</v>
      </c>
      <c r="CZ74" s="60">
        <f t="shared" si="96"/>
        <v>145.15653612907363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8">
        <f t="shared" si="56"/>
        <v>372.04995655117574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0">
        <f t="shared" si="55"/>
        <v>752.04261652954642</v>
      </c>
      <c r="S75" s="60">
        <f ca="1">AVERAGE(OFFSET($R$3,0,0,'Données projet'!$E$9+1,1))-AVERAGE(OFFSET($H$3,0,0,'Données projet'!$E$9+1,1))</f>
        <v>314.4389771131751</v>
      </c>
      <c r="T75" s="60">
        <f t="shared" si="88"/>
        <v>176.7239677722049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0">
        <f t="shared" si="59"/>
        <v>806.06182740569329</v>
      </c>
      <c r="AN75" s="60">
        <f ca="1">AVERAGE(OFFSET($AM$3,0,0,'Données projet'!$E$10+1,1))-AVERAGE(OFFSET($H$3,0,0,'Données projet'!$E$10+1,1))</f>
        <v>361.06925636707814</v>
      </c>
      <c r="AO75" s="60">
        <f t="shared" si="90"/>
        <v>201.44775212076888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6.3550942286383367E-14</v>
      </c>
      <c r="BF75" s="14">
        <f t="shared" si="91"/>
        <v>1.0064464192543978E-12</v>
      </c>
      <c r="BG75" s="22">
        <f t="shared" si="61"/>
        <v>1.8635787380168604E-12</v>
      </c>
      <c r="BH75" s="60">
        <f t="shared" si="62"/>
        <v>293.33333333333519</v>
      </c>
      <c r="BI75" s="60">
        <f ca="1">AVERAGE(OFFSET($BH$3,0,0,'Données projet'!$E$11+1,1))-AVERAGE(OFFSET($H$3,0,0,'Données projet'!$E$11+1,1))</f>
        <v>253.63061102077421</v>
      </c>
      <c r="BJ75" s="60">
        <f t="shared" si="92"/>
        <v>230.98056275369652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6.4345975549422771</v>
      </c>
      <c r="BR75" s="23">
        <f>EXP(-LN(2)/2)*BR74+(1-EXP(-LN(2)/2))/(LN(2)/2)*BL75*BO75*VLOOKUP('Données projet'!$B$11,Paramètres!$A$1:$I$89,3,0)*0.475*44/12</f>
        <v>4.7021778434745433E-6</v>
      </c>
      <c r="BS75" s="24">
        <f t="shared" si="63"/>
        <v>6.4346022571201207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259.7999999999999</v>
      </c>
      <c r="BZ75" s="14">
        <f>BY75*VLOOKUP('Données projet'!$B$12,Paramètres!$A$1:$I$89,3,0)*VLOOKUP('Données projet'!$B$12,Paramètres!$A$1:$I$89,5,0)</f>
        <v>190.48535999999993</v>
      </c>
      <c r="CA75" s="14">
        <f t="shared" si="93"/>
        <v>47.647243117546594</v>
      </c>
      <c r="CB75" s="22">
        <f t="shared" si="64"/>
        <v>414.74761709639353</v>
      </c>
      <c r="CC75" s="60">
        <f t="shared" si="65"/>
        <v>708.08095042972684</v>
      </c>
      <c r="CD75" s="60">
        <f ca="1">AVERAGE(OFFSET($CC$3,0,0,'Données projet'!$E$12+1,1))-AVERAGE(OFFSET($H$3,0,0,'Données projet'!$E$12+1,1))</f>
        <v>216.97968518094325</v>
      </c>
      <c r="CE75" s="60">
        <f t="shared" si="94"/>
        <v>248.38190023108666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4.2307692307692317</v>
      </c>
      <c r="CT75" s="13">
        <f>IF('Données projet'!$A$140&gt;35,CT74+CS75-DB74,IF(A75&lt;'Données projet'!$A$140,$CQ$205^A75,IF(A75='Données projet'!$A$140,'Données projet'!$B$140,CT74+CS75-DB74)))</f>
        <v>240.51282051282038</v>
      </c>
      <c r="CU75" s="18">
        <f>CT75*VLOOKUP('Données projet'!$B$13,Paramètres!$A$1:$I$89,3,0)*VLOOKUP('Données projet'!$B$13,Paramètres!$A$1:$I$89,5,0)</f>
        <v>161.33599999999993</v>
      </c>
      <c r="CV75" s="14">
        <f t="shared" si="95"/>
        <v>41.143707947471945</v>
      </c>
      <c r="CW75" s="22">
        <f t="shared" si="67"/>
        <v>352.65215800851342</v>
      </c>
      <c r="CX75" s="60">
        <f t="shared" si="68"/>
        <v>645.98549134184668</v>
      </c>
      <c r="CY75" s="60">
        <f ca="1">AVERAGE(OFFSET($CX$3,0,0,'Données projet'!$E$13+1,1))-AVERAGE(OFFSET($H$3,0,0,'Données projet'!$E$13+1,1))</f>
        <v>199.36703853638392</v>
      </c>
      <c r="CZ75" s="60">
        <f t="shared" si="96"/>
        <v>145.15653612907363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8">
        <f t="shared" si="56"/>
        <v>373.11331598923283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0">
        <f t="shared" si="55"/>
        <v>763.94335289202195</v>
      </c>
      <c r="S76" s="60">
        <f ca="1">AVERAGE(OFFSET($R$3,0,0,'Données projet'!$E$9+1,1))-AVERAGE(OFFSET($H$3,0,0,'Données projet'!$E$9+1,1))</f>
        <v>314.4389771131751</v>
      </c>
      <c r="T76" s="60">
        <f t="shared" si="88"/>
        <v>176.7239677722049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0">
        <f t="shared" si="59"/>
        <v>819.36740263248726</v>
      </c>
      <c r="AN76" s="60">
        <f ca="1">AVERAGE(OFFSET($AM$3,0,0,'Données projet'!$E$10+1,1))-AVERAGE(OFFSET($H$3,0,0,'Données projet'!$E$10+1,1))</f>
        <v>361.06925636707814</v>
      </c>
      <c r="AO76" s="60">
        <f t="shared" si="90"/>
        <v>201.44775212076888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6.3550942286383367E-14</v>
      </c>
      <c r="BF76" s="14">
        <f t="shared" si="91"/>
        <v>1.0064464192543978E-12</v>
      </c>
      <c r="BG76" s="22">
        <f t="shared" si="61"/>
        <v>1.8635787380168604E-12</v>
      </c>
      <c r="BH76" s="60">
        <f t="shared" si="62"/>
        <v>293.33333333333519</v>
      </c>
      <c r="BI76" s="60">
        <f ca="1">AVERAGE(OFFSET($BH$3,0,0,'Données projet'!$E$11+1,1))-AVERAGE(OFFSET($H$3,0,0,'Données projet'!$E$11+1,1))</f>
        <v>253.63061102077421</v>
      </c>
      <c r="BJ76" s="60">
        <f t="shared" si="92"/>
        <v>230.98056275369652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6.2586431464216012</v>
      </c>
      <c r="BR76" s="23">
        <f>EXP(-LN(2)/2)*BR75+(1-EXP(-LN(2)/2))/(LN(2)/2)*BL76*BO76*VLOOKUP('Données projet'!$B$11,Paramètres!$A$1:$I$89,3,0)*0.475*44/12</f>
        <v>3.3249418394659858E-6</v>
      </c>
      <c r="BS76" s="24">
        <f t="shared" si="63"/>
        <v>6.2586464713634404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263.19999999999987</v>
      </c>
      <c r="BZ76" s="14">
        <f>BY76*VLOOKUP('Données projet'!$B$12,Paramètres!$A$1:$I$89,3,0)*VLOOKUP('Données projet'!$B$12,Paramètres!$A$1:$I$89,5,0)</f>
        <v>192.97823999999991</v>
      </c>
      <c r="CA76" s="14">
        <f t="shared" si="93"/>
        <v>48.197802215761044</v>
      </c>
      <c r="CB76" s="22">
        <f t="shared" si="64"/>
        <v>420.0482735257836</v>
      </c>
      <c r="CC76" s="60">
        <f t="shared" si="65"/>
        <v>713.38160685911691</v>
      </c>
      <c r="CD76" s="60">
        <f ca="1">AVERAGE(OFFSET($CC$3,0,0,'Données projet'!$E$12+1,1))-AVERAGE(OFFSET($H$3,0,0,'Données projet'!$E$12+1,1))</f>
        <v>216.97968518094325</v>
      </c>
      <c r="CE76" s="60">
        <f t="shared" si="94"/>
        <v>248.38190023108666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4.2307692307692317</v>
      </c>
      <c r="CT76" s="13">
        <f>IF('Données projet'!$A$140&gt;35,CT75+CS76-DB75,IF(A76&lt;'Données projet'!$A$140,$CQ$205^A76,IF(A76='Données projet'!$A$140,'Données projet'!$B$140,CT75+CS76-DB75)))</f>
        <v>244.74358974358961</v>
      </c>
      <c r="CU76" s="18">
        <f>CT76*VLOOKUP('Données projet'!$B$13,Paramètres!$A$1:$I$89,3,0)*VLOOKUP('Données projet'!$B$13,Paramètres!$A$1:$I$89,5,0)</f>
        <v>164.17399999999989</v>
      </c>
      <c r="CV76" s="14">
        <f t="shared" si="95"/>
        <v>41.782557038337067</v>
      </c>
      <c r="CW76" s="22">
        <f t="shared" si="67"/>
        <v>358.7076701751036</v>
      </c>
      <c r="CX76" s="60">
        <f t="shared" si="68"/>
        <v>652.04100350843692</v>
      </c>
      <c r="CY76" s="60">
        <f ca="1">AVERAGE(OFFSET($CX$3,0,0,'Données projet'!$E$13+1,1))-AVERAGE(OFFSET($H$3,0,0,'Données projet'!$E$13+1,1))</f>
        <v>199.36703853638392</v>
      </c>
      <c r="CZ76" s="60">
        <f t="shared" si="96"/>
        <v>145.15653612907363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8">
        <f t="shared" si="56"/>
        <v>374.17631594989302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0">
        <f t="shared" si="55"/>
        <v>775.83768133226158</v>
      </c>
      <c r="S77" s="60">
        <f ca="1">AVERAGE(OFFSET($R$3,0,0,'Données projet'!$E$9+1,1))-AVERAGE(OFFSET($H$3,0,0,'Données projet'!$E$9+1,1))</f>
        <v>314.4389771131751</v>
      </c>
      <c r="T77" s="60">
        <f t="shared" si="88"/>
        <v>176.7239677722049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0">
        <f t="shared" si="59"/>
        <v>832.66589118455317</v>
      </c>
      <c r="AN77" s="60">
        <f ca="1">AVERAGE(OFFSET($AM$3,0,0,'Données projet'!$E$10+1,1))-AVERAGE(OFFSET($H$3,0,0,'Données projet'!$E$10+1,1))</f>
        <v>361.06925636707814</v>
      </c>
      <c r="AO77" s="60">
        <f t="shared" si="90"/>
        <v>201.44775212076888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6.3550942286383367E-14</v>
      </c>
      <c r="BF77" s="14">
        <f t="shared" si="91"/>
        <v>1.0064464192543978E-12</v>
      </c>
      <c r="BG77" s="22">
        <f t="shared" si="61"/>
        <v>1.8635787380168604E-12</v>
      </c>
      <c r="BH77" s="60">
        <f t="shared" si="62"/>
        <v>293.33333333333519</v>
      </c>
      <c r="BI77" s="60">
        <f ca="1">AVERAGE(OFFSET($BH$3,0,0,'Données projet'!$E$11+1,1))-AVERAGE(OFFSET($H$3,0,0,'Données projet'!$E$11+1,1))</f>
        <v>253.63061102077421</v>
      </c>
      <c r="BJ77" s="60">
        <f t="shared" si="92"/>
        <v>230.98056275369652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6.087500220454964</v>
      </c>
      <c r="BR77" s="23">
        <f>EXP(-LN(2)/2)*BR76+(1-EXP(-LN(2)/2))/(LN(2)/2)*BL77*BO77*VLOOKUP('Données projet'!$B$11,Paramètres!$A$1:$I$89,3,0)*0.475*44/12</f>
        <v>2.3510889217372716E-6</v>
      </c>
      <c r="BS77" s="24">
        <f t="shared" si="63"/>
        <v>6.0875025715438857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266.59999999999985</v>
      </c>
      <c r="BZ77" s="14">
        <f>BY77*VLOOKUP('Données projet'!$B$12,Paramètres!$A$1:$I$89,3,0)*VLOOKUP('Données projet'!$B$12,Paramètres!$A$1:$I$89,5,0)</f>
        <v>195.47111999999987</v>
      </c>
      <c r="CA77" s="14">
        <f t="shared" si="93"/>
        <v>48.747534064963503</v>
      </c>
      <c r="CB77" s="22">
        <f t="shared" si="64"/>
        <v>425.34748916314453</v>
      </c>
      <c r="CC77" s="60">
        <f t="shared" si="65"/>
        <v>718.68082249647784</v>
      </c>
      <c r="CD77" s="60">
        <f ca="1">AVERAGE(OFFSET($CC$3,0,0,'Données projet'!$E$12+1,1))-AVERAGE(OFFSET($H$3,0,0,'Données projet'!$E$12+1,1))</f>
        <v>216.97968518094325</v>
      </c>
      <c r="CE77" s="60">
        <f t="shared" si="94"/>
        <v>248.38190023108666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4.2307692307692317</v>
      </c>
      <c r="CT77" s="13">
        <f>IF('Données projet'!$A$140&gt;35,CT76+CS77-DB76,IF(A77&lt;'Données projet'!$A$140,$CQ$205^A77,IF(A77='Données projet'!$A$140,'Données projet'!$B$140,CT76+CS77-DB76)))</f>
        <v>248.97435897435884</v>
      </c>
      <c r="CU77" s="18">
        <f>CT77*VLOOKUP('Données projet'!$B$13,Paramètres!$A$1:$I$89,3,0)*VLOOKUP('Données projet'!$B$13,Paramètres!$A$1:$I$89,5,0)</f>
        <v>167.01199999999992</v>
      </c>
      <c r="CV77" s="14">
        <f t="shared" si="95"/>
        <v>42.420121891899903</v>
      </c>
      <c r="CW77" s="22">
        <f t="shared" si="67"/>
        <v>364.76094562839216</v>
      </c>
      <c r="CX77" s="60">
        <f t="shared" si="68"/>
        <v>658.09427896172542</v>
      </c>
      <c r="CY77" s="60">
        <f ca="1">AVERAGE(OFFSET($CX$3,0,0,'Données projet'!$E$13+1,1))-AVERAGE(OFFSET($H$3,0,0,'Données projet'!$E$13+1,1))</f>
        <v>199.36703853638392</v>
      </c>
      <c r="CZ77" s="60">
        <f t="shared" si="96"/>
        <v>145.15653612907363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8">
        <f t="shared" si="56"/>
        <v>375.238961852476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0">
        <f t="shared" si="55"/>
        <v>787.72578207012918</v>
      </c>
      <c r="S78" s="60">
        <f ca="1">AVERAGE(OFFSET($R$3,0,0,'Données projet'!$E$9+1,1))-AVERAGE(OFFSET($H$3,0,0,'Données projet'!$E$9+1,1))</f>
        <v>314.4389771131751</v>
      </c>
      <c r="T78" s="60">
        <f t="shared" si="88"/>
        <v>176.7239677722049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0">
        <f t="shared" si="59"/>
        <v>845.95749237135647</v>
      </c>
      <c r="AN78" s="60">
        <f ca="1">AVERAGE(OFFSET($AM$3,0,0,'Données projet'!$E$10+1,1))-AVERAGE(OFFSET($H$3,0,0,'Données projet'!$E$10+1,1))</f>
        <v>361.06925636707814</v>
      </c>
      <c r="AO78" s="60">
        <f t="shared" si="90"/>
        <v>201.44775212076888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6.3550942286383367E-14</v>
      </c>
      <c r="BF78" s="14">
        <f t="shared" si="91"/>
        <v>1.0064464192543978E-12</v>
      </c>
      <c r="BG78" s="22">
        <f t="shared" si="61"/>
        <v>1.8635787380168604E-12</v>
      </c>
      <c r="BH78" s="60">
        <f t="shared" si="62"/>
        <v>293.33333333333519</v>
      </c>
      <c r="BI78" s="60">
        <f ca="1">AVERAGE(OFFSET($BH$3,0,0,'Données projet'!$E$11+1,1))-AVERAGE(OFFSET($H$3,0,0,'Données projet'!$E$11+1,1))</f>
        <v>253.63061102077421</v>
      </c>
      <c r="BJ78" s="60">
        <f t="shared" si="92"/>
        <v>230.98056275369652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5.9210372067988999</v>
      </c>
      <c r="BR78" s="23">
        <f>EXP(-LN(2)/2)*BR77+(1-EXP(-LN(2)/2))/(LN(2)/2)*BL78*BO78*VLOOKUP('Données projet'!$B$11,Paramètres!$A$1:$I$89,3,0)*0.475*44/12</f>
        <v>1.6624709197329929E-6</v>
      </c>
      <c r="BS78" s="24">
        <f t="shared" si="63"/>
        <v>5.9210388692698199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270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269.99999999999983</v>
      </c>
      <c r="BZ78" s="14">
        <f>BY78*VLOOKUP('Données projet'!$B$12,Paramètres!$A$1:$I$89,3,0)*VLOOKUP('Données projet'!$B$12,Paramètres!$A$1:$I$89,5,0)</f>
        <v>197.96399999999986</v>
      </c>
      <c r="CA78" s="14">
        <f t="shared" si="93"/>
        <v>49.296450435147719</v>
      </c>
      <c r="CB78" s="22">
        <f t="shared" si="64"/>
        <v>430.64528450788202</v>
      </c>
      <c r="CC78" s="60">
        <f t="shared" si="65"/>
        <v>723.97861784121528</v>
      </c>
      <c r="CD78" s="60">
        <f ca="1">AVERAGE(OFFSET($CC$3,0,0,'Données projet'!$E$12+1,1))-AVERAGE(OFFSET($H$3,0,0,'Données projet'!$E$12+1,1))</f>
        <v>216.97968518094325</v>
      </c>
      <c r="CE78" s="60">
        <f t="shared" si="94"/>
        <v>248.38190023108666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253.2051282051282</v>
      </c>
      <c r="CR78" s="13">
        <f>VLOOKUP(A78,'Données projet'!$A$139:$I$159,9,0)</f>
        <v>4.2307692307692317</v>
      </c>
      <c r="CS78" s="13">
        <f t="array" ref="CS78">INDEX(CR:CR,MIN(IF(ISNUMBER(CR78:CR274),ROW(CR78:CR274),"")))</f>
        <v>4.2307692307692317</v>
      </c>
      <c r="CT78" s="13">
        <f>IF('Données projet'!$A$140&gt;35,CT77+CS78-DB77,IF(A78&lt;'Données projet'!$A$140,$CQ$205^A78,IF(A78='Données projet'!$A$140,'Données projet'!$B$140,CT77+CS78-DB77)))</f>
        <v>253.20512820512806</v>
      </c>
      <c r="CU78" s="18">
        <f>CT78*VLOOKUP('Données projet'!$B$13,Paramètres!$A$1:$I$89,3,0)*VLOOKUP('Données projet'!$B$13,Paramètres!$A$1:$I$89,5,0)</f>
        <v>169.84999999999991</v>
      </c>
      <c r="CV78" s="14">
        <f t="shared" si="95"/>
        <v>43.056426849389865</v>
      </c>
      <c r="CW78" s="22">
        <f t="shared" si="67"/>
        <v>370.81202676268725</v>
      </c>
      <c r="CX78" s="60">
        <f t="shared" si="68"/>
        <v>664.14536009602057</v>
      </c>
      <c r="CY78" s="60">
        <f ca="1">AVERAGE(OFFSET($CX$3,0,0,'Données projet'!$E$13+1,1))-AVERAGE(OFFSET($H$3,0,0,'Données projet'!$E$13+1,1))</f>
        <v>199.36703853638392</v>
      </c>
      <c r="CZ78" s="60">
        <f t="shared" si="96"/>
        <v>145.15653612907363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24.358974358974358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8">
        <f t="shared" si="56"/>
        <v>376.30125896348062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0">
        <f t="shared" si="55"/>
        <v>799.22462707153909</v>
      </c>
      <c r="S79" s="60">
        <f ca="1">AVERAGE(OFFSET($R$3,0,0,'Données projet'!$E$9+1,1))-AVERAGE(OFFSET($H$3,0,0,'Données projet'!$E$9+1,1))</f>
        <v>314.4389771131751</v>
      </c>
      <c r="T79" s="60">
        <f t="shared" si="88"/>
        <v>176.7239677722049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0">
        <f t="shared" si="59"/>
        <v>858.81395257903955</v>
      </c>
      <c r="AN79" s="60">
        <f ca="1">AVERAGE(OFFSET($AM$3,0,0,'Données projet'!$E$10+1,1))-AVERAGE(OFFSET($H$3,0,0,'Données projet'!$E$10+1,1))</f>
        <v>361.06925636707814</v>
      </c>
      <c r="AO79" s="60">
        <f t="shared" si="90"/>
        <v>201.44775212076888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6.3550942286383367E-14</v>
      </c>
      <c r="BF79" s="14">
        <f t="shared" si="91"/>
        <v>1.0064464192543978E-12</v>
      </c>
      <c r="BG79" s="22">
        <f t="shared" si="61"/>
        <v>1.8635787380168604E-12</v>
      </c>
      <c r="BH79" s="60">
        <f t="shared" si="62"/>
        <v>293.33333333333519</v>
      </c>
      <c r="BI79" s="60">
        <f ca="1">AVERAGE(OFFSET($BH$3,0,0,'Données projet'!$E$11+1,1))-AVERAGE(OFFSET($H$3,0,0,'Données projet'!$E$11+1,1))</f>
        <v>253.63061102077421</v>
      </c>
      <c r="BJ79" s="60">
        <f t="shared" si="92"/>
        <v>230.98056275369652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5.7591261330051697</v>
      </c>
      <c r="BR79" s="23">
        <f>EXP(-LN(2)/2)*BR78+(1-EXP(-LN(2)/2))/(LN(2)/2)*BL79*BO79*VLOOKUP('Données projet'!$B$11,Paramètres!$A$1:$I$89,3,0)*0.475*44/12</f>
        <v>1.1755444608686358E-6</v>
      </c>
      <c r="BS79" s="24">
        <f t="shared" si="63"/>
        <v>5.7591273085496306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272.99999999999983</v>
      </c>
      <c r="BZ79" s="14">
        <f>BY79*VLOOKUP('Données projet'!$B$12,Paramètres!$A$1:$I$89,3,0)*VLOOKUP('Données projet'!$B$12,Paramètres!$A$1:$I$89,5,0)</f>
        <v>200.16359999999989</v>
      </c>
      <c r="CA79" s="14">
        <f t="shared" si="93"/>
        <v>49.78012034252523</v>
      </c>
      <c r="CB79" s="22">
        <f t="shared" si="64"/>
        <v>435.31864626323119</v>
      </c>
      <c r="CC79" s="60">
        <f t="shared" si="65"/>
        <v>728.6519795965645</v>
      </c>
      <c r="CD79" s="60">
        <f ca="1">AVERAGE(OFFSET($CC$3,0,0,'Données projet'!$E$12+1,1))-AVERAGE(OFFSET($H$3,0,0,'Données projet'!$E$12+1,1))</f>
        <v>216.97968518094325</v>
      </c>
      <c r="CE79" s="60">
        <f t="shared" si="94"/>
        <v>248.38190023108666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4.2307692307692317</v>
      </c>
      <c r="CT79" s="13">
        <f>IF('Données projet'!$A$140&gt;35,CT78+CS79-DB78,IF(A79&lt;'Données projet'!$A$140,$CQ$205^A79,IF(A79='Données projet'!$A$140,'Données projet'!$B$140,CT78+CS79-DB78)))</f>
        <v>233.07692307692292</v>
      </c>
      <c r="CU79" s="18">
        <f>CT79*VLOOKUP('Données projet'!$B$13,Paramètres!$A$1:$I$89,3,0)*VLOOKUP('Données projet'!$B$13,Paramètres!$A$1:$I$89,5,0)</f>
        <v>156.3479999999999</v>
      </c>
      <c r="CV79" s="14">
        <f t="shared" si="95"/>
        <v>40.017692964060089</v>
      </c>
      <c r="CW79" s="22">
        <f t="shared" si="67"/>
        <v>342.0035819124044</v>
      </c>
      <c r="CX79" s="60">
        <f t="shared" si="68"/>
        <v>635.33691524573771</v>
      </c>
      <c r="CY79" s="60">
        <f ca="1">AVERAGE(OFFSET($CX$3,0,0,'Données projet'!$E$13+1,1))-AVERAGE(OFFSET($H$3,0,0,'Données projet'!$E$13+1,1))</f>
        <v>199.36703853638392</v>
      </c>
      <c r="CZ79" s="60">
        <f t="shared" si="96"/>
        <v>145.15653612907363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8">
        <f t="shared" si="56"/>
        <v>377.36321240284718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0">
        <f t="shared" si="55"/>
        <v>810.71794681982283</v>
      </c>
      <c r="S80" s="60">
        <f ca="1">AVERAGE(OFFSET($R$3,0,0,'Données projet'!$E$9+1,1))-AVERAGE(OFFSET($H$3,0,0,'Données projet'!$E$9+1,1))</f>
        <v>314.4389771131751</v>
      </c>
      <c r="T80" s="60">
        <f t="shared" si="88"/>
        <v>176.7239677722049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0">
        <f t="shared" si="59"/>
        <v>871.66430227691103</v>
      </c>
      <c r="AN80" s="60">
        <f ca="1">AVERAGE(OFFSET($AM$3,0,0,'Données projet'!$E$10+1,1))-AVERAGE(OFFSET($H$3,0,0,'Données projet'!$E$10+1,1))</f>
        <v>361.06925636707814</v>
      </c>
      <c r="AO80" s="60">
        <f t="shared" si="90"/>
        <v>201.44775212076888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6.3550942286383367E-14</v>
      </c>
      <c r="BF80" s="14">
        <f t="shared" si="91"/>
        <v>1.0064464192543978E-12</v>
      </c>
      <c r="BG80" s="22">
        <f t="shared" si="61"/>
        <v>1.8635787380168604E-12</v>
      </c>
      <c r="BH80" s="60">
        <f t="shared" si="62"/>
        <v>293.33333333333519</v>
      </c>
      <c r="BI80" s="60">
        <f ca="1">AVERAGE(OFFSET($BH$3,0,0,'Données projet'!$E$11+1,1))-AVERAGE(OFFSET($H$3,0,0,'Données projet'!$E$11+1,1))</f>
        <v>253.63061102077421</v>
      </c>
      <c r="BJ80" s="60">
        <f t="shared" si="92"/>
        <v>230.98056275369652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5.6016425260388623</v>
      </c>
      <c r="BR80" s="23">
        <f>EXP(-LN(2)/2)*BR79+(1-EXP(-LN(2)/2))/(LN(2)/2)*BL80*BO80*VLOOKUP('Données projet'!$B$11,Paramètres!$A$1:$I$89,3,0)*0.475*44/12</f>
        <v>8.3123545986649646E-7</v>
      </c>
      <c r="BS80" s="24">
        <f t="shared" si="63"/>
        <v>5.6016433572743223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275.99999999999983</v>
      </c>
      <c r="BZ80" s="14">
        <f>BY80*VLOOKUP('Données projet'!$B$12,Paramètres!$A$1:$I$89,3,0)*VLOOKUP('Données projet'!$B$12,Paramètres!$A$1:$I$89,5,0)</f>
        <v>202.36319999999986</v>
      </c>
      <c r="CA80" s="14">
        <f t="shared" si="93"/>
        <v>50.263171959975132</v>
      </c>
      <c r="CB80" s="22">
        <f t="shared" si="64"/>
        <v>439.99093116362309</v>
      </c>
      <c r="CC80" s="60">
        <f t="shared" si="65"/>
        <v>733.3242644969564</v>
      </c>
      <c r="CD80" s="60">
        <f ca="1">AVERAGE(OFFSET($CC$3,0,0,'Données projet'!$E$12+1,1))-AVERAGE(OFFSET($H$3,0,0,'Données projet'!$E$12+1,1))</f>
        <v>216.97968518094325</v>
      </c>
      <c r="CE80" s="60">
        <f t="shared" si="94"/>
        <v>248.38190023108666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4.2307692307692317</v>
      </c>
      <c r="CT80" s="13">
        <f>IF('Données projet'!$A$140&gt;35,CT79+CS80-DB79,IF(A80&lt;'Données projet'!$A$140,$CQ$205^A80,IF(A80='Données projet'!$A$140,'Données projet'!$B$140,CT79+CS80-DB79)))</f>
        <v>237.30769230769215</v>
      </c>
      <c r="CU80" s="18">
        <f>CT80*VLOOKUP('Données projet'!$B$13,Paramètres!$A$1:$I$89,3,0)*VLOOKUP('Données projet'!$B$13,Paramètres!$A$1:$I$89,5,0)</f>
        <v>159.18599999999989</v>
      </c>
      <c r="CV80" s="14">
        <f t="shared" si="95"/>
        <v>40.658860968776935</v>
      </c>
      <c r="CW80" s="22">
        <f t="shared" si="67"/>
        <v>348.06313285395299</v>
      </c>
      <c r="CX80" s="60">
        <f t="shared" si="68"/>
        <v>641.39646618728625</v>
      </c>
      <c r="CY80" s="60">
        <f ca="1">AVERAGE(OFFSET($CX$3,0,0,'Données projet'!$E$13+1,1))-AVERAGE(OFFSET($H$3,0,0,'Données projet'!$E$13+1,1))</f>
        <v>199.36703853638392</v>
      </c>
      <c r="CZ80" s="60">
        <f t="shared" si="96"/>
        <v>145.15653612907363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8">
        <f t="shared" si="56"/>
        <v>378.42482714988546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0">
        <f t="shared" si="55"/>
        <v>822.20588134481159</v>
      </c>
      <c r="S81" s="60">
        <f ca="1">AVERAGE(OFFSET($R$3,0,0,'Données projet'!$E$9+1,1))-AVERAGE(OFFSET($H$3,0,0,'Données projet'!$E$9+1,1))</f>
        <v>314.4389771131751</v>
      </c>
      <c r="T81" s="60">
        <f t="shared" si="88"/>
        <v>176.7239677722049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0">
        <f t="shared" si="59"/>
        <v>884.50869632731633</v>
      </c>
      <c r="AN81" s="60">
        <f ca="1">AVERAGE(OFFSET($AM$3,0,0,'Données projet'!$E$10+1,1))-AVERAGE(OFFSET($H$3,0,0,'Données projet'!$E$10+1,1))</f>
        <v>361.06925636707814</v>
      </c>
      <c r="AO81" s="60">
        <f t="shared" si="90"/>
        <v>201.44775212076888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6.3550942286383367E-14</v>
      </c>
      <c r="BF81" s="14">
        <f t="shared" si="91"/>
        <v>1.0064464192543978E-12</v>
      </c>
      <c r="BG81" s="22">
        <f t="shared" si="61"/>
        <v>1.8635787380168604E-12</v>
      </c>
      <c r="BH81" s="60">
        <f t="shared" si="62"/>
        <v>293.33333333333519</v>
      </c>
      <c r="BI81" s="60">
        <f ca="1">AVERAGE(OFFSET($BH$3,0,0,'Données projet'!$E$11+1,1))-AVERAGE(OFFSET($H$3,0,0,'Données projet'!$E$11+1,1))</f>
        <v>253.63061102077421</v>
      </c>
      <c r="BJ81" s="60">
        <f t="shared" si="92"/>
        <v>230.98056275369652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5.448465316586752</v>
      </c>
      <c r="BR81" s="23">
        <f>EXP(-LN(2)/2)*BR80+(1-EXP(-LN(2)/2))/(LN(2)/2)*BL81*BO81*VLOOKUP('Données projet'!$B$11,Paramètres!$A$1:$I$89,3,0)*0.475*44/12</f>
        <v>5.8777223043431791E-7</v>
      </c>
      <c r="BS81" s="24">
        <f t="shared" si="63"/>
        <v>5.448465904358982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278.99999999999983</v>
      </c>
      <c r="BZ81" s="14">
        <f>BY81*VLOOKUP('Données projet'!$B$12,Paramètres!$A$1:$I$89,3,0)*VLOOKUP('Données projet'!$B$12,Paramètres!$A$1:$I$89,5,0)</f>
        <v>204.56279999999987</v>
      </c>
      <c r="CA81" s="14">
        <f t="shared" si="93"/>
        <v>50.74561278586372</v>
      </c>
      <c r="CB81" s="22">
        <f t="shared" si="64"/>
        <v>444.66215226871242</v>
      </c>
      <c r="CC81" s="60">
        <f t="shared" si="65"/>
        <v>737.99548560204573</v>
      </c>
      <c r="CD81" s="60">
        <f ca="1">AVERAGE(OFFSET($CC$3,0,0,'Données projet'!$E$12+1,1))-AVERAGE(OFFSET($H$3,0,0,'Données projet'!$E$12+1,1))</f>
        <v>216.97968518094325</v>
      </c>
      <c r="CE81" s="60">
        <f t="shared" si="94"/>
        <v>248.38190023108666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4.2307692307692317</v>
      </c>
      <c r="CT81" s="13">
        <f>IF('Données projet'!$A$140&gt;35,CT80+CS81-DB80,IF(A81&lt;'Données projet'!$A$140,$CQ$205^A81,IF(A81='Données projet'!$A$140,'Données projet'!$B$140,CT80+CS81-DB80)))</f>
        <v>241.53846153846138</v>
      </c>
      <c r="CU81" s="18">
        <f>CT81*VLOOKUP('Données projet'!$B$13,Paramètres!$A$1:$I$89,3,0)*VLOOKUP('Données projet'!$B$13,Paramètres!$A$1:$I$89,5,0)</f>
        <v>162.02399999999989</v>
      </c>
      <c r="CV81" s="14">
        <f t="shared" si="95"/>
        <v>41.298699725174792</v>
      </c>
      <c r="CW81" s="22">
        <f t="shared" si="67"/>
        <v>354.12036868801255</v>
      </c>
      <c r="CX81" s="60">
        <f t="shared" si="68"/>
        <v>647.45370202134586</v>
      </c>
      <c r="CY81" s="60">
        <f ca="1">AVERAGE(OFFSET($CX$3,0,0,'Données projet'!$E$13+1,1))-AVERAGE(OFFSET($H$3,0,0,'Données projet'!$E$13+1,1))</f>
        <v>199.36703853638392</v>
      </c>
      <c r="CZ81" s="60">
        <f t="shared" si="96"/>
        <v>145.15653612907363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8">
        <f t="shared" si="56"/>
        <v>379.48610804888961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0">
        <f t="shared" si="55"/>
        <v>833.68856409746058</v>
      </c>
      <c r="S82" s="60">
        <f ca="1">AVERAGE(OFFSET($R$3,0,0,'Données projet'!$E$9+1,1))-AVERAGE(OFFSET($H$3,0,0,'Données projet'!$E$9+1,1))</f>
        <v>314.4389771131751</v>
      </c>
      <c r="T82" s="60">
        <f t="shared" si="88"/>
        <v>176.7239677722049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0">
        <f t="shared" si="59"/>
        <v>897.34728231686381</v>
      </c>
      <c r="AN82" s="60">
        <f ca="1">AVERAGE(OFFSET($AM$3,0,0,'Données projet'!$E$10+1,1))-AVERAGE(OFFSET($H$3,0,0,'Données projet'!$E$10+1,1))</f>
        <v>361.06925636707814</v>
      </c>
      <c r="AO82" s="60">
        <f t="shared" si="90"/>
        <v>201.44775212076888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6.3550942286383367E-14</v>
      </c>
      <c r="BF82" s="14">
        <f t="shared" si="91"/>
        <v>1.0064464192543978E-12</v>
      </c>
      <c r="BG82" s="22">
        <f t="shared" si="61"/>
        <v>1.8635787380168604E-12</v>
      </c>
      <c r="BH82" s="60">
        <f t="shared" si="62"/>
        <v>293.33333333333519</v>
      </c>
      <c r="BI82" s="60">
        <f ca="1">AVERAGE(OFFSET($BH$3,0,0,'Données projet'!$E$11+1,1))-AVERAGE(OFFSET($H$3,0,0,'Données projet'!$E$11+1,1))</f>
        <v>253.63061102077421</v>
      </c>
      <c r="BJ82" s="60">
        <f t="shared" si="92"/>
        <v>230.98056275369652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5.2994767459823491</v>
      </c>
      <c r="BR82" s="23">
        <f>EXP(-LN(2)/2)*BR81+(1-EXP(-LN(2)/2))/(LN(2)/2)*BL82*BO82*VLOOKUP('Données projet'!$B$11,Paramètres!$A$1:$I$89,3,0)*0.475*44/12</f>
        <v>4.1561772993324823E-7</v>
      </c>
      <c r="BS82" s="24">
        <f t="shared" si="63"/>
        <v>5.2994771616000786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281.99999999999983</v>
      </c>
      <c r="BZ82" s="14">
        <f>BY82*VLOOKUP('Données projet'!$B$12,Paramètres!$A$1:$I$89,3,0)*VLOOKUP('Données projet'!$B$12,Paramètres!$A$1:$I$89,5,0)</f>
        <v>206.76239999999987</v>
      </c>
      <c r="CA82" s="14">
        <f t="shared" si="93"/>
        <v>51.227450148013851</v>
      </c>
      <c r="CB82" s="22">
        <f t="shared" si="64"/>
        <v>449.33232234112387</v>
      </c>
      <c r="CC82" s="60">
        <f t="shared" si="65"/>
        <v>742.66565567445718</v>
      </c>
      <c r="CD82" s="60">
        <f ca="1">AVERAGE(OFFSET($CC$3,0,0,'Données projet'!$E$12+1,1))-AVERAGE(OFFSET($H$3,0,0,'Données projet'!$E$12+1,1))</f>
        <v>216.97968518094325</v>
      </c>
      <c r="CE82" s="60">
        <f t="shared" si="94"/>
        <v>248.38190023108666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4.2307692307692317</v>
      </c>
      <c r="CT82" s="13">
        <f>IF('Données projet'!$A$140&gt;35,CT81+CS82-DB81,IF(A82&lt;'Données projet'!$A$140,$CQ$205^A82,IF(A82='Données projet'!$A$140,'Données projet'!$B$140,CT81+CS82-DB81)))</f>
        <v>245.7692307692306</v>
      </c>
      <c r="CU82" s="18">
        <f>CT82*VLOOKUP('Données projet'!$B$13,Paramètres!$A$1:$I$89,3,0)*VLOOKUP('Données projet'!$B$13,Paramètres!$A$1:$I$89,5,0)</f>
        <v>164.86199999999988</v>
      </c>
      <c r="CV82" s="14">
        <f t="shared" si="95"/>
        <v>41.937235202605173</v>
      </c>
      <c r="CW82" s="22">
        <f t="shared" si="67"/>
        <v>360.17533464453709</v>
      </c>
      <c r="CX82" s="60">
        <f t="shared" si="68"/>
        <v>653.50866797787035</v>
      </c>
      <c r="CY82" s="60">
        <f ca="1">AVERAGE(OFFSET($CX$3,0,0,'Données projet'!$E$13+1,1))-AVERAGE(OFFSET($H$3,0,0,'Données projet'!$E$13+1,1))</f>
        <v>199.36703853638392</v>
      </c>
      <c r="CZ82" s="60">
        <f t="shared" si="96"/>
        <v>145.15653612907363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8">
        <f t="shared" si="56"/>
        <v>380.54705981446097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0">
        <f t="shared" si="55"/>
        <v>845.16612239513029</v>
      </c>
      <c r="S83" s="60">
        <f ca="1">AVERAGE(OFFSET($R$3,0,0,'Données projet'!$E$9+1,1))-AVERAGE(OFFSET($H$3,0,0,'Données projet'!$E$9+1,1))</f>
        <v>314.4389771131751</v>
      </c>
      <c r="T83" s="60">
        <f t="shared" si="88"/>
        <v>176.7239677722049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0">
        <f t="shared" si="59"/>
        <v>910.18020104887296</v>
      </c>
      <c r="AN83" s="60">
        <f ca="1">AVERAGE(OFFSET($AM$3,0,0,'Données projet'!$E$10+1,1))-AVERAGE(OFFSET($H$3,0,0,'Données projet'!$E$10+1,1))</f>
        <v>361.06925636707814</v>
      </c>
      <c r="AO83" s="60">
        <f t="shared" si="90"/>
        <v>201.44775212076888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6.3550942286383367E-14</v>
      </c>
      <c r="BF83" s="14">
        <f t="shared" si="91"/>
        <v>1.0064464192543978E-12</v>
      </c>
      <c r="BG83" s="22">
        <f t="shared" si="61"/>
        <v>1.8635787380168604E-12</v>
      </c>
      <c r="BH83" s="60">
        <f t="shared" si="62"/>
        <v>293.33333333333519</v>
      </c>
      <c r="BI83" s="60">
        <f ca="1">AVERAGE(OFFSET($BH$3,0,0,'Données projet'!$E$11+1,1))-AVERAGE(OFFSET($H$3,0,0,'Données projet'!$E$11+1,1))</f>
        <v>253.63061102077421</v>
      </c>
      <c r="BJ83" s="60">
        <f t="shared" si="92"/>
        <v>230.98056275369652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5.154562275676092</v>
      </c>
      <c r="BR83" s="23">
        <f>EXP(-LN(2)/2)*BR82+(1-EXP(-LN(2)/2))/(LN(2)/2)*BL83*BO83*VLOOKUP('Données projet'!$B$11,Paramètres!$A$1:$I$89,3,0)*0.475*44/12</f>
        <v>2.9388611521715895E-7</v>
      </c>
      <c r="BS83" s="24">
        <f t="shared" si="63"/>
        <v>5.1545625695622075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285</v>
      </c>
      <c r="BW83" s="13">
        <f>VLOOKUP(A83,'Données projet'!$A$113:$I$133,9,0)</f>
        <v>3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284.99999999999983</v>
      </c>
      <c r="BZ83" s="14">
        <f>BY83*VLOOKUP('Données projet'!$B$12,Paramètres!$A$1:$I$89,3,0)*VLOOKUP('Données projet'!$B$12,Paramètres!$A$1:$I$89,5,0)</f>
        <v>208.96199999999985</v>
      </c>
      <c r="CA83" s="14">
        <f t="shared" si="93"/>
        <v>51.708691209356381</v>
      </c>
      <c r="CB83" s="22">
        <f t="shared" si="64"/>
        <v>454.00145385629543</v>
      </c>
      <c r="CC83" s="60">
        <f t="shared" si="65"/>
        <v>747.33478718962874</v>
      </c>
      <c r="CD83" s="60">
        <f ca="1">AVERAGE(OFFSET($CC$3,0,0,'Données projet'!$E$12+1,1))-AVERAGE(OFFSET($H$3,0,0,'Données projet'!$E$12+1,1))</f>
        <v>216.97968518094325</v>
      </c>
      <c r="CE83" s="60">
        <f t="shared" si="94"/>
        <v>248.38190023108666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285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250</v>
      </c>
      <c r="CR83" s="13">
        <f>VLOOKUP(A83,'Données projet'!$A$139:$I$159,9,0)</f>
        <v>4.2307692307692317</v>
      </c>
      <c r="CS83" s="13">
        <f t="array" ref="CS83">INDEX(CR:CR,MIN(IF(ISNUMBER(CR83:CR279),ROW(CR83:CR279),"")))</f>
        <v>4.2307692307692317</v>
      </c>
      <c r="CT83" s="13">
        <f>IF('Données projet'!$A$140&gt;35,CT82+CS83-DB82,IF(A83&lt;'Données projet'!$A$140,$CQ$205^A83,IF(A83='Données projet'!$A$140,'Données projet'!$B$140,CT82+CS83-DB82)))</f>
        <v>249.99999999999983</v>
      </c>
      <c r="CU83" s="18">
        <f>CT83*VLOOKUP('Données projet'!$B$13,Paramètres!$A$1:$I$89,3,0)*VLOOKUP('Données projet'!$B$13,Paramètres!$A$1:$I$89,5,0)</f>
        <v>167.6999999999999</v>
      </c>
      <c r="CV83" s="14">
        <f t="shared" si="95"/>
        <v>42.57449242509739</v>
      </c>
      <c r="CW83" s="22">
        <f t="shared" si="67"/>
        <v>366.22807430704444</v>
      </c>
      <c r="CX83" s="60">
        <f t="shared" si="68"/>
        <v>659.56140764037775</v>
      </c>
      <c r="CY83" s="60">
        <f ca="1">AVERAGE(OFFSET($CX$3,0,0,'Données projet'!$E$13+1,1))-AVERAGE(OFFSET($H$3,0,0,'Données projet'!$E$13+1,1))</f>
        <v>199.36703853638392</v>
      </c>
      <c r="CZ83" s="60">
        <f t="shared" si="96"/>
        <v>145.15653612907363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8">
        <f t="shared" si="56"/>
        <v>381.60768703655714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0">
        <f t="shared" si="55"/>
        <v>775.45409146701161</v>
      </c>
      <c r="S84" s="60">
        <f ca="1">AVERAGE(OFFSET($R$3,0,0,'Données projet'!$E$9+1,1))-AVERAGE(OFFSET($H$3,0,0,'Données projet'!$E$9+1,1))</f>
        <v>314.4389771131751</v>
      </c>
      <c r="T84" s="60">
        <f t="shared" si="88"/>
        <v>176.7239677722049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0">
        <f t="shared" si="59"/>
        <v>832.2370162281502</v>
      </c>
      <c r="AN84" s="60">
        <f ca="1">AVERAGE(OFFSET($AM$3,0,0,'Données projet'!$E$10+1,1))-AVERAGE(OFFSET($H$3,0,0,'Données projet'!$E$10+1,1))</f>
        <v>361.06925636707814</v>
      </c>
      <c r="AO84" s="60">
        <f t="shared" si="90"/>
        <v>201.44775212076888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6.3550942286383367E-14</v>
      </c>
      <c r="BF84" s="14">
        <f t="shared" si="91"/>
        <v>1.0064464192543978E-12</v>
      </c>
      <c r="BG84" s="22">
        <f t="shared" si="61"/>
        <v>1.8635787380168604E-12</v>
      </c>
      <c r="BH84" s="60">
        <f t="shared" si="62"/>
        <v>293.33333333333519</v>
      </c>
      <c r="BI84" s="60">
        <f ca="1">AVERAGE(OFFSET($BH$3,0,0,'Données projet'!$E$11+1,1))-AVERAGE(OFFSET($H$3,0,0,'Données projet'!$E$11+1,1))</f>
        <v>253.63061102077421</v>
      </c>
      <c r="BJ84" s="60">
        <f t="shared" si="92"/>
        <v>230.98056275369652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5.0136104991810804</v>
      </c>
      <c r="BR84" s="23">
        <f>EXP(-LN(2)/2)*BR83+(1-EXP(-LN(2)/2))/(LN(2)/2)*BL84*BO84*VLOOKUP('Données projet'!$B$11,Paramètres!$A$1:$I$89,3,0)*0.475*44/12</f>
        <v>2.0780886496662411E-7</v>
      </c>
      <c r="BS84" s="24">
        <f t="shared" si="63"/>
        <v>5.0136107069899456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-1.7053025658242404E-13</v>
      </c>
      <c r="BZ84" s="14">
        <f>BY84*VLOOKUP('Données projet'!$B$12,Paramètres!$A$1:$I$89,3,0)*VLOOKUP('Données projet'!$B$12,Paramètres!$A$1:$I$89,5,0)</f>
        <v>-1.250327841262333E-13</v>
      </c>
      <c r="CA84" s="14" t="e">
        <f t="shared" si="93"/>
        <v>#NUM!</v>
      </c>
      <c r="CB84" s="22" t="e">
        <f t="shared" si="64"/>
        <v>#NUM!</v>
      </c>
      <c r="CC84" s="60" t="e">
        <f t="shared" si="65"/>
        <v>#NUM!</v>
      </c>
      <c r="CD84" s="60">
        <f ca="1">AVERAGE(OFFSET($CC$3,0,0,'Données projet'!$E$12+1,1))-AVERAGE(OFFSET($H$3,0,0,'Données projet'!$E$12+1,1))</f>
        <v>216.97968518094325</v>
      </c>
      <c r="CE84" s="60">
        <f t="shared" si="94"/>
        <v>248.38190023108666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3.8461538461538454</v>
      </c>
      <c r="CT84" s="13">
        <f>IF('Données projet'!$A$140&gt;35,CT83+CS84-DB83,IF(A84&lt;'Données projet'!$A$140,$CQ$205^A84,IF(A84='Données projet'!$A$140,'Données projet'!$B$140,CT83+CS84-DB83)))</f>
        <v>253.84615384615367</v>
      </c>
      <c r="CU84" s="18">
        <f>CT84*VLOOKUP('Données projet'!$B$13,Paramètres!$A$1:$I$89,3,0)*VLOOKUP('Données projet'!$B$13,Paramètres!$A$1:$I$89,5,0)</f>
        <v>170.27999999999989</v>
      </c>
      <c r="CV84" s="14">
        <f t="shared" si="95"/>
        <v>43.152728263239666</v>
      </c>
      <c r="CW84" s="22">
        <f t="shared" si="67"/>
        <v>371.72866839180887</v>
      </c>
      <c r="CX84" s="60">
        <f t="shared" si="68"/>
        <v>665.06200172514218</v>
      </c>
      <c r="CY84" s="60">
        <f ca="1">AVERAGE(OFFSET($CX$3,0,0,'Données projet'!$E$13+1,1))-AVERAGE(OFFSET($H$3,0,0,'Données projet'!$E$13+1,1))</f>
        <v>199.36703853638392</v>
      </c>
      <c r="CZ84" s="60">
        <f t="shared" si="96"/>
        <v>145.15653612907363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8">
        <f t="shared" si="56"/>
        <v>382.66799418528461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0">
        <f t="shared" si="55"/>
        <v>786.19217745579931</v>
      </c>
      <c r="S85" s="60">
        <f ca="1">AVERAGE(OFFSET($R$3,0,0,'Données projet'!$E$9+1,1))-AVERAGE(OFFSET($H$3,0,0,'Données projet'!$E$9+1,1))</f>
        <v>314.4389771131751</v>
      </c>
      <c r="T85" s="60">
        <f t="shared" si="88"/>
        <v>176.7239677722049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0">
        <f t="shared" si="59"/>
        <v>844.24282734876306</v>
      </c>
      <c r="AN85" s="60">
        <f ca="1">AVERAGE(OFFSET($AM$3,0,0,'Données projet'!$E$10+1,1))-AVERAGE(OFFSET($H$3,0,0,'Données projet'!$E$10+1,1))</f>
        <v>361.06925636707814</v>
      </c>
      <c r="AO85" s="60">
        <f t="shared" si="90"/>
        <v>201.44775212076888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6.3550942286383367E-14</v>
      </c>
      <c r="BF85" s="14">
        <f t="shared" si="91"/>
        <v>1.0064464192543978E-12</v>
      </c>
      <c r="BG85" s="22">
        <f t="shared" si="61"/>
        <v>1.8635787380168604E-12</v>
      </c>
      <c r="BH85" s="60">
        <f t="shared" si="62"/>
        <v>293.33333333333519</v>
      </c>
      <c r="BI85" s="60">
        <f ca="1">AVERAGE(OFFSET($BH$3,0,0,'Données projet'!$E$11+1,1))-AVERAGE(OFFSET($H$3,0,0,'Données projet'!$E$11+1,1))</f>
        <v>253.63061102077421</v>
      </c>
      <c r="BJ85" s="60">
        <f t="shared" si="92"/>
        <v>230.98056275369652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4.8765130564266563</v>
      </c>
      <c r="BR85" s="23">
        <f>EXP(-LN(2)/2)*BR84+(1-EXP(-LN(2)/2))/(LN(2)/2)*BL85*BO85*VLOOKUP('Données projet'!$B$11,Paramètres!$A$1:$I$89,3,0)*0.475*44/12</f>
        <v>1.4694305760857948E-7</v>
      </c>
      <c r="BS85" s="24">
        <f t="shared" si="63"/>
        <v>4.8765132033697141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-1.7053025658242404E-13</v>
      </c>
      <c r="BZ85" s="14">
        <f>BY85*VLOOKUP('Données projet'!$B$12,Paramètres!$A$1:$I$89,3,0)*VLOOKUP('Données projet'!$B$12,Paramètres!$A$1:$I$89,5,0)</f>
        <v>-1.250327841262333E-13</v>
      </c>
      <c r="CA85" s="14" t="e">
        <f t="shared" si="93"/>
        <v>#NUM!</v>
      </c>
      <c r="CB85" s="22" t="e">
        <f t="shared" si="64"/>
        <v>#NUM!</v>
      </c>
      <c r="CC85" s="60" t="e">
        <f t="shared" si="65"/>
        <v>#NUM!</v>
      </c>
      <c r="CD85" s="60">
        <f ca="1">AVERAGE(OFFSET($CC$3,0,0,'Données projet'!$E$12+1,1))-AVERAGE(OFFSET($H$3,0,0,'Données projet'!$E$12+1,1))</f>
        <v>216.97968518094325</v>
      </c>
      <c r="CE85" s="60">
        <f t="shared" si="94"/>
        <v>248.38190023108666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3.8461538461538454</v>
      </c>
      <c r="CT85" s="13">
        <f>IF('Données projet'!$A$140&gt;35,CT84+CS85-DB84,IF(A85&lt;'Données projet'!$A$140,$CQ$205^A85,IF(A85='Données projet'!$A$140,'Données projet'!$B$140,CT84+CS85-DB84)))</f>
        <v>257.69230769230751</v>
      </c>
      <c r="CU85" s="18">
        <f>CT85*VLOOKUP('Données projet'!$B$13,Paramètres!$A$1:$I$89,3,0)*VLOOKUP('Données projet'!$B$13,Paramètres!$A$1:$I$89,5,0)</f>
        <v>172.85999999999987</v>
      </c>
      <c r="CV85" s="14">
        <f t="shared" si="95"/>
        <v>43.729945161157801</v>
      </c>
      <c r="CW85" s="22">
        <f t="shared" si="67"/>
        <v>377.22748782234959</v>
      </c>
      <c r="CX85" s="60">
        <f t="shared" si="68"/>
        <v>670.5608211556829</v>
      </c>
      <c r="CY85" s="60">
        <f ca="1">AVERAGE(OFFSET($CX$3,0,0,'Données projet'!$E$13+1,1))-AVERAGE(OFFSET($H$3,0,0,'Données projet'!$E$13+1,1))</f>
        <v>199.36703853638392</v>
      </c>
      <c r="CZ85" s="60">
        <f t="shared" si="96"/>
        <v>145.15653612907363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8">
        <f t="shared" si="56"/>
        <v>383.7279856154509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0">
        <f t="shared" si="55"/>
        <v>796.92530469359974</v>
      </c>
      <c r="S86" s="60">
        <f ca="1">AVERAGE(OFFSET($R$3,0,0,'Données projet'!$E$9+1,1))-AVERAGE(OFFSET($H$3,0,0,'Données projet'!$E$9+1,1))</f>
        <v>314.4389771131751</v>
      </c>
      <c r="T86" s="60">
        <f t="shared" si="88"/>
        <v>176.7239677722049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0">
        <f t="shared" si="59"/>
        <v>856.24315446785226</v>
      </c>
      <c r="AN86" s="60">
        <f ca="1">AVERAGE(OFFSET($AM$3,0,0,'Données projet'!$E$10+1,1))-AVERAGE(OFFSET($H$3,0,0,'Données projet'!$E$10+1,1))</f>
        <v>361.06925636707814</v>
      </c>
      <c r="AO86" s="60">
        <f t="shared" si="90"/>
        <v>201.44775212076888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6.3550942286383367E-14</v>
      </c>
      <c r="BF86" s="14">
        <f t="shared" si="91"/>
        <v>1.0064464192543978E-12</v>
      </c>
      <c r="BG86" s="22">
        <f t="shared" si="61"/>
        <v>1.8635787380168604E-12</v>
      </c>
      <c r="BH86" s="60">
        <f t="shared" si="62"/>
        <v>293.33333333333519</v>
      </c>
      <c r="BI86" s="60">
        <f ca="1">AVERAGE(OFFSET($BH$3,0,0,'Données projet'!$E$11+1,1))-AVERAGE(OFFSET($H$3,0,0,'Données projet'!$E$11+1,1))</f>
        <v>253.63061102077421</v>
      </c>
      <c r="BJ86" s="60">
        <f t="shared" si="92"/>
        <v>230.98056275369652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4.7431645504539928</v>
      </c>
      <c r="BR86" s="23">
        <f>EXP(-LN(2)/2)*BR85+(1-EXP(-LN(2)/2))/(LN(2)/2)*BL86*BO86*VLOOKUP('Données projet'!$B$11,Paramètres!$A$1:$I$89,3,0)*0.475*44/12</f>
        <v>1.0390443248331206E-7</v>
      </c>
      <c r="BS86" s="24">
        <f t="shared" si="63"/>
        <v>4.7431646543584254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-1.7053025658242404E-13</v>
      </c>
      <c r="BZ86" s="14">
        <f>BY86*VLOOKUP('Données projet'!$B$12,Paramètres!$A$1:$I$89,3,0)*VLOOKUP('Données projet'!$B$12,Paramètres!$A$1:$I$89,5,0)</f>
        <v>-1.250327841262333E-13</v>
      </c>
      <c r="CA86" s="14" t="e">
        <f t="shared" si="93"/>
        <v>#NUM!</v>
      </c>
      <c r="CB86" s="22" t="e">
        <f t="shared" si="64"/>
        <v>#NUM!</v>
      </c>
      <c r="CC86" s="60" t="e">
        <f t="shared" si="65"/>
        <v>#NUM!</v>
      </c>
      <c r="CD86" s="60">
        <f ca="1">AVERAGE(OFFSET($CC$3,0,0,'Données projet'!$E$12+1,1))-AVERAGE(OFFSET($H$3,0,0,'Données projet'!$E$12+1,1))</f>
        <v>216.97968518094325</v>
      </c>
      <c r="CE86" s="60">
        <f t="shared" si="94"/>
        <v>248.38190023108666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3.8461538461538454</v>
      </c>
      <c r="CT86" s="13">
        <f>IF('Données projet'!$A$140&gt;35,CT85+CS86-DB85,IF(A86&lt;'Données projet'!$A$140,$CQ$205^A86,IF(A86='Données projet'!$A$140,'Données projet'!$B$140,CT85+CS86-DB85)))</f>
        <v>261.53846153846138</v>
      </c>
      <c r="CU86" s="18">
        <f>CT86*VLOOKUP('Données projet'!$B$13,Paramètres!$A$1:$I$89,3,0)*VLOOKUP('Données projet'!$B$13,Paramètres!$A$1:$I$89,5,0)</f>
        <v>175.43999999999991</v>
      </c>
      <c r="CV86" s="14">
        <f t="shared" si="95"/>
        <v>44.306160083661858</v>
      </c>
      <c r="CW86" s="22">
        <f t="shared" si="67"/>
        <v>382.72456214571093</v>
      </c>
      <c r="CX86" s="60">
        <f t="shared" si="68"/>
        <v>676.05789547904419</v>
      </c>
      <c r="CY86" s="60">
        <f ca="1">AVERAGE(OFFSET($CX$3,0,0,'Données projet'!$E$13+1,1))-AVERAGE(OFFSET($H$3,0,0,'Données projet'!$E$13+1,1))</f>
        <v>199.36703853638392</v>
      </c>
      <c r="CZ86" s="60">
        <f t="shared" si="96"/>
        <v>145.15653612907363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8">
        <f t="shared" si="56"/>
        <v>384.78766557089091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0">
        <f t="shared" si="55"/>
        <v>807.65359376827541</v>
      </c>
      <c r="S87" s="60">
        <f ca="1">AVERAGE(OFFSET($R$3,0,0,'Données projet'!$E$9+1,1))-AVERAGE(OFFSET($H$3,0,0,'Données projet'!$E$9+1,1))</f>
        <v>314.4389771131751</v>
      </c>
      <c r="T87" s="60">
        <f t="shared" si="88"/>
        <v>176.7239677722049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0">
        <f t="shared" si="59"/>
        <v>868.23813094642423</v>
      </c>
      <c r="AN87" s="60">
        <f ca="1">AVERAGE(OFFSET($AM$3,0,0,'Données projet'!$E$10+1,1))-AVERAGE(OFFSET($H$3,0,0,'Données projet'!$E$10+1,1))</f>
        <v>361.06925636707814</v>
      </c>
      <c r="AO87" s="60">
        <f t="shared" si="90"/>
        <v>201.44775212076888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6.3550942286383367E-14</v>
      </c>
      <c r="BF87" s="14">
        <f t="shared" si="91"/>
        <v>1.0064464192543978E-12</v>
      </c>
      <c r="BG87" s="22">
        <f t="shared" si="61"/>
        <v>1.8635787380168604E-12</v>
      </c>
      <c r="BH87" s="60">
        <f t="shared" si="62"/>
        <v>293.33333333333519</v>
      </c>
      <c r="BI87" s="60">
        <f ca="1">AVERAGE(OFFSET($BH$3,0,0,'Données projet'!$E$11+1,1))-AVERAGE(OFFSET($H$3,0,0,'Données projet'!$E$11+1,1))</f>
        <v>253.63061102077421</v>
      </c>
      <c r="BJ87" s="60">
        <f t="shared" si="92"/>
        <v>230.98056275369652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4.6134624663896453</v>
      </c>
      <c r="BR87" s="23">
        <f>EXP(-LN(2)/2)*BR86+(1-EXP(-LN(2)/2))/(LN(2)/2)*BL87*BO87*VLOOKUP('Données projet'!$B$11,Paramètres!$A$1:$I$89,3,0)*0.475*44/12</f>
        <v>7.3471528804289739E-8</v>
      </c>
      <c r="BS87" s="24">
        <f t="shared" si="63"/>
        <v>4.6134625398611737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-1.7053025658242404E-13</v>
      </c>
      <c r="BZ87" s="14">
        <f>BY87*VLOOKUP('Données projet'!$B$12,Paramètres!$A$1:$I$89,3,0)*VLOOKUP('Données projet'!$B$12,Paramètres!$A$1:$I$89,5,0)</f>
        <v>-1.250327841262333E-13</v>
      </c>
      <c r="CA87" s="14" t="e">
        <f t="shared" si="93"/>
        <v>#NUM!</v>
      </c>
      <c r="CB87" s="22" t="e">
        <f t="shared" si="64"/>
        <v>#NUM!</v>
      </c>
      <c r="CC87" s="60" t="e">
        <f t="shared" si="65"/>
        <v>#NUM!</v>
      </c>
      <c r="CD87" s="60">
        <f ca="1">AVERAGE(OFFSET($CC$3,0,0,'Données projet'!$E$12+1,1))-AVERAGE(OFFSET($H$3,0,0,'Données projet'!$E$12+1,1))</f>
        <v>216.97968518094325</v>
      </c>
      <c r="CE87" s="60">
        <f t="shared" si="94"/>
        <v>248.38190023108666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3.8461538461538454</v>
      </c>
      <c r="CT87" s="13">
        <f>IF('Données projet'!$A$140&gt;35,CT86+CS87-DB86,IF(A87&lt;'Données projet'!$A$140,$CQ$205^A87,IF(A87='Données projet'!$A$140,'Données projet'!$B$140,CT86+CS87-DB86)))</f>
        <v>265.38461538461524</v>
      </c>
      <c r="CU87" s="18">
        <f>CT87*VLOOKUP('Données projet'!$B$13,Paramètres!$A$1:$I$89,3,0)*VLOOKUP('Données projet'!$B$13,Paramètres!$A$1:$I$89,5,0)</f>
        <v>178.01999999999992</v>
      </c>
      <c r="CV87" s="14">
        <f t="shared" si="95"/>
        <v>44.881389467952083</v>
      </c>
      <c r="CW87" s="22">
        <f t="shared" si="67"/>
        <v>388.21991999001642</v>
      </c>
      <c r="CX87" s="60">
        <f t="shared" si="68"/>
        <v>681.55325332334974</v>
      </c>
      <c r="CY87" s="60">
        <f ca="1">AVERAGE(OFFSET($CX$3,0,0,'Données projet'!$E$13+1,1))-AVERAGE(OFFSET($H$3,0,0,'Données projet'!$E$13+1,1))</f>
        <v>199.36703853638392</v>
      </c>
      <c r="CZ87" s="60">
        <f t="shared" si="96"/>
        <v>145.15653612907363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8">
        <f t="shared" si="56"/>
        <v>385.84703818858173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0">
        <f t="shared" si="55"/>
        <v>818.37715982660688</v>
      </c>
      <c r="S88" s="60">
        <f ca="1">AVERAGE(OFFSET($R$3,0,0,'Données projet'!$E$9+1,1))-AVERAGE(OFFSET($H$3,0,0,'Données projet'!$E$9+1,1))</f>
        <v>314.4389771131751</v>
      </c>
      <c r="T88" s="60">
        <f t="shared" si="88"/>
        <v>176.7239677722049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0">
        <f t="shared" si="59"/>
        <v>880.22788412806244</v>
      </c>
      <c r="AN88" s="60">
        <f ca="1">AVERAGE(OFFSET($AM$3,0,0,'Données projet'!$E$10+1,1))-AVERAGE(OFFSET($H$3,0,0,'Données projet'!$E$10+1,1))</f>
        <v>361.06925636707814</v>
      </c>
      <c r="AO88" s="60">
        <f t="shared" si="90"/>
        <v>201.44775212076888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6.3550942286383367E-14</v>
      </c>
      <c r="BF88" s="14">
        <f t="shared" si="91"/>
        <v>1.0064464192543978E-12</v>
      </c>
      <c r="BG88" s="22">
        <f t="shared" si="61"/>
        <v>1.8635787380168604E-12</v>
      </c>
      <c r="BH88" s="60">
        <f t="shared" si="62"/>
        <v>293.33333333333519</v>
      </c>
      <c r="BI88" s="60">
        <f ca="1">AVERAGE(OFFSET($BH$3,0,0,'Données projet'!$E$11+1,1))-AVERAGE(OFFSET($H$3,0,0,'Données projet'!$E$11+1,1))</f>
        <v>253.63061102077421</v>
      </c>
      <c r="BJ88" s="60">
        <f t="shared" si="92"/>
        <v>230.98056275369652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4.4873070926347731</v>
      </c>
      <c r="BR88" s="23">
        <f>EXP(-LN(2)/2)*BR87+(1-EXP(-LN(2)/2))/(LN(2)/2)*BL88*BO88*VLOOKUP('Données projet'!$B$11,Paramètres!$A$1:$I$89,3,0)*0.475*44/12</f>
        <v>5.1952216241656029E-8</v>
      </c>
      <c r="BS88" s="24">
        <f t="shared" si="63"/>
        <v>4.487307144586989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-1.7053025658242404E-13</v>
      </c>
      <c r="BZ88" s="14">
        <f>BY88*VLOOKUP('Données projet'!$B$12,Paramètres!$A$1:$I$89,3,0)*VLOOKUP('Données projet'!$B$12,Paramètres!$A$1:$I$89,5,0)</f>
        <v>-1.250327841262333E-13</v>
      </c>
      <c r="CA88" s="14" t="e">
        <f t="shared" si="93"/>
        <v>#NUM!</v>
      </c>
      <c r="CB88" s="22" t="e">
        <f t="shared" si="64"/>
        <v>#NUM!</v>
      </c>
      <c r="CC88" s="60" t="e">
        <f t="shared" si="65"/>
        <v>#NUM!</v>
      </c>
      <c r="CD88" s="60">
        <f ca="1">AVERAGE(OFFSET($CC$3,0,0,'Données projet'!$E$12+1,1))-AVERAGE(OFFSET($H$3,0,0,'Données projet'!$E$12+1,1))</f>
        <v>216.97968518094325</v>
      </c>
      <c r="CE88" s="60">
        <f t="shared" si="94"/>
        <v>248.38190023108666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269.23076923076923</v>
      </c>
      <c r="CR88" s="13">
        <f>VLOOKUP(A88,'Données projet'!$A$139:$I$159,9,0)</f>
        <v>3.8461538461538454</v>
      </c>
      <c r="CS88" s="13">
        <f t="array" ref="CS88">INDEX(CR:CR,MIN(IF(ISNUMBER(CR88:CR284),ROW(CR88:CR284),"")))</f>
        <v>3.8461538461538454</v>
      </c>
      <c r="CT88" s="13">
        <f>IF('Données projet'!$A$140&gt;35,CT87+CS88-DB87,IF(A88&lt;'Données projet'!$A$140,$CQ$205^A88,IF(A88='Données projet'!$A$140,'Données projet'!$B$140,CT87+CS88-DB87)))</f>
        <v>269.23076923076911</v>
      </c>
      <c r="CU88" s="18">
        <f>CT88*VLOOKUP('Données projet'!$B$13,Paramètres!$A$1:$I$89,3,0)*VLOOKUP('Données projet'!$B$13,Paramètres!$A$1:$I$89,5,0)</f>
        <v>180.59999999999994</v>
      </c>
      <c r="CV88" s="14">
        <f t="shared" si="95"/>
        <v>45.455649247431545</v>
      </c>
      <c r="CW88" s="22">
        <f t="shared" si="67"/>
        <v>393.71358910594313</v>
      </c>
      <c r="CX88" s="60">
        <f t="shared" si="68"/>
        <v>687.04692243927639</v>
      </c>
      <c r="CY88" s="60">
        <f ca="1">AVERAGE(OFFSET($CX$3,0,0,'Données projet'!$E$13+1,1))-AVERAGE(OFFSET($H$3,0,0,'Données projet'!$E$13+1,1))</f>
        <v>199.36703853638392</v>
      </c>
      <c r="CZ88" s="60">
        <f t="shared" si="96"/>
        <v>145.15653612907363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23.717948717948715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8">
        <f t="shared" si="56"/>
        <v>386.90610750255792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0">
        <f t="shared" si="55"/>
        <v>829.09611292828231</v>
      </c>
      <c r="S89" s="60">
        <f ca="1">AVERAGE(OFFSET($R$3,0,0,'Données projet'!$E$9+1,1))-AVERAGE(OFFSET($H$3,0,0,'Données projet'!$E$9+1,1))</f>
        <v>314.4389771131751</v>
      </c>
      <c r="T89" s="60">
        <f t="shared" si="88"/>
        <v>176.7239677722049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0">
        <f t="shared" si="59"/>
        <v>892.21253573041304</v>
      </c>
      <c r="AN89" s="60">
        <f ca="1">AVERAGE(OFFSET($AM$3,0,0,'Données projet'!$E$10+1,1))-AVERAGE(OFFSET($H$3,0,0,'Données projet'!$E$10+1,1))</f>
        <v>361.06925636707814</v>
      </c>
      <c r="AO89" s="60">
        <f t="shared" si="90"/>
        <v>201.44775212076888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6.3550942286383367E-14</v>
      </c>
      <c r="BF89" s="14">
        <f t="shared" si="91"/>
        <v>1.0064464192543978E-12</v>
      </c>
      <c r="BG89" s="22">
        <f t="shared" si="61"/>
        <v>1.8635787380168604E-12</v>
      </c>
      <c r="BH89" s="60">
        <f t="shared" si="62"/>
        <v>293.33333333333519</v>
      </c>
      <c r="BI89" s="60">
        <f ca="1">AVERAGE(OFFSET($BH$3,0,0,'Données projet'!$E$11+1,1))-AVERAGE(OFFSET($H$3,0,0,'Données projet'!$E$11+1,1))</f>
        <v>253.63061102077421</v>
      </c>
      <c r="BJ89" s="60">
        <f t="shared" si="92"/>
        <v>230.98056275369652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4.364601444209451</v>
      </c>
      <c r="BR89" s="23">
        <f>EXP(-LN(2)/2)*BR88+(1-EXP(-LN(2)/2))/(LN(2)/2)*BL89*BO89*VLOOKUP('Données projet'!$B$11,Paramètres!$A$1:$I$89,3,0)*0.475*44/12</f>
        <v>3.6735764402144869E-8</v>
      </c>
      <c r="BS89" s="24">
        <f t="shared" si="63"/>
        <v>4.3646014809452156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-1.7053025658242404E-13</v>
      </c>
      <c r="BZ89" s="14">
        <f>BY89*VLOOKUP('Données projet'!$B$12,Paramètres!$A$1:$I$89,3,0)*VLOOKUP('Données projet'!$B$12,Paramètres!$A$1:$I$89,5,0)</f>
        <v>-1.250327841262333E-13</v>
      </c>
      <c r="CA89" s="14" t="e">
        <f t="shared" si="93"/>
        <v>#NUM!</v>
      </c>
      <c r="CB89" s="22" t="e">
        <f t="shared" si="64"/>
        <v>#NUM!</v>
      </c>
      <c r="CC89" s="60" t="e">
        <f t="shared" si="65"/>
        <v>#NUM!</v>
      </c>
      <c r="CD89" s="60">
        <f ca="1">AVERAGE(OFFSET($CC$3,0,0,'Données projet'!$E$12+1,1))-AVERAGE(OFFSET($H$3,0,0,'Données projet'!$E$12+1,1))</f>
        <v>216.97968518094325</v>
      </c>
      <c r="CE89" s="60">
        <f t="shared" si="94"/>
        <v>248.38190023108666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3.5897435897435912</v>
      </c>
      <c r="CT89" s="13">
        <f>IF('Données projet'!$A$140&gt;35,CT88+CS89-DB88,IF(A89&lt;'Données projet'!$A$140,$CQ$205^A89,IF(A89='Données projet'!$A$140,'Données projet'!$B$140,CT88+CS89-DB88)))</f>
        <v>249.10256410256397</v>
      </c>
      <c r="CU89" s="18">
        <f>CT89*VLOOKUP('Données projet'!$B$13,Paramètres!$A$1:$I$89,3,0)*VLOOKUP('Données projet'!$B$13,Paramètres!$A$1:$I$89,5,0)</f>
        <v>167.09799999999993</v>
      </c>
      <c r="CV89" s="14">
        <f t="shared" si="95"/>
        <v>42.439422250604494</v>
      </c>
      <c r="CW89" s="22">
        <f t="shared" si="67"/>
        <v>364.94434375313602</v>
      </c>
      <c r="CX89" s="60">
        <f t="shared" si="68"/>
        <v>658.27767708646934</v>
      </c>
      <c r="CY89" s="60">
        <f ca="1">AVERAGE(OFFSET($CX$3,0,0,'Données projet'!$E$13+1,1))-AVERAGE(OFFSET($H$3,0,0,'Données projet'!$E$13+1,1))</f>
        <v>199.36703853638392</v>
      </c>
      <c r="CZ89" s="60">
        <f t="shared" si="96"/>
        <v>145.15653612907363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8">
        <f t="shared" si="56"/>
        <v>387.96487744763988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0">
        <f t="shared" si="55"/>
        <v>839.81055837008694</v>
      </c>
      <c r="S90" s="60">
        <f ca="1">AVERAGE(OFFSET($R$3,0,0,'Données projet'!$E$9+1,1))-AVERAGE(OFFSET($H$3,0,0,'Données projet'!$E$9+1,1))</f>
        <v>314.4389771131751</v>
      </c>
      <c r="T90" s="60">
        <f t="shared" si="88"/>
        <v>176.7239677722049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0">
        <f t="shared" si="59"/>
        <v>904.19220220371358</v>
      </c>
      <c r="AN90" s="60">
        <f ca="1">AVERAGE(OFFSET($AM$3,0,0,'Données projet'!$E$10+1,1))-AVERAGE(OFFSET($H$3,0,0,'Données projet'!$E$10+1,1))</f>
        <v>361.06925636707814</v>
      </c>
      <c r="AO90" s="60">
        <f t="shared" si="90"/>
        <v>201.44775212076888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6.3550942286383367E-14</v>
      </c>
      <c r="BF90" s="14">
        <f t="shared" si="91"/>
        <v>1.0064464192543978E-12</v>
      </c>
      <c r="BG90" s="22">
        <f t="shared" si="61"/>
        <v>1.8635787380168604E-12</v>
      </c>
      <c r="BH90" s="60">
        <f t="shared" si="62"/>
        <v>293.33333333333519</v>
      </c>
      <c r="BI90" s="60">
        <f ca="1">AVERAGE(OFFSET($BH$3,0,0,'Données projet'!$E$11+1,1))-AVERAGE(OFFSET($H$3,0,0,'Données projet'!$E$11+1,1))</f>
        <v>253.63061102077421</v>
      </c>
      <c r="BJ90" s="60">
        <f t="shared" si="92"/>
        <v>230.98056275369652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4.2452511881931292</v>
      </c>
      <c r="BR90" s="23">
        <f>EXP(-LN(2)/2)*BR89+(1-EXP(-LN(2)/2))/(LN(2)/2)*BL90*BO90*VLOOKUP('Données projet'!$B$11,Paramètres!$A$1:$I$89,3,0)*0.475*44/12</f>
        <v>2.5976108120828014E-8</v>
      </c>
      <c r="BS90" s="24">
        <f t="shared" si="63"/>
        <v>4.2452512141692376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-1.7053025658242404E-13</v>
      </c>
      <c r="BZ90" s="14">
        <f>BY90*VLOOKUP('Données projet'!$B$12,Paramètres!$A$1:$I$89,3,0)*VLOOKUP('Données projet'!$B$12,Paramètres!$A$1:$I$89,5,0)</f>
        <v>-1.250327841262333E-13</v>
      </c>
      <c r="CA90" s="14" t="e">
        <f t="shared" si="93"/>
        <v>#NUM!</v>
      </c>
      <c r="CB90" s="22" t="e">
        <f t="shared" si="64"/>
        <v>#NUM!</v>
      </c>
      <c r="CC90" s="60" t="e">
        <f t="shared" si="65"/>
        <v>#NUM!</v>
      </c>
      <c r="CD90" s="60">
        <f ca="1">AVERAGE(OFFSET($CC$3,0,0,'Données projet'!$E$12+1,1))-AVERAGE(OFFSET($H$3,0,0,'Données projet'!$E$12+1,1))</f>
        <v>216.97968518094325</v>
      </c>
      <c r="CE90" s="60">
        <f t="shared" si="94"/>
        <v>248.38190023108666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3.5897435897435912</v>
      </c>
      <c r="CT90" s="13">
        <f>IF('Données projet'!$A$140&gt;35,CT89+CS90-DB89,IF(A90&lt;'Données projet'!$A$140,$CQ$205^A90,IF(A90='Données projet'!$A$140,'Données projet'!$B$140,CT89+CS90-DB89)))</f>
        <v>252.69230769230757</v>
      </c>
      <c r="CU90" s="18">
        <f>CT90*VLOOKUP('Données projet'!$B$13,Paramètres!$A$1:$I$89,3,0)*VLOOKUP('Données projet'!$B$13,Paramètres!$A$1:$I$89,5,0)</f>
        <v>169.50599999999991</v>
      </c>
      <c r="CV90" s="14">
        <f t="shared" si="95"/>
        <v>42.979365286652502</v>
      </c>
      <c r="CW90" s="22">
        <f t="shared" si="67"/>
        <v>370.07867787425289</v>
      </c>
      <c r="CX90" s="60">
        <f t="shared" si="68"/>
        <v>663.41201120758615</v>
      </c>
      <c r="CY90" s="60">
        <f ca="1">AVERAGE(OFFSET($CX$3,0,0,'Données projet'!$E$13+1,1))-AVERAGE(OFFSET($H$3,0,0,'Données projet'!$E$13+1,1))</f>
        <v>199.36703853638392</v>
      </c>
      <c r="CZ90" s="60">
        <f t="shared" si="96"/>
        <v>145.15653612907363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8">
        <f t="shared" si="56"/>
        <v>389.02335186298552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0">
        <f t="shared" si="55"/>
        <v>850.52059698334892</v>
      </c>
      <c r="S91" s="60">
        <f ca="1">AVERAGE(OFFSET($R$3,0,0,'Données projet'!$E$9+1,1))-AVERAGE(OFFSET($H$3,0,0,'Données projet'!$E$9+1,1))</f>
        <v>314.4389771131751</v>
      </c>
      <c r="T91" s="60">
        <f t="shared" si="88"/>
        <v>176.7239677722049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0">
        <f t="shared" si="59"/>
        <v>916.16699505974566</v>
      </c>
      <c r="AN91" s="60">
        <f ca="1">AVERAGE(OFFSET($AM$3,0,0,'Données projet'!$E$10+1,1))-AVERAGE(OFFSET($H$3,0,0,'Données projet'!$E$10+1,1))</f>
        <v>361.06925636707814</v>
      </c>
      <c r="AO91" s="60">
        <f t="shared" si="90"/>
        <v>201.44775212076888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6.3550942286383367E-14</v>
      </c>
      <c r="BF91" s="14">
        <f t="shared" si="91"/>
        <v>1.0064464192543978E-12</v>
      </c>
      <c r="BG91" s="22">
        <f t="shared" si="61"/>
        <v>1.8635787380168604E-12</v>
      </c>
      <c r="BH91" s="60">
        <f t="shared" si="62"/>
        <v>293.33333333333519</v>
      </c>
      <c r="BI91" s="60">
        <f ca="1">AVERAGE(OFFSET($BH$3,0,0,'Données projet'!$E$11+1,1))-AVERAGE(OFFSET($H$3,0,0,'Données projet'!$E$11+1,1))</f>
        <v>253.63061102077421</v>
      </c>
      <c r="BJ91" s="60">
        <f t="shared" si="92"/>
        <v>230.98056275369652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4.1291645712039307</v>
      </c>
      <c r="BR91" s="23">
        <f>EXP(-LN(2)/2)*BR90+(1-EXP(-LN(2)/2))/(LN(2)/2)*BL91*BO91*VLOOKUP('Données projet'!$B$11,Paramètres!$A$1:$I$89,3,0)*0.475*44/12</f>
        <v>1.8367882201072435E-8</v>
      </c>
      <c r="BS91" s="24">
        <f t="shared" si="63"/>
        <v>4.129164589571813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-1.7053025658242404E-13</v>
      </c>
      <c r="BZ91" s="14">
        <f>BY91*VLOOKUP('Données projet'!$B$12,Paramètres!$A$1:$I$89,3,0)*VLOOKUP('Données projet'!$B$12,Paramètres!$A$1:$I$89,5,0)</f>
        <v>-1.250327841262333E-13</v>
      </c>
      <c r="CA91" s="14" t="e">
        <f t="shared" si="93"/>
        <v>#NUM!</v>
      </c>
      <c r="CB91" s="22" t="e">
        <f t="shared" si="64"/>
        <v>#NUM!</v>
      </c>
      <c r="CC91" s="60" t="e">
        <f t="shared" si="65"/>
        <v>#NUM!</v>
      </c>
      <c r="CD91" s="60">
        <f ca="1">AVERAGE(OFFSET($CC$3,0,0,'Données projet'!$E$12+1,1))-AVERAGE(OFFSET($H$3,0,0,'Données projet'!$E$12+1,1))</f>
        <v>216.97968518094325</v>
      </c>
      <c r="CE91" s="60">
        <f t="shared" si="94"/>
        <v>248.38190023108666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3.5897435897435912</v>
      </c>
      <c r="CT91" s="13">
        <f>IF('Données projet'!$A$140&gt;35,CT90+CS91-DB90,IF(A91&lt;'Données projet'!$A$140,$CQ$205^A91,IF(A91='Données projet'!$A$140,'Données projet'!$B$140,CT90+CS91-DB90)))</f>
        <v>256.28205128205116</v>
      </c>
      <c r="CU91" s="18">
        <f>CT91*VLOOKUP('Données projet'!$B$13,Paramètres!$A$1:$I$89,3,0)*VLOOKUP('Données projet'!$B$13,Paramètres!$A$1:$I$89,5,0)</f>
        <v>171.9139999999999</v>
      </c>
      <c r="CV91" s="14">
        <f t="shared" si="95"/>
        <v>43.518416191440188</v>
      </c>
      <c r="CW91" s="22">
        <f t="shared" si="67"/>
        <v>375.2114582000915</v>
      </c>
      <c r="CX91" s="60">
        <f t="shared" si="68"/>
        <v>668.54479153342481</v>
      </c>
      <c r="CY91" s="60">
        <f ca="1">AVERAGE(OFFSET($CX$3,0,0,'Données projet'!$E$13+1,1))-AVERAGE(OFFSET($H$3,0,0,'Données projet'!$E$13+1,1))</f>
        <v>199.36703853638392</v>
      </c>
      <c r="CZ91" s="60">
        <f t="shared" si="96"/>
        <v>145.15653612907363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8">
        <f t="shared" si="56"/>
        <v>390.08153449547615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0">
        <f t="shared" si="55"/>
        <v>861.22632540732775</v>
      </c>
      <c r="S92" s="60">
        <f ca="1">AVERAGE(OFFSET($R$3,0,0,'Données projet'!$E$9+1,1))-AVERAGE(OFFSET($H$3,0,0,'Données projet'!$E$9+1,1))</f>
        <v>314.4389771131751</v>
      </c>
      <c r="T92" s="60">
        <f t="shared" si="88"/>
        <v>176.7239677722049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0">
        <f t="shared" si="59"/>
        <v>928.13702117418165</v>
      </c>
      <c r="AN92" s="60">
        <f ca="1">AVERAGE(OFFSET($AM$3,0,0,'Données projet'!$E$10+1,1))-AVERAGE(OFFSET($H$3,0,0,'Données projet'!$E$10+1,1))</f>
        <v>361.06925636707814</v>
      </c>
      <c r="AO92" s="60">
        <f t="shared" si="90"/>
        <v>201.44775212076888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6.3550942286383367E-14</v>
      </c>
      <c r="BF92" s="14">
        <f t="shared" si="91"/>
        <v>1.0064464192543978E-12</v>
      </c>
      <c r="BG92" s="22">
        <f t="shared" si="61"/>
        <v>1.8635787380168604E-12</v>
      </c>
      <c r="BH92" s="60">
        <f t="shared" si="62"/>
        <v>293.33333333333519</v>
      </c>
      <c r="BI92" s="60">
        <f ca="1">AVERAGE(OFFSET($BH$3,0,0,'Données projet'!$E$11+1,1))-AVERAGE(OFFSET($H$3,0,0,'Données projet'!$E$11+1,1))</f>
        <v>253.63061102077421</v>
      </c>
      <c r="BJ92" s="60">
        <f t="shared" si="92"/>
        <v>230.98056275369652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4.0162523488610313</v>
      </c>
      <c r="BR92" s="23">
        <f>EXP(-LN(2)/2)*BR91+(1-EXP(-LN(2)/2))/(LN(2)/2)*BL92*BO92*VLOOKUP('Données projet'!$B$11,Paramètres!$A$1:$I$89,3,0)*0.475*44/12</f>
        <v>1.2988054060414007E-8</v>
      </c>
      <c r="BS92" s="24">
        <f t="shared" si="63"/>
        <v>4.0162523618490855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-1.7053025658242404E-13</v>
      </c>
      <c r="BZ92" s="14">
        <f>BY92*VLOOKUP('Données projet'!$B$12,Paramètres!$A$1:$I$89,3,0)*VLOOKUP('Données projet'!$B$12,Paramètres!$A$1:$I$89,5,0)</f>
        <v>-1.250327841262333E-13</v>
      </c>
      <c r="CA92" s="14" t="e">
        <f t="shared" si="93"/>
        <v>#NUM!</v>
      </c>
      <c r="CB92" s="22" t="e">
        <f t="shared" si="64"/>
        <v>#NUM!</v>
      </c>
      <c r="CC92" s="60" t="e">
        <f t="shared" si="65"/>
        <v>#NUM!</v>
      </c>
      <c r="CD92" s="60">
        <f ca="1">AVERAGE(OFFSET($CC$3,0,0,'Données projet'!$E$12+1,1))-AVERAGE(OFFSET($H$3,0,0,'Données projet'!$E$12+1,1))</f>
        <v>216.97968518094325</v>
      </c>
      <c r="CE92" s="60">
        <f t="shared" si="94"/>
        <v>248.38190023108666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3.5897435897435912</v>
      </c>
      <c r="CT92" s="13">
        <f>IF('Données projet'!$A$140&gt;35,CT91+CS92-DB91,IF(A92&lt;'Données projet'!$A$140,$CQ$205^A92,IF(A92='Données projet'!$A$140,'Données projet'!$B$140,CT91+CS92-DB91)))</f>
        <v>259.87179487179475</v>
      </c>
      <c r="CU92" s="18">
        <f>CT92*VLOOKUP('Données projet'!$B$13,Paramètres!$A$1:$I$89,3,0)*VLOOKUP('Données projet'!$B$13,Paramètres!$A$1:$I$89,5,0)</f>
        <v>174.32199999999992</v>
      </c>
      <c r="CV92" s="14">
        <f t="shared" si="95"/>
        <v>44.056588905148629</v>
      </c>
      <c r="CW92" s="22">
        <f t="shared" si="67"/>
        <v>380.34270900980033</v>
      </c>
      <c r="CX92" s="60">
        <f t="shared" si="68"/>
        <v>673.67604234313364</v>
      </c>
      <c r="CY92" s="60">
        <f ca="1">AVERAGE(OFFSET($CX$3,0,0,'Données projet'!$E$13+1,1))-AVERAGE(OFFSET($H$3,0,0,'Données projet'!$E$13+1,1))</f>
        <v>199.36703853638392</v>
      </c>
      <c r="CZ92" s="60">
        <f t="shared" si="96"/>
        <v>145.15653612907363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8">
        <f t="shared" si="56"/>
        <v>391.13942900294575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0">
        <f t="shared" si="55"/>
        <v>871.92783634092143</v>
      </c>
      <c r="S93" s="60">
        <f ca="1">AVERAGE(OFFSET($R$3,0,0,'Données projet'!$E$9+1,1))-AVERAGE(OFFSET($H$3,0,0,'Données projet'!$E$9+1,1))</f>
        <v>314.4389771131751</v>
      </c>
      <c r="T93" s="60">
        <f t="shared" si="88"/>
        <v>176.7239677722049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0">
        <f t="shared" si="59"/>
        <v>940.10238306495398</v>
      </c>
      <c r="AN93" s="60">
        <f ca="1">AVERAGE(OFFSET($AM$3,0,0,'Données projet'!$E$10+1,1))-AVERAGE(OFFSET($H$3,0,0,'Données projet'!$E$10+1,1))</f>
        <v>361.06925636707814</v>
      </c>
      <c r="AO93" s="60">
        <f t="shared" si="90"/>
        <v>201.44775212076888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6.3550942286383367E-14</v>
      </c>
      <c r="BF93" s="14">
        <f t="shared" si="91"/>
        <v>1.0064464192543978E-12</v>
      </c>
      <c r="BG93" s="22">
        <f t="shared" si="61"/>
        <v>1.8635787380168604E-12</v>
      </c>
      <c r="BH93" s="60">
        <f t="shared" si="62"/>
        <v>293.33333333333519</v>
      </c>
      <c r="BI93" s="60">
        <f ca="1">AVERAGE(OFFSET($BH$3,0,0,'Données projet'!$E$11+1,1))-AVERAGE(OFFSET($H$3,0,0,'Données projet'!$E$11+1,1))</f>
        <v>253.63061102077421</v>
      </c>
      <c r="BJ93" s="60">
        <f t="shared" si="92"/>
        <v>230.98056275369652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3.9064277171758945</v>
      </c>
      <c r="BR93" s="23">
        <f>EXP(-LN(2)/2)*BR92+(1-EXP(-LN(2)/2))/(LN(2)/2)*BL93*BO93*VLOOKUP('Données projet'!$B$11,Paramètres!$A$1:$I$89,3,0)*0.475*44/12</f>
        <v>9.1839411005362173E-9</v>
      </c>
      <c r="BS93" s="24">
        <f t="shared" si="63"/>
        <v>3.9064277263598357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-1.7053025658242404E-13</v>
      </c>
      <c r="BZ93" s="14">
        <f>BY93*VLOOKUP('Données projet'!$B$12,Paramètres!$A$1:$I$89,3,0)*VLOOKUP('Données projet'!$B$12,Paramètres!$A$1:$I$89,5,0)</f>
        <v>-1.250327841262333E-13</v>
      </c>
      <c r="CA93" s="14" t="e">
        <f t="shared" si="93"/>
        <v>#NUM!</v>
      </c>
      <c r="CB93" s="22" t="e">
        <f t="shared" si="64"/>
        <v>#NUM!</v>
      </c>
      <c r="CC93" s="60" t="e">
        <f t="shared" si="65"/>
        <v>#NUM!</v>
      </c>
      <c r="CD93" s="60">
        <f ca="1">AVERAGE(OFFSET($CC$3,0,0,'Données projet'!$E$12+1,1))-AVERAGE(OFFSET($H$3,0,0,'Données projet'!$E$12+1,1))</f>
        <v>216.97968518094325</v>
      </c>
      <c r="CE93" s="60">
        <f t="shared" si="94"/>
        <v>248.38190023108666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263.46153846153845</v>
      </c>
      <c r="CR93" s="13">
        <f>VLOOKUP(A93,'Données projet'!$A$139:$I$159,9,0)</f>
        <v>3.5897435897435912</v>
      </c>
      <c r="CS93" s="13">
        <f t="array" ref="CS93">INDEX(CR:CR,MIN(IF(ISNUMBER(CR93:CR289),ROW(CR93:CR289),"")))</f>
        <v>3.5897435897435912</v>
      </c>
      <c r="CT93" s="13">
        <f>IF('Données projet'!$A$140&gt;35,CT92+CS93-DB92,IF(A93&lt;'Données projet'!$A$140,$CQ$205^A93,IF(A93='Données projet'!$A$140,'Données projet'!$B$140,CT92+CS93-DB92)))</f>
        <v>263.46153846153834</v>
      </c>
      <c r="CU93" s="18">
        <f>CT93*VLOOKUP('Données projet'!$B$13,Paramètres!$A$1:$I$89,3,0)*VLOOKUP('Données projet'!$B$13,Paramètres!$A$1:$I$89,5,0)</f>
        <v>176.72999999999993</v>
      </c>
      <c r="CV93" s="14">
        <f t="shared" si="95"/>
        <v>44.593896960707511</v>
      </c>
      <c r="CW93" s="22">
        <f t="shared" si="67"/>
        <v>385.4724538732321</v>
      </c>
      <c r="CX93" s="60">
        <f t="shared" si="68"/>
        <v>678.80578720656536</v>
      </c>
      <c r="CY93" s="60">
        <f ca="1">AVERAGE(OFFSET($CX$3,0,0,'Données projet'!$E$13+1,1))-AVERAGE(OFFSET($H$3,0,0,'Données projet'!$E$13+1,1))</f>
        <v>199.36703853638392</v>
      </c>
      <c r="CZ93" s="60">
        <f t="shared" si="96"/>
        <v>145.15653612907363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8">
        <f t="shared" si="56"/>
        <v>392.19703895726269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0">
        <f t="shared" si="55"/>
        <v>800.94897376928998</v>
      </c>
      <c r="S94" s="60">
        <f ca="1">AVERAGE(OFFSET($R$3,0,0,'Données projet'!$E$9+1,1))-AVERAGE(OFFSET($H$3,0,0,'Données projet'!$E$9+1,1))</f>
        <v>314.4389771131751</v>
      </c>
      <c r="T94" s="60">
        <f t="shared" si="88"/>
        <v>176.7239677722049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0">
        <f t="shared" si="59"/>
        <v>860.74189070867442</v>
      </c>
      <c r="AN94" s="60">
        <f ca="1">AVERAGE(OFFSET($AM$3,0,0,'Données projet'!$E$10+1,1))-AVERAGE(OFFSET($H$3,0,0,'Données projet'!$E$10+1,1))</f>
        <v>361.06925636707814</v>
      </c>
      <c r="AO94" s="60">
        <f t="shared" si="90"/>
        <v>201.44775212076888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6.3550942286383367E-14</v>
      </c>
      <c r="BF94" s="14">
        <f t="shared" si="91"/>
        <v>1.0064464192543978E-12</v>
      </c>
      <c r="BG94" s="22">
        <f t="shared" si="61"/>
        <v>1.8635787380168604E-12</v>
      </c>
      <c r="BH94" s="60">
        <f t="shared" si="62"/>
        <v>293.33333333333519</v>
      </c>
      <c r="BI94" s="60">
        <f ca="1">AVERAGE(OFFSET($BH$3,0,0,'Données projet'!$E$11+1,1))-AVERAGE(OFFSET($H$3,0,0,'Données projet'!$E$11+1,1))</f>
        <v>253.63061102077421</v>
      </c>
      <c r="BJ94" s="60">
        <f t="shared" si="92"/>
        <v>230.98056275369652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3.7996062458196143</v>
      </c>
      <c r="BR94" s="23">
        <f>EXP(-LN(2)/2)*BR93+(1-EXP(-LN(2)/2))/(LN(2)/2)*BL94*BO94*VLOOKUP('Données projet'!$B$11,Paramètres!$A$1:$I$89,3,0)*0.475*44/12</f>
        <v>6.4940270302070036E-9</v>
      </c>
      <c r="BS94" s="24">
        <f t="shared" si="63"/>
        <v>3.7996062523136414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-1.7053025658242404E-13</v>
      </c>
      <c r="BZ94" s="14">
        <f>BY94*VLOOKUP('Données projet'!$B$12,Paramètres!$A$1:$I$89,3,0)*VLOOKUP('Données projet'!$B$12,Paramètres!$A$1:$I$89,5,0)</f>
        <v>-1.250327841262333E-13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216.97968518094325</v>
      </c>
      <c r="CE94" s="60">
        <f t="shared" si="94"/>
        <v>248.38190023108666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3.5897435897435912</v>
      </c>
      <c r="CT94" s="13">
        <f>IF('Données projet'!$A$140&gt;35,CT93+CS94-DB93,IF(A94&lt;'Données projet'!$A$140,$CQ$205^A94,IF(A94='Données projet'!$A$140,'Données projet'!$B$140,CT93+CS94-DB93)))</f>
        <v>267.05128205128193</v>
      </c>
      <c r="CU94" s="18">
        <f>CT94*VLOOKUP('Données projet'!$B$13,Paramètres!$A$1:$I$89,3,0)*VLOOKUP('Données projet'!$B$13,Paramètres!$A$1:$I$89,5,0)</f>
        <v>179.13799999999992</v>
      </c>
      <c r="CV94" s="14">
        <f t="shared" si="95"/>
        <v>45.130353501076151</v>
      </c>
      <c r="CW94" s="22">
        <f t="shared" si="67"/>
        <v>390.60071568104081</v>
      </c>
      <c r="CX94" s="60">
        <f t="shared" si="68"/>
        <v>683.93404901437407</v>
      </c>
      <c r="CY94" s="60">
        <f ca="1">AVERAGE(OFFSET($CX$3,0,0,'Données projet'!$E$13+1,1))-AVERAGE(OFFSET($H$3,0,0,'Données projet'!$E$13+1,1))</f>
        <v>199.36703853638392</v>
      </c>
      <c r="CZ94" s="60">
        <f t="shared" si="96"/>
        <v>145.15653612907363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8">
        <f t="shared" si="56"/>
        <v>393.25436784727196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0">
        <f t="shared" si="55"/>
        <v>810.33492368208931</v>
      </c>
      <c r="S95" s="60">
        <f ca="1">AVERAGE(OFFSET($R$3,0,0,'Données projet'!$E$9+1,1))-AVERAGE(OFFSET($H$3,0,0,'Données projet'!$E$9+1,1))</f>
        <v>314.4389771131751</v>
      </c>
      <c r="T95" s="60">
        <f t="shared" si="88"/>
        <v>176.7239677722049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0">
        <f t="shared" si="59"/>
        <v>871.23605407804735</v>
      </c>
      <c r="AN95" s="60">
        <f ca="1">AVERAGE(OFFSET($AM$3,0,0,'Données projet'!$E$10+1,1))-AVERAGE(OFFSET($H$3,0,0,'Données projet'!$E$10+1,1))</f>
        <v>361.06925636707814</v>
      </c>
      <c r="AO95" s="60">
        <f t="shared" si="90"/>
        <v>201.44775212076888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6.3550942286383367E-14</v>
      </c>
      <c r="BF95" s="14">
        <f t="shared" si="91"/>
        <v>1.0064464192543978E-12</v>
      </c>
      <c r="BG95" s="22">
        <f t="shared" si="61"/>
        <v>1.8635787380168604E-12</v>
      </c>
      <c r="BH95" s="60">
        <f t="shared" si="62"/>
        <v>293.33333333333519</v>
      </c>
      <c r="BI95" s="60">
        <f ca="1">AVERAGE(OFFSET($BH$3,0,0,'Données projet'!$E$11+1,1))-AVERAGE(OFFSET($H$3,0,0,'Données projet'!$E$11+1,1))</f>
        <v>253.63061102077421</v>
      </c>
      <c r="BJ95" s="60">
        <f t="shared" si="92"/>
        <v>230.98056275369652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3.6957058132150684</v>
      </c>
      <c r="BR95" s="23">
        <f>EXP(-LN(2)/2)*BR94+(1-EXP(-LN(2)/2))/(LN(2)/2)*BL95*BO95*VLOOKUP('Données projet'!$B$11,Paramètres!$A$1:$I$89,3,0)*0.475*44/12</f>
        <v>4.5919705502681087E-9</v>
      </c>
      <c r="BS95" s="24">
        <f t="shared" si="63"/>
        <v>3.6957058178070388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-1.7053025658242404E-13</v>
      </c>
      <c r="BZ95" s="14">
        <f>BY95*VLOOKUP('Données projet'!$B$12,Paramètres!$A$1:$I$89,3,0)*VLOOKUP('Données projet'!$B$12,Paramètres!$A$1:$I$89,5,0)</f>
        <v>-1.250327841262333E-13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216.97968518094325</v>
      </c>
      <c r="CE95" s="60">
        <f t="shared" si="94"/>
        <v>248.38190023108666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3.5897435897435912</v>
      </c>
      <c r="CT95" s="13">
        <f>IF('Données projet'!$A$140&gt;35,CT94+CS95-DB94,IF(A95&lt;'Données projet'!$A$140,$CQ$205^A95,IF(A95='Données projet'!$A$140,'Données projet'!$B$140,CT94+CS95-DB94)))</f>
        <v>270.64102564102552</v>
      </c>
      <c r="CU95" s="18">
        <f>CT95*VLOOKUP('Données projet'!$B$13,Paramètres!$A$1:$I$89,3,0)*VLOOKUP('Données projet'!$B$13,Paramètres!$A$1:$I$89,5,0)</f>
        <v>181.54599999999994</v>
      </c>
      <c r="CV95" s="14">
        <f t="shared" si="95"/>
        <v>45.665971295569257</v>
      </c>
      <c r="CW95" s="22">
        <f t="shared" si="67"/>
        <v>395.72751667311633</v>
      </c>
      <c r="CX95" s="60">
        <f t="shared" si="68"/>
        <v>689.06085000644964</v>
      </c>
      <c r="CY95" s="60">
        <f ca="1">AVERAGE(OFFSET($CX$3,0,0,'Données projet'!$E$13+1,1))-AVERAGE(OFFSET($H$3,0,0,'Données projet'!$E$13+1,1))</f>
        <v>199.36703853638392</v>
      </c>
      <c r="CZ95" s="60">
        <f t="shared" si="96"/>
        <v>145.15653612907363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8">
        <f t="shared" si="56"/>
        <v>394.311419081606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0">
        <f t="shared" si="55"/>
        <v>819.71727903145597</v>
      </c>
      <c r="S96" s="60">
        <f ca="1">AVERAGE(OFFSET($R$3,0,0,'Données projet'!$E$9+1,1))-AVERAGE(OFFSET($H$3,0,0,'Données projet'!$E$9+1,1))</f>
        <v>314.4389771131751</v>
      </c>
      <c r="T96" s="60">
        <f t="shared" si="88"/>
        <v>176.7239677722049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0">
        <f t="shared" si="59"/>
        <v>881.72624213359745</v>
      </c>
      <c r="AN96" s="60">
        <f ca="1">AVERAGE(OFFSET($AM$3,0,0,'Données projet'!$E$10+1,1))-AVERAGE(OFFSET($H$3,0,0,'Données projet'!$E$10+1,1))</f>
        <v>361.06925636707814</v>
      </c>
      <c r="AO96" s="60">
        <f t="shared" si="90"/>
        <v>201.44775212076888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6.3550942286383367E-14</v>
      </c>
      <c r="BF96" s="14">
        <f t="shared" si="91"/>
        <v>1.0064464192543978E-12</v>
      </c>
      <c r="BG96" s="22">
        <f t="shared" si="61"/>
        <v>1.8635787380168604E-12</v>
      </c>
      <c r="BH96" s="60">
        <f t="shared" si="62"/>
        <v>293.33333333333519</v>
      </c>
      <c r="BI96" s="60">
        <f ca="1">AVERAGE(OFFSET($BH$3,0,0,'Données projet'!$E$11+1,1))-AVERAGE(OFFSET($H$3,0,0,'Données projet'!$E$11+1,1))</f>
        <v>253.63061102077421</v>
      </c>
      <c r="BJ96" s="60">
        <f t="shared" si="92"/>
        <v>230.98056275369652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3.5946465434039805</v>
      </c>
      <c r="BR96" s="23">
        <f>EXP(-LN(2)/2)*BR95+(1-EXP(-LN(2)/2))/(LN(2)/2)*BL96*BO96*VLOOKUP('Données projet'!$B$11,Paramètres!$A$1:$I$89,3,0)*0.475*44/12</f>
        <v>3.2470135151035018E-9</v>
      </c>
      <c r="BS96" s="24">
        <f t="shared" si="63"/>
        <v>3.5946465466509938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-1.7053025658242404E-13</v>
      </c>
      <c r="BZ96" s="14">
        <f>BY96*VLOOKUP('Données projet'!$B$12,Paramètres!$A$1:$I$89,3,0)*VLOOKUP('Données projet'!$B$12,Paramètres!$A$1:$I$89,5,0)</f>
        <v>-1.250327841262333E-13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216.97968518094325</v>
      </c>
      <c r="CE96" s="60">
        <f t="shared" si="94"/>
        <v>248.38190023108666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3.5897435897435912</v>
      </c>
      <c r="CT96" s="13">
        <f>IF('Données projet'!$A$140&gt;35,CT95+CS96-DB95,IF(A96&lt;'Données projet'!$A$140,$CQ$205^A96,IF(A96='Données projet'!$A$140,'Données projet'!$B$140,CT95+CS96-DB95)))</f>
        <v>274.23076923076911</v>
      </c>
      <c r="CU96" s="18">
        <f>CT96*VLOOKUP('Données projet'!$B$13,Paramètres!$A$1:$I$89,3,0)*VLOOKUP('Données projet'!$B$13,Paramètres!$A$1:$I$89,5,0)</f>
        <v>183.95399999999992</v>
      </c>
      <c r="CV96" s="14">
        <f t="shared" si="95"/>
        <v>46.200762755291258</v>
      </c>
      <c r="CW96" s="22">
        <f t="shared" si="67"/>
        <v>400.85287846546549</v>
      </c>
      <c r="CX96" s="60">
        <f t="shared" si="68"/>
        <v>694.18621179879881</v>
      </c>
      <c r="CY96" s="60">
        <f ca="1">AVERAGE(OFFSET($CX$3,0,0,'Données projet'!$E$13+1,1))-AVERAGE(OFFSET($H$3,0,0,'Données projet'!$E$13+1,1))</f>
        <v>199.36703853638392</v>
      </c>
      <c r="CZ96" s="60">
        <f t="shared" si="96"/>
        <v>145.15653612907363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8">
        <f t="shared" si="56"/>
        <v>395.36819599137124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0">
        <f t="shared" si="55"/>
        <v>829.09611292828231</v>
      </c>
      <c r="S97" s="60">
        <f ca="1">AVERAGE(OFFSET($R$3,0,0,'Données projet'!$E$9+1,1))-AVERAGE(OFFSET($H$3,0,0,'Données projet'!$E$9+1,1))</f>
        <v>314.4389771131751</v>
      </c>
      <c r="T97" s="60">
        <f t="shared" si="88"/>
        <v>176.7239677722049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0">
        <f t="shared" si="59"/>
        <v>892.21253573041304</v>
      </c>
      <c r="AN97" s="60">
        <f ca="1">AVERAGE(OFFSET($AM$3,0,0,'Données projet'!$E$10+1,1))-AVERAGE(OFFSET($H$3,0,0,'Données projet'!$E$10+1,1))</f>
        <v>361.06925636707814</v>
      </c>
      <c r="AO97" s="60">
        <f t="shared" si="90"/>
        <v>201.44775212076888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6.3550942286383367E-14</v>
      </c>
      <c r="BF97" s="14">
        <f t="shared" si="91"/>
        <v>1.0064464192543978E-12</v>
      </c>
      <c r="BG97" s="22">
        <f t="shared" si="61"/>
        <v>1.8635787380168604E-12</v>
      </c>
      <c r="BH97" s="60">
        <f t="shared" si="62"/>
        <v>293.33333333333519</v>
      </c>
      <c r="BI97" s="60">
        <f ca="1">AVERAGE(OFFSET($BH$3,0,0,'Données projet'!$E$11+1,1))-AVERAGE(OFFSET($H$3,0,0,'Données projet'!$E$11+1,1))</f>
        <v>253.63061102077421</v>
      </c>
      <c r="BJ97" s="60">
        <f t="shared" si="92"/>
        <v>230.98056275369652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3.4963507446403526</v>
      </c>
      <c r="BR97" s="23">
        <f>EXP(-LN(2)/2)*BR96+(1-EXP(-LN(2)/2))/(LN(2)/2)*BL97*BO97*VLOOKUP('Données projet'!$B$11,Paramètres!$A$1:$I$89,3,0)*0.475*44/12</f>
        <v>2.2959852751340543E-9</v>
      </c>
      <c r="BS97" s="24">
        <f t="shared" si="63"/>
        <v>3.4963507469363377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-1.7053025658242404E-13</v>
      </c>
      <c r="BZ97" s="14">
        <f>BY97*VLOOKUP('Données projet'!$B$12,Paramètres!$A$1:$I$89,3,0)*VLOOKUP('Données projet'!$B$12,Paramètres!$A$1:$I$89,5,0)</f>
        <v>-1.250327841262333E-13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216.97968518094325</v>
      </c>
      <c r="CE97" s="60">
        <f t="shared" si="94"/>
        <v>248.38190023108666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3.5897435897435912</v>
      </c>
      <c r="CT97" s="13">
        <f>IF('Données projet'!$A$140&gt;35,CT96+CS97-DB96,IF(A97&lt;'Données projet'!$A$140,$CQ$205^A97,IF(A97='Données projet'!$A$140,'Données projet'!$B$140,CT96+CS97-DB96)))</f>
        <v>277.8205128205127</v>
      </c>
      <c r="CU97" s="18">
        <f>CT97*VLOOKUP('Données projet'!$B$13,Paramètres!$A$1:$I$89,3,0)*VLOOKUP('Données projet'!$B$13,Paramètres!$A$1:$I$89,5,0)</f>
        <v>186.36199999999991</v>
      </c>
      <c r="CV97" s="14">
        <f t="shared" si="95"/>
        <v>46.734739947740024</v>
      </c>
      <c r="CW97" s="22">
        <f t="shared" si="67"/>
        <v>405.97682207564702</v>
      </c>
      <c r="CX97" s="60">
        <f t="shared" si="68"/>
        <v>699.31015540898034</v>
      </c>
      <c r="CY97" s="60">
        <f ca="1">AVERAGE(OFFSET($CX$3,0,0,'Données projet'!$E$13+1,1))-AVERAGE(OFFSET($H$3,0,0,'Données projet'!$E$13+1,1))</f>
        <v>199.36703853638392</v>
      </c>
      <c r="CZ97" s="60">
        <f t="shared" si="96"/>
        <v>145.15653612907363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8">
        <f t="shared" si="56"/>
        <v>396.42470183271661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0">
        <f t="shared" si="55"/>
        <v>838.4714957147562</v>
      </c>
      <c r="S98" s="60">
        <f ca="1">AVERAGE(OFFSET($R$3,0,0,'Données projet'!$E$9+1,1))-AVERAGE(OFFSET($H$3,0,0,'Données projet'!$E$9+1,1))</f>
        <v>314.4389771131751</v>
      </c>
      <c r="T98" s="60">
        <f t="shared" si="88"/>
        <v>176.7239677722049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0">
        <f t="shared" si="59"/>
        <v>902.69501266160501</v>
      </c>
      <c r="AN98" s="60">
        <f ca="1">AVERAGE(OFFSET($AM$3,0,0,'Données projet'!$E$10+1,1))-AVERAGE(OFFSET($H$3,0,0,'Données projet'!$E$10+1,1))</f>
        <v>361.06925636707814</v>
      </c>
      <c r="AO98" s="60">
        <f t="shared" si="90"/>
        <v>201.44775212076888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6.3550942286383367E-14</v>
      </c>
      <c r="BF98" s="14">
        <f t="shared" si="91"/>
        <v>1.0064464192543978E-12</v>
      </c>
      <c r="BG98" s="22">
        <f t="shared" si="61"/>
        <v>1.8635787380168604E-12</v>
      </c>
      <c r="BH98" s="60">
        <f t="shared" si="62"/>
        <v>293.33333333333519</v>
      </c>
      <c r="BI98" s="60">
        <f ca="1">AVERAGE(OFFSET($BH$3,0,0,'Données projet'!$E$11+1,1))-AVERAGE(OFFSET($H$3,0,0,'Données projet'!$E$11+1,1))</f>
        <v>253.63061102077421</v>
      </c>
      <c r="BJ98" s="60">
        <f t="shared" si="92"/>
        <v>230.98056275369652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3.4007428496630676</v>
      </c>
      <c r="BR98" s="23">
        <f>EXP(-LN(2)/2)*BR97+(1-EXP(-LN(2)/2))/(LN(2)/2)*BL98*BO98*VLOOKUP('Données projet'!$B$11,Paramètres!$A$1:$I$89,3,0)*0.475*44/12</f>
        <v>1.6235067575517509E-9</v>
      </c>
      <c r="BS98" s="24">
        <f t="shared" si="63"/>
        <v>3.4007428512865743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-1.7053025658242404E-13</v>
      </c>
      <c r="BZ98" s="14">
        <f>BY98*VLOOKUP('Données projet'!$B$12,Paramètres!$A$1:$I$89,3,0)*VLOOKUP('Données projet'!$B$12,Paramètres!$A$1:$I$89,5,0)</f>
        <v>-1.250327841262333E-13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216.97968518094325</v>
      </c>
      <c r="CE98" s="60">
        <f t="shared" si="94"/>
        <v>248.38190023108666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281.41025641025641</v>
      </c>
      <c r="CR98" s="13">
        <f>VLOOKUP(A98,'Données projet'!$A$139:$I$159,9,0)</f>
        <v>3.5897435897435912</v>
      </c>
      <c r="CS98" s="13">
        <f t="array" ref="CS98">INDEX(CR:CR,MIN(IF(ISNUMBER(CR98:CR294),ROW(CR98:CR294),"")))</f>
        <v>3.5897435897435912</v>
      </c>
      <c r="CT98" s="13">
        <f>IF('Données projet'!$A$140&gt;35,CT97+CS98-DB97,IF(A98&lt;'Données projet'!$A$140,$CQ$205^A98,IF(A98='Données projet'!$A$140,'Données projet'!$B$140,CT97+CS98-DB97)))</f>
        <v>281.4102564102563</v>
      </c>
      <c r="CU98" s="18">
        <f>CT98*VLOOKUP('Données projet'!$B$13,Paramètres!$A$1:$I$89,3,0)*VLOOKUP('Données projet'!$B$13,Paramètres!$A$1:$I$89,5,0)</f>
        <v>188.76999999999992</v>
      </c>
      <c r="CV98" s="14">
        <f t="shared" si="95"/>
        <v>47.267914610633945</v>
      </c>
      <c r="CW98" s="22">
        <f t="shared" si="67"/>
        <v>411.09936794685399</v>
      </c>
      <c r="CX98" s="60">
        <f t="shared" si="68"/>
        <v>704.4327012801873</v>
      </c>
      <c r="CY98" s="60">
        <f ca="1">AVERAGE(OFFSET($CX$3,0,0,'Données projet'!$E$13+1,1))-AVERAGE(OFFSET($H$3,0,0,'Données projet'!$E$13+1,1))</f>
        <v>199.36703853638392</v>
      </c>
      <c r="CZ98" s="60">
        <f t="shared" si="96"/>
        <v>145.15653612907363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22.435897435897434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8">
        <f t="shared" si="56"/>
        <v>397.48093978929154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0">
        <f t="shared" si="55"/>
        <v>847.84349511604591</v>
      </c>
      <c r="S99" s="60">
        <f ca="1">AVERAGE(OFFSET($R$3,0,0,'Données projet'!$E$9+1,1))-AVERAGE(OFFSET($H$3,0,0,'Données projet'!$E$9+1,1))</f>
        <v>314.4389771131751</v>
      </c>
      <c r="T99" s="60">
        <f t="shared" si="88"/>
        <v>176.7239677722049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0">
        <f t="shared" si="59"/>
        <v>913.17374782605907</v>
      </c>
      <c r="AN99" s="60">
        <f ca="1">AVERAGE(OFFSET($AM$3,0,0,'Données projet'!$E$10+1,1))-AVERAGE(OFFSET($H$3,0,0,'Données projet'!$E$10+1,1))</f>
        <v>361.06925636707814</v>
      </c>
      <c r="AO99" s="60">
        <f t="shared" si="90"/>
        <v>201.44775212076888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6.3550942286383367E-14</v>
      </c>
      <c r="BF99" s="14">
        <f t="shared" si="91"/>
        <v>1.0064464192543978E-12</v>
      </c>
      <c r="BG99" s="22">
        <f t="shared" si="61"/>
        <v>1.8635787380168604E-12</v>
      </c>
      <c r="BH99" s="60">
        <f t="shared" si="62"/>
        <v>293.33333333333519</v>
      </c>
      <c r="BI99" s="60">
        <f ca="1">AVERAGE(OFFSET($BH$3,0,0,'Données projet'!$E$11+1,1))-AVERAGE(OFFSET($H$3,0,0,'Données projet'!$E$11+1,1))</f>
        <v>253.63061102077421</v>
      </c>
      <c r="BJ99" s="60">
        <f t="shared" si="92"/>
        <v>230.98056275369652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3.3077493576017369</v>
      </c>
      <c r="BR99" s="23">
        <f>EXP(-LN(2)/2)*BR98+(1-EXP(-LN(2)/2))/(LN(2)/2)*BL99*BO99*VLOOKUP('Données projet'!$B$11,Paramètres!$A$1:$I$89,3,0)*0.475*44/12</f>
        <v>1.1479926375670272E-9</v>
      </c>
      <c r="BS99" s="24">
        <f t="shared" si="63"/>
        <v>3.3077493587497298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-1.7053025658242404E-13</v>
      </c>
      <c r="BZ99" s="14">
        <f>BY99*VLOOKUP('Données projet'!$B$12,Paramètres!$A$1:$I$89,3,0)*VLOOKUP('Données projet'!$B$12,Paramètres!$A$1:$I$89,5,0)</f>
        <v>-1.250327841262333E-13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216.97968518094325</v>
      </c>
      <c r="CE99" s="60">
        <f t="shared" si="94"/>
        <v>248.38190023108666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3.333333333333337</v>
      </c>
      <c r="CT99" s="13">
        <f>IF('Données projet'!$A$140&gt;35,CT98+CS99-DB98,IF(A99&lt;'Données projet'!$A$140,$CQ$205^A99,IF(A99='Données projet'!$A$140,'Données projet'!$B$140,CT98+CS99-DB98)))</f>
        <v>262.30769230769215</v>
      </c>
      <c r="CU99" s="18">
        <f>CT99*VLOOKUP('Données projet'!$B$13,Paramètres!$A$1:$I$89,3,0)*VLOOKUP('Données projet'!$B$13,Paramètres!$A$1:$I$89,5,0)</f>
        <v>175.95599999999988</v>
      </c>
      <c r="CV99" s="14">
        <f t="shared" si="95"/>
        <v>44.421284286599445</v>
      </c>
      <c r="CW99" s="22">
        <f t="shared" si="67"/>
        <v>383.82377013249379</v>
      </c>
      <c r="CX99" s="60">
        <f t="shared" si="68"/>
        <v>677.15710346582705</v>
      </c>
      <c r="CY99" s="60">
        <f ca="1">AVERAGE(OFFSET($CX$3,0,0,'Données projet'!$E$13+1,1))-AVERAGE(OFFSET($H$3,0,0,'Données projet'!$E$13+1,1))</f>
        <v>199.36703853638392</v>
      </c>
      <c r="CZ99" s="60">
        <f t="shared" si="96"/>
        <v>145.15653612907363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8">
        <f t="shared" si="56"/>
        <v>398.5369129745979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0">
        <f t="shared" si="55"/>
        <v>857.21217638119901</v>
      </c>
      <c r="S100" s="60">
        <f ca="1">AVERAGE(OFFSET($R$3,0,0,'Données projet'!$E$9+1,1))-AVERAGE(OFFSET($H$3,0,0,'Données projet'!$E$9+1,1))</f>
        <v>314.4389771131751</v>
      </c>
      <c r="T100" s="60">
        <f t="shared" si="88"/>
        <v>176.7239677722049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0">
        <f t="shared" si="59"/>
        <v>923.64881338426039</v>
      </c>
      <c r="AN100" s="60">
        <f ca="1">AVERAGE(OFFSET($AM$3,0,0,'Données projet'!$E$10+1,1))-AVERAGE(OFFSET($H$3,0,0,'Données projet'!$E$10+1,1))</f>
        <v>361.06925636707814</v>
      </c>
      <c r="AO100" s="60">
        <f t="shared" si="90"/>
        <v>201.44775212076888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6.3550942286383367E-14</v>
      </c>
      <c r="BF100" s="14">
        <f t="shared" si="91"/>
        <v>1.0064464192543978E-12</v>
      </c>
      <c r="BG100" s="22">
        <f t="shared" si="61"/>
        <v>1.8635787380168604E-12</v>
      </c>
      <c r="BH100" s="60">
        <f t="shared" si="62"/>
        <v>293.33333333333519</v>
      </c>
      <c r="BI100" s="60">
        <f ca="1">AVERAGE(OFFSET($BH$3,0,0,'Données projet'!$E$11+1,1))-AVERAGE(OFFSET($H$3,0,0,'Données projet'!$E$11+1,1))</f>
        <v>253.63061102077421</v>
      </c>
      <c r="BJ100" s="60">
        <f t="shared" si="92"/>
        <v>230.98056275369652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3.2172987774711386</v>
      </c>
      <c r="BR100" s="23">
        <f>EXP(-LN(2)/2)*BR99+(1-EXP(-LN(2)/2))/(LN(2)/2)*BL100*BO100*VLOOKUP('Données projet'!$B$11,Paramètres!$A$1:$I$89,3,0)*0.475*44/12</f>
        <v>8.1175337877587545E-10</v>
      </c>
      <c r="BS100" s="24">
        <f t="shared" si="63"/>
        <v>3.2172987782828919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-1.7053025658242404E-13</v>
      </c>
      <c r="BZ100" s="14">
        <f>BY100*VLOOKUP('Données projet'!$B$12,Paramètres!$A$1:$I$89,3,0)*VLOOKUP('Données projet'!$B$12,Paramètres!$A$1:$I$89,5,0)</f>
        <v>-1.250327841262333E-13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216.97968518094325</v>
      </c>
      <c r="CE100" s="60">
        <f t="shared" si="94"/>
        <v>248.38190023108666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3.333333333333337</v>
      </c>
      <c r="CT100" s="13">
        <f>IF('Données projet'!$A$140&gt;35,CT99+CS100-DB99,IF(A100&lt;'Données projet'!$A$140,$CQ$205^A100,IF(A100='Données projet'!$A$140,'Données projet'!$B$140,CT99+CS100-DB99)))</f>
        <v>265.64102564102546</v>
      </c>
      <c r="CU100" s="18">
        <f>CT100*VLOOKUP('Données projet'!$B$13,Paramètres!$A$1:$I$89,3,0)*VLOOKUP('Données projet'!$B$13,Paramètres!$A$1:$I$89,5,0)</f>
        <v>178.19199999999989</v>
      </c>
      <c r="CV100" s="14">
        <f t="shared" si="95"/>
        <v>44.919703445281939</v>
      </c>
      <c r="CW100" s="22">
        <f t="shared" si="67"/>
        <v>388.58621683386582</v>
      </c>
      <c r="CX100" s="60">
        <f t="shared" si="68"/>
        <v>681.91955016719908</v>
      </c>
      <c r="CY100" s="60">
        <f ca="1">AVERAGE(OFFSET($CX$3,0,0,'Données projet'!$E$13+1,1))-AVERAGE(OFFSET($H$3,0,0,'Données projet'!$E$13+1,1))</f>
        <v>199.36703853638392</v>
      </c>
      <c r="CZ100" s="60">
        <f t="shared" si="96"/>
        <v>145.15653612907363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8">
        <f t="shared" si="56"/>
        <v>399.59262443424268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0">
        <f t="shared" si="55"/>
        <v>866.57760241418919</v>
      </c>
      <c r="S101" s="60">
        <f ca="1">AVERAGE(OFFSET($R$3,0,0,'Données projet'!$E$9+1,1))-AVERAGE(OFFSET($H$3,0,0,'Données projet'!$E$9+1,1))</f>
        <v>314.4389771131751</v>
      </c>
      <c r="T101" s="60">
        <f t="shared" si="88"/>
        <v>176.7239677722049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0">
        <f t="shared" si="59"/>
        <v>934.12027890322065</v>
      </c>
      <c r="AN101" s="60">
        <f ca="1">AVERAGE(OFFSET($AM$3,0,0,'Données projet'!$E$10+1,1))-AVERAGE(OFFSET($H$3,0,0,'Données projet'!$E$10+1,1))</f>
        <v>361.06925636707814</v>
      </c>
      <c r="AO101" s="60">
        <f t="shared" si="90"/>
        <v>201.44775212076888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6.3550942286383367E-14</v>
      </c>
      <c r="BF101" s="14">
        <f t="shared" si="91"/>
        <v>1.0064464192543978E-12</v>
      </c>
      <c r="BG101" s="22">
        <f t="shared" si="61"/>
        <v>1.8635787380168604E-12</v>
      </c>
      <c r="BH101" s="60">
        <f t="shared" si="62"/>
        <v>293.33333333333519</v>
      </c>
      <c r="BI101" s="60">
        <f ca="1">AVERAGE(OFFSET($BH$3,0,0,'Données projet'!$E$11+1,1))-AVERAGE(OFFSET($H$3,0,0,'Données projet'!$E$11+1,1))</f>
        <v>253.63061102077421</v>
      </c>
      <c r="BJ101" s="60">
        <f t="shared" si="92"/>
        <v>230.98056275369652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3.1293215732108006</v>
      </c>
      <c r="BR101" s="23">
        <f>EXP(-LN(2)/2)*BR100+(1-EXP(-LN(2)/2))/(LN(2)/2)*BL101*BO101*VLOOKUP('Données projet'!$B$11,Paramètres!$A$1:$I$89,3,0)*0.475*44/12</f>
        <v>5.7399631878351358E-10</v>
      </c>
      <c r="BS101" s="24">
        <f t="shared" si="63"/>
        <v>3.129321573784797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-1.7053025658242404E-13</v>
      </c>
      <c r="BZ101" s="14">
        <f>BY101*VLOOKUP('Données projet'!$B$12,Paramètres!$A$1:$I$89,3,0)*VLOOKUP('Données projet'!$B$12,Paramètres!$A$1:$I$89,5,0)</f>
        <v>-1.250327841262333E-13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216.97968518094325</v>
      </c>
      <c r="CE101" s="60">
        <f t="shared" si="94"/>
        <v>248.38190023108666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3.333333333333337</v>
      </c>
      <c r="CT101" s="13">
        <f>IF('Données projet'!$A$140&gt;35,CT100+CS101-DB100,IF(A101&lt;'Données projet'!$A$140,$CQ$205^A101,IF(A101='Données projet'!$A$140,'Données projet'!$B$140,CT100+CS101-DB100)))</f>
        <v>268.97435897435878</v>
      </c>
      <c r="CU101" s="18">
        <f>CT101*VLOOKUP('Données projet'!$B$13,Paramètres!$A$1:$I$89,3,0)*VLOOKUP('Données projet'!$B$13,Paramètres!$A$1:$I$89,5,0)</f>
        <v>180.42799999999988</v>
      </c>
      <c r="CV101" s="14">
        <f t="shared" si="95"/>
        <v>45.417395115306284</v>
      </c>
      <c r="CW101" s="22">
        <f t="shared" si="67"/>
        <v>393.34739649249155</v>
      </c>
      <c r="CX101" s="60">
        <f t="shared" si="68"/>
        <v>686.68072982582487</v>
      </c>
      <c r="CY101" s="60">
        <f ca="1">AVERAGE(OFFSET($CX$3,0,0,'Données projet'!$E$13+1,1))-AVERAGE(OFFSET($H$3,0,0,'Données projet'!$E$13+1,1))</f>
        <v>199.36703853638392</v>
      </c>
      <c r="CZ101" s="60">
        <f t="shared" si="96"/>
        <v>145.15653612907363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8">
        <f t="shared" si="56"/>
        <v>400.64807714809581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0">
        <f t="shared" si="55"/>
        <v>875.93983389595746</v>
      </c>
      <c r="S102" s="60">
        <f ca="1">AVERAGE(OFFSET($R$3,0,0,'Données projet'!$E$9+1,1))-AVERAGE(OFFSET($H$3,0,0,'Données projet'!$E$9+1,1))</f>
        <v>314.4389771131751</v>
      </c>
      <c r="T102" s="60">
        <f t="shared" si="88"/>
        <v>176.7239677722049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0">
        <f t="shared" si="59"/>
        <v>944.58821149144683</v>
      </c>
      <c r="AN102" s="60">
        <f ca="1">AVERAGE(OFFSET($AM$3,0,0,'Données projet'!$E$10+1,1))-AVERAGE(OFFSET($H$3,0,0,'Données projet'!$E$10+1,1))</f>
        <v>361.06925636707814</v>
      </c>
      <c r="AO102" s="60">
        <f t="shared" si="90"/>
        <v>201.44775212076888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6.3550942286383367E-14</v>
      </c>
      <c r="BF102" s="14">
        <f t="shared" si="91"/>
        <v>1.0064464192543978E-12</v>
      </c>
      <c r="BG102" s="22">
        <f t="shared" si="61"/>
        <v>1.8635787380168604E-12</v>
      </c>
      <c r="BH102" s="60">
        <f t="shared" si="62"/>
        <v>293.33333333333519</v>
      </c>
      <c r="BI102" s="60">
        <f ca="1">AVERAGE(OFFSET($BH$3,0,0,'Données projet'!$E$11+1,1))-AVERAGE(OFFSET($H$3,0,0,'Données projet'!$E$11+1,1))</f>
        <v>253.63061102077421</v>
      </c>
      <c r="BJ102" s="60">
        <f t="shared" si="92"/>
        <v>230.98056275369652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3.043750110227482</v>
      </c>
      <c r="BR102" s="23">
        <f>EXP(-LN(2)/2)*BR101+(1-EXP(-LN(2)/2))/(LN(2)/2)*BL102*BO102*VLOOKUP('Données projet'!$B$11,Paramètres!$A$1:$I$89,3,0)*0.475*44/12</f>
        <v>4.0587668938793772E-10</v>
      </c>
      <c r="BS102" s="24">
        <f t="shared" si="63"/>
        <v>3.0437501106333587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-1.7053025658242404E-13</v>
      </c>
      <c r="BZ102" s="14">
        <f>BY102*VLOOKUP('Données projet'!$B$12,Paramètres!$A$1:$I$89,3,0)*VLOOKUP('Données projet'!$B$12,Paramètres!$A$1:$I$89,5,0)</f>
        <v>-1.250327841262333E-13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216.97968518094325</v>
      </c>
      <c r="CE102" s="60">
        <f t="shared" si="94"/>
        <v>248.38190023108666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3.333333333333337</v>
      </c>
      <c r="CT102" s="13">
        <f>IF('Données projet'!$A$140&gt;35,CT101+CS102-DB101,IF(A102&lt;'Données projet'!$A$140,$CQ$205^A102,IF(A102='Données projet'!$A$140,'Données projet'!$B$140,CT101+CS102-DB101)))</f>
        <v>272.30769230769209</v>
      </c>
      <c r="CU102" s="18">
        <f>CT102*VLOOKUP('Données projet'!$B$13,Paramètres!$A$1:$I$89,3,0)*VLOOKUP('Données projet'!$B$13,Paramètres!$A$1:$I$89,5,0)</f>
        <v>182.66399999999987</v>
      </c>
      <c r="CV102" s="14">
        <f t="shared" si="95"/>
        <v>45.914369354937548</v>
      </c>
      <c r="CW102" s="22">
        <f t="shared" si="67"/>
        <v>398.107326626516</v>
      </c>
      <c r="CX102" s="60">
        <f t="shared" si="68"/>
        <v>691.44065995984931</v>
      </c>
      <c r="CY102" s="60">
        <f ca="1">AVERAGE(OFFSET($CX$3,0,0,'Données projet'!$E$13+1,1))-AVERAGE(OFFSET($H$3,0,0,'Données projet'!$E$13+1,1))</f>
        <v>199.36703853638392</v>
      </c>
      <c r="CZ102" s="60">
        <f t="shared" si="96"/>
        <v>145.15653612907363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8">
        <f t="shared" si="56"/>
        <v>401.70327403235842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0">
        <f t="shared" si="55"/>
        <v>885.29892939819797</v>
      </c>
      <c r="S103" s="60">
        <f ca="1">AVERAGE(OFFSET($R$3,0,0,'Données projet'!$E$9+1,1))-AVERAGE(OFFSET($H$3,0,0,'Données projet'!$E$9+1,1))</f>
        <v>314.4389771131751</v>
      </c>
      <c r="T103" s="60">
        <f t="shared" si="88"/>
        <v>176.7239677722049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0">
        <f t="shared" si="59"/>
        <v>955.05267592477821</v>
      </c>
      <c r="AN103" s="60">
        <f ca="1">AVERAGE(OFFSET($AM$3,0,0,'Données projet'!$E$10+1,1))-AVERAGE(OFFSET($H$3,0,0,'Données projet'!$E$10+1,1))</f>
        <v>361.06925636707814</v>
      </c>
      <c r="AO103" s="60">
        <f t="shared" si="90"/>
        <v>201.44775212076888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6.3550942286383367E-14</v>
      </c>
      <c r="BF103" s="14">
        <f t="shared" si="91"/>
        <v>1.0064464192543978E-12</v>
      </c>
      <c r="BG103" s="22">
        <f t="shared" si="61"/>
        <v>1.8635787380168604E-12</v>
      </c>
      <c r="BH103" s="60">
        <f t="shared" si="62"/>
        <v>293.33333333333519</v>
      </c>
      <c r="BI103" s="60">
        <f ca="1">AVERAGE(OFFSET($BH$3,0,0,'Données projet'!$E$11+1,1))-AVERAGE(OFFSET($H$3,0,0,'Données projet'!$E$11+1,1))</f>
        <v>253.63061102077421</v>
      </c>
      <c r="BJ103" s="60">
        <f t="shared" si="92"/>
        <v>230.98056275369652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2.9605186033994499</v>
      </c>
      <c r="BR103" s="23">
        <f>EXP(-LN(2)/2)*BR102+(1-EXP(-LN(2)/2))/(LN(2)/2)*BL103*BO103*VLOOKUP('Données projet'!$B$11,Paramètres!$A$1:$I$89,3,0)*0.475*44/12</f>
        <v>2.8699815939175679E-10</v>
      </c>
      <c r="BS103" s="24">
        <f t="shared" si="63"/>
        <v>2.9605186036864479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-1.7053025658242404E-13</v>
      </c>
      <c r="BZ103" s="14">
        <f>BY103*VLOOKUP('Données projet'!$B$12,Paramètres!$A$1:$I$89,3,0)*VLOOKUP('Données projet'!$B$12,Paramètres!$A$1:$I$89,5,0)</f>
        <v>-1.250327841262333E-13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216.97968518094325</v>
      </c>
      <c r="CE103" s="60">
        <f t="shared" si="94"/>
        <v>248.38190023108666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275.64102564102564</v>
      </c>
      <c r="CR103" s="13">
        <f>VLOOKUP(A103,'Données projet'!$A$139:$I$159,9,0)</f>
        <v>3.333333333333337</v>
      </c>
      <c r="CS103" s="13">
        <f t="array" ref="CS103">INDEX(CR:CR,MIN(IF(ISNUMBER(CR103:CR299),ROW(CR103:CR299),"")))</f>
        <v>3.333333333333337</v>
      </c>
      <c r="CT103" s="13">
        <f>IF('Données projet'!$A$140&gt;35,CT102+CS103-DB102,IF(A103&lt;'Données projet'!$A$140,$CQ$205^A103,IF(A103='Données projet'!$A$140,'Données projet'!$B$140,CT102+CS103-DB102)))</f>
        <v>275.64102564102541</v>
      </c>
      <c r="CU103" s="18">
        <f>CT103*VLOOKUP('Données projet'!$B$13,Paramètres!$A$1:$I$89,3,0)*VLOOKUP('Données projet'!$B$13,Paramètres!$A$1:$I$89,5,0)</f>
        <v>184.89999999999984</v>
      </c>
      <c r="CV103" s="14">
        <f t="shared" si="95"/>
        <v>46.410635962027825</v>
      </c>
      <c r="CW103" s="22">
        <f t="shared" si="67"/>
        <v>402.86602430053154</v>
      </c>
      <c r="CX103" s="60">
        <f t="shared" si="68"/>
        <v>696.19935763386479</v>
      </c>
      <c r="CY103" s="60">
        <f ca="1">AVERAGE(OFFSET($CX$3,0,0,'Données projet'!$E$13+1,1))-AVERAGE(OFFSET($H$3,0,0,'Données projet'!$E$13+1,1))</f>
        <v>199.36703853638392</v>
      </c>
      <c r="CZ103" s="60">
        <f t="shared" si="96"/>
        <v>145.15653612907363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8">
        <f t="shared" si="56"/>
        <v>402.75821794154609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0">
        <f t="shared" si="55"/>
        <v>813.3989415432759</v>
      </c>
      <c r="S104" s="60">
        <f ca="1">AVERAGE(OFFSET($R$3,0,0,'Données projet'!$E$9+1,1))-AVERAGE(OFFSET($H$3,0,0,'Données projet'!$E$9+1,1))</f>
        <v>314.4389771131751</v>
      </c>
      <c r="T104" s="60">
        <f t="shared" si="88"/>
        <v>176.7239677722049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0">
        <f t="shared" si="59"/>
        <v>874.66185471348285</v>
      </c>
      <c r="AN104" s="60">
        <f ca="1">AVERAGE(OFFSET($AM$3,0,0,'Données projet'!$E$10+1,1))-AVERAGE(OFFSET($H$3,0,0,'Données projet'!$E$10+1,1))</f>
        <v>361.06925636707814</v>
      </c>
      <c r="AO104" s="60">
        <f t="shared" si="90"/>
        <v>201.44775212076888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6.3550942286383367E-14</v>
      </c>
      <c r="BF104" s="14">
        <f t="shared" si="91"/>
        <v>1.0064464192543978E-12</v>
      </c>
      <c r="BG104" s="22">
        <f t="shared" si="61"/>
        <v>1.8635787380168604E-12</v>
      </c>
      <c r="BH104" s="60">
        <f t="shared" si="62"/>
        <v>293.33333333333519</v>
      </c>
      <c r="BI104" s="60">
        <f ca="1">AVERAGE(OFFSET($BH$3,0,0,'Données projet'!$E$11+1,1))-AVERAGE(OFFSET($H$3,0,0,'Données projet'!$E$11+1,1))</f>
        <v>253.63061102077421</v>
      </c>
      <c r="BJ104" s="60">
        <f t="shared" si="92"/>
        <v>230.98056275369652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2.8795630665025849</v>
      </c>
      <c r="BR104" s="23">
        <f>EXP(-LN(2)/2)*BR103+(1-EXP(-LN(2)/2))/(LN(2)/2)*BL104*BO104*VLOOKUP('Données projet'!$B$11,Paramètres!$A$1:$I$89,3,0)*0.475*44/12</f>
        <v>2.0293834469396886E-10</v>
      </c>
      <c r="BS104" s="24">
        <f t="shared" si="63"/>
        <v>2.8795630667055234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-1.7053025658242404E-13</v>
      </c>
      <c r="BZ104" s="14">
        <f>BY104*VLOOKUP('Données projet'!$B$12,Paramètres!$A$1:$I$89,3,0)*VLOOKUP('Données projet'!$B$12,Paramètres!$A$1:$I$89,5,0)</f>
        <v>-1.250327841262333E-13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216.97968518094325</v>
      </c>
      <c r="CE104" s="60">
        <f t="shared" si="94"/>
        <v>248.38190023108666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3.0769230769230718</v>
      </c>
      <c r="CT104" s="13">
        <f>IF('Données projet'!$A$140&gt;35,CT103+CS104-DB103,IF(A104&lt;'Données projet'!$A$140,$CQ$205^A104,IF(A104='Données projet'!$A$140,'Données projet'!$B$140,CT103+CS104-DB103)))</f>
        <v>278.7179487179485</v>
      </c>
      <c r="CU104" s="18">
        <f>CT104*VLOOKUP('Données projet'!$B$13,Paramètres!$A$1:$I$89,3,0)*VLOOKUP('Données projet'!$B$13,Paramètres!$A$1:$I$89,5,0)</f>
        <v>186.96399999999986</v>
      </c>
      <c r="CV104" s="14">
        <f t="shared" si="95"/>
        <v>46.868108399160732</v>
      </c>
      <c r="CW104" s="22">
        <f t="shared" si="67"/>
        <v>407.25758879520464</v>
      </c>
      <c r="CX104" s="60">
        <f t="shared" si="68"/>
        <v>700.59092212853795</v>
      </c>
      <c r="CY104" s="60">
        <f ca="1">AVERAGE(OFFSET($CX$3,0,0,'Données projet'!$E$13+1,1))-AVERAGE(OFFSET($H$3,0,0,'Données projet'!$E$13+1,1))</f>
        <v>199.36703853638392</v>
      </c>
      <c r="CZ104" s="60">
        <f t="shared" si="96"/>
        <v>145.15653612907363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8">
        <f t="shared" si="56"/>
        <v>403.81291167039103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0">
        <f t="shared" si="55"/>
        <v>821.82303552922986</v>
      </c>
      <c r="S105" s="60">
        <f ca="1">AVERAGE(OFFSET($R$3,0,0,'Données projet'!$E$9+1,1))-AVERAGE(OFFSET($H$3,0,0,'Données projet'!$E$9+1,1))</f>
        <v>314.4389771131751</v>
      </c>
      <c r="T105" s="60">
        <f t="shared" si="88"/>
        <v>176.7239677722049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0">
        <f t="shared" si="59"/>
        <v>884.08064423326846</v>
      </c>
      <c r="AN105" s="60">
        <f ca="1">AVERAGE(OFFSET($AM$3,0,0,'Données projet'!$E$10+1,1))-AVERAGE(OFFSET($H$3,0,0,'Données projet'!$E$10+1,1))</f>
        <v>361.06925636707814</v>
      </c>
      <c r="AO105" s="60">
        <f t="shared" si="90"/>
        <v>201.44775212076888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6.3550942286383367E-14</v>
      </c>
      <c r="BF105" s="14">
        <f t="shared" si="91"/>
        <v>1.0064464192543978E-12</v>
      </c>
      <c r="BG105" s="22">
        <f t="shared" si="61"/>
        <v>1.8635787380168604E-12</v>
      </c>
      <c r="BH105" s="60">
        <f t="shared" si="62"/>
        <v>293.33333333333519</v>
      </c>
      <c r="BI105" s="60">
        <f ca="1">AVERAGE(OFFSET($BH$3,0,0,'Données projet'!$E$11+1,1))-AVERAGE(OFFSET($H$3,0,0,'Données projet'!$E$11+1,1))</f>
        <v>253.63061102077421</v>
      </c>
      <c r="BJ105" s="60">
        <f t="shared" si="92"/>
        <v>230.98056275369652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2.8008212630194311</v>
      </c>
      <c r="BR105" s="23">
        <f>EXP(-LN(2)/2)*BR104+(1-EXP(-LN(2)/2))/(LN(2)/2)*BL105*BO105*VLOOKUP('Données projet'!$B$11,Paramètres!$A$1:$I$89,3,0)*0.475*44/12</f>
        <v>1.434990796958784E-10</v>
      </c>
      <c r="BS105" s="24">
        <f t="shared" si="63"/>
        <v>2.8008212631629301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-1.7053025658242404E-13</v>
      </c>
      <c r="BZ105" s="14">
        <f>BY105*VLOOKUP('Données projet'!$B$12,Paramètres!$A$1:$I$89,3,0)*VLOOKUP('Données projet'!$B$12,Paramètres!$A$1:$I$89,5,0)</f>
        <v>-1.250327841262333E-13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216.97968518094325</v>
      </c>
      <c r="CE105" s="60">
        <f t="shared" si="94"/>
        <v>248.38190023108666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3.0769230769230718</v>
      </c>
      <c r="CT105" s="13">
        <f>IF('Données projet'!$A$140&gt;35,CT104+CS105-DB104,IF(A105&lt;'Données projet'!$A$140,$CQ$205^A105,IF(A105='Données projet'!$A$140,'Données projet'!$B$140,CT104+CS105-DB104)))</f>
        <v>281.7948717948716</v>
      </c>
      <c r="CU105" s="18">
        <f>CT105*VLOOKUP('Données projet'!$B$13,Paramètres!$A$1:$I$89,3,0)*VLOOKUP('Données projet'!$B$13,Paramètres!$A$1:$I$89,5,0)</f>
        <v>189.02799999999988</v>
      </c>
      <c r="CV105" s="14">
        <f t="shared" si="95"/>
        <v>47.324993347023778</v>
      </c>
      <c r="CW105" s="22">
        <f t="shared" si="67"/>
        <v>411.64813007939955</v>
      </c>
      <c r="CX105" s="60">
        <f t="shared" si="68"/>
        <v>704.98146341273286</v>
      </c>
      <c r="CY105" s="60">
        <f ca="1">AVERAGE(OFFSET($CX$3,0,0,'Données projet'!$E$13+1,1))-AVERAGE(OFFSET($H$3,0,0,'Données projet'!$E$13+1,1))</f>
        <v>199.36703853638392</v>
      </c>
      <c r="CZ105" s="60">
        <f t="shared" si="96"/>
        <v>145.15653612907363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8">
        <f t="shared" si="56"/>
        <v>404.8673579556679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0">
        <f t="shared" si="55"/>
        <v>830.24430301815983</v>
      </c>
      <c r="S106" s="60">
        <f ca="1">AVERAGE(OFFSET($R$3,0,0,'Données projet'!$E$9+1,1))-AVERAGE(OFFSET($H$3,0,0,'Données projet'!$E$9+1,1))</f>
        <v>314.4389771131751</v>
      </c>
      <c r="T106" s="60">
        <f t="shared" si="88"/>
        <v>176.7239677722049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0">
        <f t="shared" si="59"/>
        <v>893.49630786227453</v>
      </c>
      <c r="AN106" s="60">
        <f ca="1">AVERAGE(OFFSET($AM$3,0,0,'Données projet'!$E$10+1,1))-AVERAGE(OFFSET($H$3,0,0,'Données projet'!$E$10+1,1))</f>
        <v>361.06925636707814</v>
      </c>
      <c r="AO106" s="60">
        <f t="shared" si="90"/>
        <v>201.44775212076888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6.3550942286383367E-14</v>
      </c>
      <c r="BF106" s="14">
        <f t="shared" si="91"/>
        <v>1.0064464192543978E-12</v>
      </c>
      <c r="BG106" s="22">
        <f t="shared" si="61"/>
        <v>1.8635787380168604E-12</v>
      </c>
      <c r="BH106" s="60">
        <f t="shared" si="62"/>
        <v>293.33333333333519</v>
      </c>
      <c r="BI106" s="60">
        <f ca="1">AVERAGE(OFFSET($BH$3,0,0,'Données projet'!$E$11+1,1))-AVERAGE(OFFSET($H$3,0,0,'Données projet'!$E$11+1,1))</f>
        <v>253.63061102077421</v>
      </c>
      <c r="BJ106" s="60">
        <f t="shared" si="92"/>
        <v>230.98056275369652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2.724232658293376</v>
      </c>
      <c r="BR106" s="23">
        <f>EXP(-LN(2)/2)*BR105+(1-EXP(-LN(2)/2))/(LN(2)/2)*BL106*BO106*VLOOKUP('Données projet'!$B$11,Paramètres!$A$1:$I$89,3,0)*0.475*44/12</f>
        <v>1.0146917234698443E-10</v>
      </c>
      <c r="BS106" s="24">
        <f t="shared" si="63"/>
        <v>2.7242326583948451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-1.7053025658242404E-13</v>
      </c>
      <c r="BZ106" s="14">
        <f>BY106*VLOOKUP('Données projet'!$B$12,Paramètres!$A$1:$I$89,3,0)*VLOOKUP('Données projet'!$B$12,Paramètres!$A$1:$I$89,5,0)</f>
        <v>-1.250327841262333E-13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216.97968518094325</v>
      </c>
      <c r="CE106" s="60">
        <f t="shared" si="94"/>
        <v>248.38190023108666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3.0769230769230718</v>
      </c>
      <c r="CT106" s="13">
        <f>IF('Données projet'!$A$140&gt;35,CT105+CS106-DB105,IF(A106&lt;'Données projet'!$A$140,$CQ$205^A106,IF(A106='Données projet'!$A$140,'Données projet'!$B$140,CT105+CS106-DB105)))</f>
        <v>284.87179487179469</v>
      </c>
      <c r="CU106" s="18">
        <f>CT106*VLOOKUP('Données projet'!$B$13,Paramètres!$A$1:$I$89,3,0)*VLOOKUP('Données projet'!$B$13,Paramètres!$A$1:$I$89,5,0)</f>
        <v>191.09199999999987</v>
      </c>
      <c r="CV106" s="14">
        <f t="shared" si="95"/>
        <v>47.781297962842437</v>
      </c>
      <c r="CW106" s="22">
        <f t="shared" si="67"/>
        <v>416.03766061861705</v>
      </c>
      <c r="CX106" s="60">
        <f t="shared" si="68"/>
        <v>709.37099395195037</v>
      </c>
      <c r="CY106" s="60">
        <f ca="1">AVERAGE(OFFSET($CX$3,0,0,'Données projet'!$E$13+1,1))-AVERAGE(OFFSET($H$3,0,0,'Données projet'!$E$13+1,1))</f>
        <v>199.36703853638392</v>
      </c>
      <c r="CZ106" s="60">
        <f t="shared" si="96"/>
        <v>145.15653612907363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8">
        <f t="shared" si="56"/>
        <v>405.92155947794635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0">
        <f t="shared" si="55"/>
        <v>838.6627946025028</v>
      </c>
      <c r="S107" s="60">
        <f ca="1">AVERAGE(OFFSET($R$3,0,0,'Données projet'!$E$9+1,1))-AVERAGE(OFFSET($H$3,0,0,'Données projet'!$E$9+1,1))</f>
        <v>314.4389771131751</v>
      </c>
      <c r="T107" s="60">
        <f t="shared" si="88"/>
        <v>176.7239677722049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0">
        <f t="shared" si="59"/>
        <v>902.90890155189049</v>
      </c>
      <c r="AN107" s="60">
        <f ca="1">AVERAGE(OFFSET($AM$3,0,0,'Données projet'!$E$10+1,1))-AVERAGE(OFFSET($H$3,0,0,'Données projet'!$E$10+1,1))</f>
        <v>361.06925636707814</v>
      </c>
      <c r="AO107" s="60">
        <f t="shared" si="90"/>
        <v>201.44775212076888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6.3550942286383367E-14</v>
      </c>
      <c r="BF107" s="14">
        <f t="shared" si="91"/>
        <v>1.0064464192543978E-12</v>
      </c>
      <c r="BG107" s="22">
        <f t="shared" si="61"/>
        <v>1.8635787380168604E-12</v>
      </c>
      <c r="BH107" s="60">
        <f t="shared" si="62"/>
        <v>293.33333333333519</v>
      </c>
      <c r="BI107" s="60">
        <f ca="1">AVERAGE(OFFSET($BH$3,0,0,'Données projet'!$E$11+1,1))-AVERAGE(OFFSET($H$3,0,0,'Données projet'!$E$11+1,1))</f>
        <v>253.63061102077421</v>
      </c>
      <c r="BJ107" s="60">
        <f t="shared" si="92"/>
        <v>230.98056275369652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2.6497383729911745</v>
      </c>
      <c r="BR107" s="23">
        <f>EXP(-LN(2)/2)*BR106+(1-EXP(-LN(2)/2))/(LN(2)/2)*BL107*BO107*VLOOKUP('Données projet'!$B$11,Paramètres!$A$1:$I$89,3,0)*0.475*44/12</f>
        <v>7.1749539847939198E-11</v>
      </c>
      <c r="BS107" s="24">
        <f t="shared" si="63"/>
        <v>2.6497383730629243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-1.7053025658242404E-13</v>
      </c>
      <c r="BZ107" s="14">
        <f>BY107*VLOOKUP('Données projet'!$B$12,Paramètres!$A$1:$I$89,3,0)*VLOOKUP('Données projet'!$B$12,Paramètres!$A$1:$I$89,5,0)</f>
        <v>-1.250327841262333E-13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216.97968518094325</v>
      </c>
      <c r="CE107" s="60">
        <f t="shared" si="94"/>
        <v>248.38190023108666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3.0769230769230718</v>
      </c>
      <c r="CT107" s="13">
        <f>IF('Données projet'!$A$140&gt;35,CT106+CS107-DB106,IF(A107&lt;'Données projet'!$A$140,$CQ$205^A107,IF(A107='Données projet'!$A$140,'Données projet'!$B$140,CT106+CS107-DB106)))</f>
        <v>287.94871794871779</v>
      </c>
      <c r="CU107" s="18">
        <f>CT107*VLOOKUP('Données projet'!$B$13,Paramètres!$A$1:$I$89,3,0)*VLOOKUP('Données projet'!$B$13,Paramètres!$A$1:$I$89,5,0)</f>
        <v>193.15599999999989</v>
      </c>
      <c r="CV107" s="14">
        <f t="shared" si="95"/>
        <v>48.237029240325811</v>
      </c>
      <c r="CW107" s="22">
        <f t="shared" si="67"/>
        <v>420.42619259356724</v>
      </c>
      <c r="CX107" s="60">
        <f t="shared" si="68"/>
        <v>713.75952592690055</v>
      </c>
      <c r="CY107" s="60">
        <f ca="1">AVERAGE(OFFSET($CX$3,0,0,'Données projet'!$E$13+1,1))-AVERAGE(OFFSET($H$3,0,0,'Données projet'!$E$13+1,1))</f>
        <v>199.36703853638392</v>
      </c>
      <c r="CZ107" s="60">
        <f t="shared" si="96"/>
        <v>145.15653612907363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8">
        <f t="shared" si="56"/>
        <v>406.9755188632746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0">
        <f t="shared" si="55"/>
        <v>847.07855918499604</v>
      </c>
      <c r="S108" s="60">
        <f ca="1">AVERAGE(OFFSET($R$3,0,0,'Données projet'!$E$9+1,1))-AVERAGE(OFFSET($H$3,0,0,'Données projet'!$E$9+1,1))</f>
        <v>314.4389771131751</v>
      </c>
      <c r="T108" s="60">
        <f t="shared" si="88"/>
        <v>176.7239677722049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0">
        <f t="shared" si="59"/>
        <v>912.31847938482474</v>
      </c>
      <c r="AN108" s="60">
        <f ca="1">AVERAGE(OFFSET($AM$3,0,0,'Données projet'!$E$10+1,1))-AVERAGE(OFFSET($H$3,0,0,'Données projet'!$E$10+1,1))</f>
        <v>361.06925636707814</v>
      </c>
      <c r="AO108" s="60">
        <f t="shared" si="90"/>
        <v>201.44775212076888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6.3550942286383367E-14</v>
      </c>
      <c r="BF108" s="14">
        <f t="shared" si="91"/>
        <v>1.0064464192543978E-12</v>
      </c>
      <c r="BG108" s="22">
        <f t="shared" si="61"/>
        <v>1.8635787380168604E-12</v>
      </c>
      <c r="BH108" s="60">
        <f t="shared" si="62"/>
        <v>293.33333333333519</v>
      </c>
      <c r="BI108" s="60">
        <f ca="1">AVERAGE(OFFSET($BH$3,0,0,'Données projet'!$E$11+1,1))-AVERAGE(OFFSET($H$3,0,0,'Données projet'!$E$11+1,1))</f>
        <v>253.63061102077421</v>
      </c>
      <c r="BJ108" s="60">
        <f t="shared" si="92"/>
        <v>230.98056275369652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2.577281137838046</v>
      </c>
      <c r="BR108" s="23">
        <f>EXP(-LN(2)/2)*BR107+(1-EXP(-LN(2)/2))/(LN(2)/2)*BL108*BO108*VLOOKUP('Données projet'!$B$11,Paramètres!$A$1:$I$89,3,0)*0.475*44/12</f>
        <v>5.0734586173492215E-11</v>
      </c>
      <c r="BS108" s="24">
        <f t="shared" si="63"/>
        <v>2.5772811378887805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-1.7053025658242404E-13</v>
      </c>
      <c r="BZ108" s="14">
        <f>BY108*VLOOKUP('Données projet'!$B$12,Paramètres!$A$1:$I$89,3,0)*VLOOKUP('Données projet'!$B$12,Paramètres!$A$1:$I$89,5,0)</f>
        <v>-1.250327841262333E-13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216.97968518094325</v>
      </c>
      <c r="CE108" s="60">
        <f t="shared" si="94"/>
        <v>248.38190023108666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291.02564102564099</v>
      </c>
      <c r="CR108" s="13">
        <f>VLOOKUP(A108,'Données projet'!$A$139:$I$159,9,0)</f>
        <v>3.0769230769230718</v>
      </c>
      <c r="CS108" s="13">
        <f t="array" ref="CS108">INDEX(CR:CR,MIN(IF(ISNUMBER(CR108:CR304),ROW(CR108:CR304),"")))</f>
        <v>3.0769230769230718</v>
      </c>
      <c r="CT108" s="13">
        <f>IF('Données projet'!$A$140&gt;35,CT107+CS108-DB107,IF(A108&lt;'Données projet'!$A$140,$CQ$205^A108,IF(A108='Données projet'!$A$140,'Données projet'!$B$140,CT107+CS108-DB107)))</f>
        <v>291.02564102564088</v>
      </c>
      <c r="CU108" s="18">
        <f>CT108*VLOOKUP('Données projet'!$B$13,Paramètres!$A$1:$I$89,3,0)*VLOOKUP('Données projet'!$B$13,Paramètres!$A$1:$I$89,5,0)</f>
        <v>195.21999999999991</v>
      </c>
      <c r="CV108" s="14">
        <f t="shared" si="95"/>
        <v>48.692194015108576</v>
      </c>
      <c r="CW108" s="22">
        <f t="shared" si="67"/>
        <v>424.81373790964727</v>
      </c>
      <c r="CX108" s="60">
        <f t="shared" si="68"/>
        <v>718.14707124298059</v>
      </c>
      <c r="CY108" s="60">
        <f ca="1">AVERAGE(OFFSET($CX$3,0,0,'Données projet'!$E$13+1,1))-AVERAGE(OFFSET($H$3,0,0,'Données projet'!$E$13+1,1))</f>
        <v>199.36703853638392</v>
      </c>
      <c r="CZ108" s="60">
        <f t="shared" si="96"/>
        <v>145.15653612907363</v>
      </c>
      <c r="DA108" s="16">
        <f>IF(ISNA(VLOOKUP(A108,'Données projet'!$A$139:$I$159,3,0)),0,VLOOKUP(A108,'Données projet'!$A$139:$I$159,3,0))</f>
        <v>9</v>
      </c>
      <c r="DB108" s="16">
        <f>IF(ISNA(VLOOKUP(A108,'Données projet'!$A$139:$I$159,4,0)),0,VLOOKUP(A108,'Données projet'!$A$139:$I$159,4,0))</f>
        <v>20.512820512820511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8">
        <f t="shared" si="56"/>
        <v>408.0292386847965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0">
        <f t="shared" si="55"/>
        <v>855.49164406048612</v>
      </c>
      <c r="S109" s="60">
        <f ca="1">AVERAGE(OFFSET($R$3,0,0,'Données projet'!$E$9+1,1))-AVERAGE(OFFSET($H$3,0,0,'Données projet'!$E$9+1,1))</f>
        <v>314.4389771131751</v>
      </c>
      <c r="T109" s="60">
        <f t="shared" si="88"/>
        <v>176.7239677722049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0">
        <f t="shared" si="59"/>
        <v>921.72509366558074</v>
      </c>
      <c r="AN109" s="60">
        <f ca="1">AVERAGE(OFFSET($AM$3,0,0,'Données projet'!$E$10+1,1))-AVERAGE(OFFSET($H$3,0,0,'Données projet'!$E$10+1,1))</f>
        <v>361.06925636707814</v>
      </c>
      <c r="AO109" s="60">
        <f t="shared" si="90"/>
        <v>201.44775212076888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6.3550942286383367E-14</v>
      </c>
      <c r="BF109" s="14">
        <f t="shared" si="91"/>
        <v>1.0064464192543978E-12</v>
      </c>
      <c r="BG109" s="22">
        <f t="shared" si="61"/>
        <v>1.8635787380168604E-12</v>
      </c>
      <c r="BH109" s="60">
        <f t="shared" si="62"/>
        <v>293.33333333333519</v>
      </c>
      <c r="BI109" s="60">
        <f ca="1">AVERAGE(OFFSET($BH$3,0,0,'Données projet'!$E$11+1,1))-AVERAGE(OFFSET($H$3,0,0,'Données projet'!$E$11+1,1))</f>
        <v>253.63061102077421</v>
      </c>
      <c r="BJ109" s="60">
        <f t="shared" si="92"/>
        <v>230.98056275369652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2.5068052495905402</v>
      </c>
      <c r="BR109" s="23">
        <f>EXP(-LN(2)/2)*BR108+(1-EXP(-LN(2)/2))/(LN(2)/2)*BL109*BO109*VLOOKUP('Données projet'!$B$11,Paramètres!$A$1:$I$89,3,0)*0.475*44/12</f>
        <v>3.5874769923969599E-11</v>
      </c>
      <c r="BS109" s="24">
        <f t="shared" si="63"/>
        <v>2.506805249626415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-1.7053025658242404E-13</v>
      </c>
      <c r="BZ109" s="14">
        <f>BY109*VLOOKUP('Données projet'!$B$12,Paramètres!$A$1:$I$89,3,0)*VLOOKUP('Données projet'!$B$12,Paramètres!$A$1:$I$89,5,0)</f>
        <v>-1.250327841262333E-13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216.97968518094325</v>
      </c>
      <c r="CE109" s="60">
        <f t="shared" si="94"/>
        <v>248.38190023108666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3.0769230769230829</v>
      </c>
      <c r="CT109" s="13">
        <f>IF('Données projet'!$A$140&gt;35,CT108+CS109-DB108,IF(A109&lt;'Données projet'!$A$140,$CQ$205^A109,IF(A109='Données projet'!$A$140,'Données projet'!$B$140,CT108+CS109-DB108)))</f>
        <v>273.58974358974348</v>
      </c>
      <c r="CU109" s="18">
        <f>CT109*VLOOKUP('Données projet'!$B$13,Paramètres!$A$1:$I$89,3,0)*VLOOKUP('Données projet'!$B$13,Paramètres!$A$1:$I$89,5,0)</f>
        <v>183.52399999999994</v>
      </c>
      <c r="CV109" s="14">
        <f t="shared" si="95"/>
        <v>46.10532434349372</v>
      </c>
      <c r="CW109" s="22">
        <f t="shared" si="67"/>
        <v>399.93773989825144</v>
      </c>
      <c r="CX109" s="60">
        <f t="shared" si="68"/>
        <v>693.27107323158475</v>
      </c>
      <c r="CY109" s="60">
        <f ca="1">AVERAGE(OFFSET($CX$3,0,0,'Données projet'!$E$13+1,1))-AVERAGE(OFFSET($H$3,0,0,'Données projet'!$E$13+1,1))</f>
        <v>199.36703853638392</v>
      </c>
      <c r="CZ109" s="60">
        <f t="shared" si="96"/>
        <v>145.15653612907363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8">
        <f t="shared" si="56"/>
        <v>409.08272146430653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0">
        <f t="shared" si="55"/>
        <v>863.9020949925864</v>
      </c>
      <c r="S110" s="60">
        <f ca="1">AVERAGE(OFFSET($R$3,0,0,'Données projet'!$E$9+1,1))-AVERAGE(OFFSET($H$3,0,0,'Données projet'!$E$9+1,1))</f>
        <v>314.4389771131751</v>
      </c>
      <c r="T110" s="60">
        <f t="shared" si="88"/>
        <v>176.7239677722049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0">
        <f t="shared" si="59"/>
        <v>931.12879500523582</v>
      </c>
      <c r="AN110" s="60">
        <f ca="1">AVERAGE(OFFSET($AM$3,0,0,'Données projet'!$E$10+1,1))-AVERAGE(OFFSET($H$3,0,0,'Données projet'!$E$10+1,1))</f>
        <v>361.06925636707814</v>
      </c>
      <c r="AO110" s="60">
        <f t="shared" si="90"/>
        <v>201.44775212076888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6.3550942286383367E-14</v>
      </c>
      <c r="BF110" s="14">
        <f t="shared" si="91"/>
        <v>1.0064464192543978E-12</v>
      </c>
      <c r="BG110" s="22">
        <f t="shared" si="61"/>
        <v>1.8635787380168604E-12</v>
      </c>
      <c r="BH110" s="60">
        <f t="shared" si="62"/>
        <v>293.33333333333519</v>
      </c>
      <c r="BI110" s="60">
        <f ca="1">AVERAGE(OFFSET($BH$3,0,0,'Données projet'!$E$11+1,1))-AVERAGE(OFFSET($H$3,0,0,'Données projet'!$E$11+1,1))</f>
        <v>253.63061102077421</v>
      </c>
      <c r="BJ110" s="60">
        <f t="shared" si="92"/>
        <v>230.98056275369652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2.4382565282133282</v>
      </c>
      <c r="BR110" s="23">
        <f>EXP(-LN(2)/2)*BR109+(1-EXP(-LN(2)/2))/(LN(2)/2)*BL110*BO110*VLOOKUP('Données projet'!$B$11,Paramètres!$A$1:$I$89,3,0)*0.475*44/12</f>
        <v>2.5367293086746108E-11</v>
      </c>
      <c r="BS110" s="24">
        <f t="shared" si="63"/>
        <v>2.4382565282386954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-1.7053025658242404E-13</v>
      </c>
      <c r="BZ110" s="14">
        <f>BY110*VLOOKUP('Données projet'!$B$12,Paramètres!$A$1:$I$89,3,0)*VLOOKUP('Données projet'!$B$12,Paramètres!$A$1:$I$89,5,0)</f>
        <v>-1.250327841262333E-13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216.97968518094325</v>
      </c>
      <c r="CE110" s="60">
        <f t="shared" si="94"/>
        <v>248.38190023108666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3.0769230769230829</v>
      </c>
      <c r="CT110" s="13">
        <f>IF('Données projet'!$A$140&gt;35,CT109+CS110-DB109,IF(A110&lt;'Données projet'!$A$140,$CQ$205^A110,IF(A110='Données projet'!$A$140,'Données projet'!$B$140,CT109+CS110-DB109)))</f>
        <v>276.66666666666657</v>
      </c>
      <c r="CU110" s="18">
        <f>CT110*VLOOKUP('Données projet'!$B$13,Paramètres!$A$1:$I$89,3,0)*VLOOKUP('Données projet'!$B$13,Paramètres!$A$1:$I$89,5,0)</f>
        <v>185.58799999999994</v>
      </c>
      <c r="CV110" s="14">
        <f t="shared" si="95"/>
        <v>46.563192499694225</v>
      </c>
      <c r="CW110" s="22">
        <f t="shared" si="67"/>
        <v>404.32999360363397</v>
      </c>
      <c r="CX110" s="60">
        <f t="shared" si="68"/>
        <v>697.66332693696722</v>
      </c>
      <c r="CY110" s="60">
        <f ca="1">AVERAGE(OFFSET($CX$3,0,0,'Données projet'!$E$13+1,1))-AVERAGE(OFFSET($H$3,0,0,'Données projet'!$E$13+1,1))</f>
        <v>199.36703853638392</v>
      </c>
      <c r="CZ110" s="60">
        <f t="shared" si="96"/>
        <v>145.15653612907363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8">
        <f t="shared" si="56"/>
        <v>410.13596967374428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0">
        <f t="shared" si="55"/>
        <v>872.30995628558094</v>
      </c>
      <c r="S111" s="60">
        <f ca="1">AVERAGE(OFFSET($R$3,0,0,'Données projet'!$E$9+1,1))-AVERAGE(OFFSET($H$3,0,0,'Données projet'!$E$9+1,1))</f>
        <v>314.4389771131751</v>
      </c>
      <c r="T111" s="60">
        <f t="shared" si="88"/>
        <v>176.7239677722049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0">
        <f t="shared" si="59"/>
        <v>940.52963240095801</v>
      </c>
      <c r="AN111" s="60">
        <f ca="1">AVERAGE(OFFSET($AM$3,0,0,'Données projet'!$E$10+1,1))-AVERAGE(OFFSET($H$3,0,0,'Données projet'!$E$10+1,1))</f>
        <v>361.06925636707814</v>
      </c>
      <c r="AO111" s="60">
        <f t="shared" si="90"/>
        <v>201.44775212076888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6.3550942286383367E-14</v>
      </c>
      <c r="BF111" s="14">
        <f t="shared" si="91"/>
        <v>1.0064464192543978E-12</v>
      </c>
      <c r="BG111" s="22">
        <f t="shared" si="61"/>
        <v>1.8635787380168604E-12</v>
      </c>
      <c r="BH111" s="60">
        <f t="shared" si="62"/>
        <v>293.33333333333519</v>
      </c>
      <c r="BI111" s="60">
        <f ca="1">AVERAGE(OFFSET($BH$3,0,0,'Données projet'!$E$11+1,1))-AVERAGE(OFFSET($H$3,0,0,'Données projet'!$E$11+1,1))</f>
        <v>253.63061102077421</v>
      </c>
      <c r="BJ111" s="60">
        <f t="shared" si="92"/>
        <v>230.98056275369652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2.3715822752269964</v>
      </c>
      <c r="BR111" s="23">
        <f>EXP(-LN(2)/2)*BR110+(1-EXP(-LN(2)/2))/(LN(2)/2)*BL111*BO111*VLOOKUP('Données projet'!$B$11,Paramètres!$A$1:$I$89,3,0)*0.475*44/12</f>
        <v>1.7937384961984799E-11</v>
      </c>
      <c r="BS111" s="24">
        <f t="shared" si="63"/>
        <v>2.3715822752449336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-1.7053025658242404E-13</v>
      </c>
      <c r="BZ111" s="14">
        <f>BY111*VLOOKUP('Données projet'!$B$12,Paramètres!$A$1:$I$89,3,0)*VLOOKUP('Données projet'!$B$12,Paramètres!$A$1:$I$89,5,0)</f>
        <v>-1.250327841262333E-13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216.97968518094325</v>
      </c>
      <c r="CE111" s="60">
        <f t="shared" si="94"/>
        <v>248.38190023108666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3.0769230769230829</v>
      </c>
      <c r="CT111" s="13">
        <f>IF('Données projet'!$A$140&gt;35,CT110+CS111-DB110,IF(A111&lt;'Données projet'!$A$140,$CQ$205^A111,IF(A111='Données projet'!$A$140,'Données projet'!$B$140,CT110+CS111-DB110)))</f>
        <v>279.74358974358967</v>
      </c>
      <c r="CU111" s="18">
        <f>CT111*VLOOKUP('Données projet'!$B$13,Paramètres!$A$1:$I$89,3,0)*VLOOKUP('Données projet'!$B$13,Paramètres!$A$1:$I$89,5,0)</f>
        <v>187.65199999999996</v>
      </c>
      <c r="CV111" s="14">
        <f t="shared" si="95"/>
        <v>47.020468301498148</v>
      </c>
      <c r="CW111" s="22">
        <f t="shared" si="67"/>
        <v>408.72121562510921</v>
      </c>
      <c r="CX111" s="60">
        <f t="shared" si="68"/>
        <v>702.05454895844252</v>
      </c>
      <c r="CY111" s="60">
        <f ca="1">AVERAGE(OFFSET($CX$3,0,0,'Données projet'!$E$13+1,1))-AVERAGE(OFFSET($H$3,0,0,'Données projet'!$E$13+1,1))</f>
        <v>199.36703853638392</v>
      </c>
      <c r="CZ111" s="60">
        <f t="shared" si="96"/>
        <v>145.15653612907363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8">
        <f t="shared" si="56"/>
        <v>411.18898573663273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0">
        <f t="shared" si="55"/>
        <v>880.71527085193179</v>
      </c>
      <c r="S112" s="60">
        <f ca="1">AVERAGE(OFFSET($R$3,0,0,'Données projet'!$E$9+1,1))-AVERAGE(OFFSET($H$3,0,0,'Données projet'!$E$9+1,1))</f>
        <v>314.4389771131751</v>
      </c>
      <c r="T112" s="60">
        <f t="shared" si="88"/>
        <v>176.7239677722049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0">
        <f t="shared" si="59"/>
        <v>949.92765331066835</v>
      </c>
      <c r="AN112" s="60">
        <f ca="1">AVERAGE(OFFSET($AM$3,0,0,'Données projet'!$E$10+1,1))-AVERAGE(OFFSET($H$3,0,0,'Données projet'!$E$10+1,1))</f>
        <v>361.06925636707814</v>
      </c>
      <c r="AO112" s="60">
        <f t="shared" si="90"/>
        <v>201.44775212076888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6.3550942286383367E-14</v>
      </c>
      <c r="BF112" s="14">
        <f t="shared" si="91"/>
        <v>1.0064464192543978E-12</v>
      </c>
      <c r="BG112" s="22">
        <f t="shared" si="61"/>
        <v>1.8635787380168604E-12</v>
      </c>
      <c r="BH112" s="60">
        <f t="shared" si="62"/>
        <v>293.33333333333519</v>
      </c>
      <c r="BI112" s="60">
        <f ca="1">AVERAGE(OFFSET($BH$3,0,0,'Données projet'!$E$11+1,1))-AVERAGE(OFFSET($H$3,0,0,'Données projet'!$E$11+1,1))</f>
        <v>253.63061102077421</v>
      </c>
      <c r="BJ112" s="60">
        <f t="shared" si="92"/>
        <v>230.98056275369652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2.3067312331948227</v>
      </c>
      <c r="BR112" s="23">
        <f>EXP(-LN(2)/2)*BR111+(1-EXP(-LN(2)/2))/(LN(2)/2)*BL112*BO112*VLOOKUP('Données projet'!$B$11,Paramètres!$A$1:$I$89,3,0)*0.475*44/12</f>
        <v>1.2683646543373054E-11</v>
      </c>
      <c r="BS112" s="24">
        <f t="shared" si="63"/>
        <v>2.3067312332075063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-1.7053025658242404E-13</v>
      </c>
      <c r="BZ112" s="14">
        <f>BY112*VLOOKUP('Données projet'!$B$12,Paramètres!$A$1:$I$89,3,0)*VLOOKUP('Données projet'!$B$12,Paramètres!$A$1:$I$89,5,0)</f>
        <v>-1.250327841262333E-13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216.97968518094325</v>
      </c>
      <c r="CE112" s="60">
        <f t="shared" si="94"/>
        <v>248.38190023108666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3.0769230769230829</v>
      </c>
      <c r="CT112" s="13">
        <f>IF('Données projet'!$A$140&gt;35,CT111+CS112-DB111,IF(A112&lt;'Données projet'!$A$140,$CQ$205^A112,IF(A112='Données projet'!$A$140,'Données projet'!$B$140,CT111+CS112-DB111)))</f>
        <v>282.82051282051276</v>
      </c>
      <c r="CU112" s="18">
        <f>CT112*VLOOKUP('Données projet'!$B$13,Paramètres!$A$1:$I$89,3,0)*VLOOKUP('Données projet'!$B$13,Paramètres!$A$1:$I$89,5,0)</f>
        <v>189.71599999999998</v>
      </c>
      <c r="CV112" s="14">
        <f t="shared" si="95"/>
        <v>47.477159018288674</v>
      </c>
      <c r="CW112" s="22">
        <f t="shared" si="67"/>
        <v>413.11141862351934</v>
      </c>
      <c r="CX112" s="60">
        <f t="shared" si="68"/>
        <v>706.44475195685266</v>
      </c>
      <c r="CY112" s="60">
        <f ca="1">AVERAGE(OFFSET($CX$3,0,0,'Données projet'!$E$13+1,1))-AVERAGE(OFFSET($H$3,0,0,'Données projet'!$E$13+1,1))</f>
        <v>199.36703853638392</v>
      </c>
      <c r="CZ112" s="60">
        <f t="shared" si="96"/>
        <v>145.15653612907363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8">
        <f t="shared" si="56"/>
        <v>412.2417720294614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0">
        <f t="shared" si="55"/>
        <v>889.11808027572556</v>
      </c>
      <c r="S113" s="60">
        <f ca="1">AVERAGE(OFFSET($R$3,0,0,'Données projet'!$E$9+1,1))-AVERAGE(OFFSET($H$3,0,0,'Données projet'!$E$9+1,1))</f>
        <v>314.4389771131751</v>
      </c>
      <c r="T113" s="60">
        <f t="shared" si="88"/>
        <v>176.7239677722049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0">
        <f t="shared" si="59"/>
        <v>959.32290372320404</v>
      </c>
      <c r="AN113" s="60">
        <f ca="1">AVERAGE(OFFSET($AM$3,0,0,'Données projet'!$E$10+1,1))-AVERAGE(OFFSET($H$3,0,0,'Données projet'!$E$10+1,1))</f>
        <v>361.06925636707814</v>
      </c>
      <c r="AO113" s="60">
        <f t="shared" si="90"/>
        <v>201.44775212076888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6.3550942286383367E-14</v>
      </c>
      <c r="BF113" s="14">
        <f t="shared" si="91"/>
        <v>1.0064464192543978E-12</v>
      </c>
      <c r="BG113" s="22">
        <f t="shared" si="61"/>
        <v>1.8635787380168604E-12</v>
      </c>
      <c r="BH113" s="60">
        <f t="shared" si="62"/>
        <v>293.33333333333519</v>
      </c>
      <c r="BI113" s="60">
        <f ca="1">AVERAGE(OFFSET($BH$3,0,0,'Données projet'!$E$11+1,1))-AVERAGE(OFFSET($H$3,0,0,'Données projet'!$E$11+1,1))</f>
        <v>253.63061102077421</v>
      </c>
      <c r="BJ113" s="60">
        <f t="shared" si="92"/>
        <v>230.98056275369652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2.2436535463173866</v>
      </c>
      <c r="BR113" s="23">
        <f>EXP(-LN(2)/2)*BR112+(1-EXP(-LN(2)/2))/(LN(2)/2)*BL113*BO113*VLOOKUP('Données projet'!$B$11,Paramètres!$A$1:$I$89,3,0)*0.475*44/12</f>
        <v>8.9686924809923997E-12</v>
      </c>
      <c r="BS113" s="24">
        <f t="shared" si="63"/>
        <v>2.2436535463263554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-1.7053025658242404E-13</v>
      </c>
      <c r="BZ113" s="14">
        <f>BY113*VLOOKUP('Données projet'!$B$12,Paramètres!$A$1:$I$89,3,0)*VLOOKUP('Données projet'!$B$12,Paramètres!$A$1:$I$89,5,0)</f>
        <v>-1.250327841262333E-13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216.97968518094325</v>
      </c>
      <c r="CE113" s="60">
        <f t="shared" si="94"/>
        <v>248.38190023108666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285.89743589743591</v>
      </c>
      <c r="CR113" s="13">
        <f>VLOOKUP(A113,'Données projet'!$A$139:$I$159,9,0)</f>
        <v>3.0769230769230829</v>
      </c>
      <c r="CS113" s="13">
        <f t="array" ref="CS113">INDEX(CR:CR,MIN(IF(ISNUMBER(CR113:CR309),ROW(CR113:CR309),"")))</f>
        <v>3.0769230769230829</v>
      </c>
      <c r="CT113" s="13">
        <f>IF('Données projet'!$A$140&gt;35,CT112+CS113-DB112,IF(A113&lt;'Données projet'!$A$140,$CQ$205^A113,IF(A113='Données projet'!$A$140,'Données projet'!$B$140,CT112+CS113-DB112)))</f>
        <v>285.89743589743586</v>
      </c>
      <c r="CU113" s="18">
        <f>CT113*VLOOKUP('Données projet'!$B$13,Paramètres!$A$1:$I$89,3,0)*VLOOKUP('Données projet'!$B$13,Paramètres!$A$1:$I$89,5,0)</f>
        <v>191.77999999999997</v>
      </c>
      <c r="CV113" s="14">
        <f t="shared" si="95"/>
        <v>47.93327175216595</v>
      </c>
      <c r="CW113" s="22">
        <f t="shared" si="67"/>
        <v>417.50061496835565</v>
      </c>
      <c r="CX113" s="60">
        <f t="shared" si="68"/>
        <v>710.83394830168891</v>
      </c>
      <c r="CY113" s="60">
        <f ca="1">AVERAGE(OFFSET($CX$3,0,0,'Données projet'!$E$13+1,1))-AVERAGE(OFFSET($H$3,0,0,'Données projet'!$E$13+1,1))</f>
        <v>199.36703853638392</v>
      </c>
      <c r="CZ113" s="60">
        <f t="shared" si="96"/>
        <v>145.15653612907363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285.89743589743591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8">
        <f t="shared" si="56"/>
        <v>413.29433088301869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0">
        <f t="shared" si="55"/>
        <v>821.63161043190416</v>
      </c>
      <c r="S114" s="60">
        <f ca="1">AVERAGE(OFFSET($R$3,0,0,'Données projet'!$E$9+1,1))-AVERAGE(OFFSET($H$3,0,0,'Données projet'!$E$9+1,1))</f>
        <v>314.4389771131751</v>
      </c>
      <c r="T114" s="60">
        <f t="shared" si="88"/>
        <v>176.7239677722049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0">
        <f t="shared" si="59"/>
        <v>883.86661576478514</v>
      </c>
      <c r="AN114" s="60">
        <f ca="1">AVERAGE(OFFSET($AM$3,0,0,'Données projet'!$E$10+1,1))-AVERAGE(OFFSET($H$3,0,0,'Données projet'!$E$10+1,1))</f>
        <v>361.06925636707814</v>
      </c>
      <c r="AO114" s="60">
        <f t="shared" si="90"/>
        <v>201.44775212076888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6.3550942286383367E-14</v>
      </c>
      <c r="BF114" s="14">
        <f t="shared" si="91"/>
        <v>1.0064464192543978E-12</v>
      </c>
      <c r="BG114" s="22">
        <f t="shared" si="61"/>
        <v>1.8635787380168604E-12</v>
      </c>
      <c r="BH114" s="60">
        <f t="shared" si="62"/>
        <v>293.33333333333519</v>
      </c>
      <c r="BI114" s="60">
        <f ca="1">AVERAGE(OFFSET($BH$3,0,0,'Données projet'!$E$11+1,1))-AVERAGE(OFFSET($H$3,0,0,'Données projet'!$E$11+1,1))</f>
        <v>253.63061102077421</v>
      </c>
      <c r="BJ114" s="60">
        <f t="shared" si="92"/>
        <v>230.98056275369652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2.1823007221047255</v>
      </c>
      <c r="BR114" s="23">
        <f>EXP(-LN(2)/2)*BR113+(1-EXP(-LN(2)/2))/(LN(2)/2)*BL114*BO114*VLOOKUP('Données projet'!$B$11,Paramètres!$A$1:$I$89,3,0)*0.475*44/12</f>
        <v>6.3418232716865269E-12</v>
      </c>
      <c r="BS114" s="24">
        <f t="shared" si="63"/>
        <v>2.1823007221110675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-1.7053025658242404E-13</v>
      </c>
      <c r="BZ114" s="14">
        <f>BY114*VLOOKUP('Données projet'!$B$12,Paramètres!$A$1:$I$89,3,0)*VLOOKUP('Données projet'!$B$12,Paramètres!$A$1:$I$89,5,0)</f>
        <v>-1.250327841262333E-13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216.97968518094325</v>
      </c>
      <c r="CE114" s="60">
        <f t="shared" si="94"/>
        <v>248.38190023108666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-3.813056537183002E-14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199.36703853638392</v>
      </c>
      <c r="CZ114" s="60">
        <f t="shared" si="96"/>
        <v>145.15653612907363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8">
        <f t="shared" si="56"/>
        <v>414.34666458367406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0">
        <f t="shared" si="55"/>
        <v>828.7133714063857</v>
      </c>
      <c r="S115" s="60">
        <f ca="1">AVERAGE(OFFSET($R$3,0,0,'Données projet'!$E$9+1,1))-AVERAGE(OFFSET($H$3,0,0,'Données projet'!$E$9+1,1))</f>
        <v>314.4389771131751</v>
      </c>
      <c r="T115" s="60">
        <f t="shared" si="88"/>
        <v>176.7239677722049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0">
        <f t="shared" si="59"/>
        <v>891.78459897725043</v>
      </c>
      <c r="AN115" s="60">
        <f ca="1">AVERAGE(OFFSET($AM$3,0,0,'Données projet'!$E$10+1,1))-AVERAGE(OFFSET($H$3,0,0,'Données projet'!$E$10+1,1))</f>
        <v>361.06925636707814</v>
      </c>
      <c r="AO115" s="60">
        <f t="shared" si="90"/>
        <v>201.44775212076888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6.3550942286383367E-14</v>
      </c>
      <c r="BF115" s="14">
        <f t="shared" si="91"/>
        <v>1.0064464192543978E-12</v>
      </c>
      <c r="BG115" s="22">
        <f t="shared" si="61"/>
        <v>1.8635787380168604E-12</v>
      </c>
      <c r="BH115" s="60">
        <f t="shared" si="62"/>
        <v>293.33333333333519</v>
      </c>
      <c r="BI115" s="60">
        <f ca="1">AVERAGE(OFFSET($BH$3,0,0,'Données projet'!$E$11+1,1))-AVERAGE(OFFSET($H$3,0,0,'Données projet'!$E$11+1,1))</f>
        <v>253.63061102077421</v>
      </c>
      <c r="BJ115" s="60">
        <f t="shared" si="92"/>
        <v>230.98056275369652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2.1226255940965646</v>
      </c>
      <c r="BR115" s="23">
        <f>EXP(-LN(2)/2)*BR114+(1-EXP(-LN(2)/2))/(LN(2)/2)*BL115*BO115*VLOOKUP('Données projet'!$B$11,Paramètres!$A$1:$I$89,3,0)*0.475*44/12</f>
        <v>4.4843462404961999E-12</v>
      </c>
      <c r="BS115" s="24">
        <f t="shared" si="63"/>
        <v>2.122625594101049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-1.7053025658242404E-13</v>
      </c>
      <c r="BZ115" s="14">
        <f>BY115*VLOOKUP('Données projet'!$B$12,Paramètres!$A$1:$I$89,3,0)*VLOOKUP('Données projet'!$B$12,Paramètres!$A$1:$I$89,5,0)</f>
        <v>-1.250327841262333E-13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216.97968518094325</v>
      </c>
      <c r="CE115" s="60">
        <f t="shared" si="94"/>
        <v>248.38190023108666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-3.813056537183002E-14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199.36703853638392</v>
      </c>
      <c r="CZ115" s="60">
        <f t="shared" si="96"/>
        <v>145.15653612907363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8">
        <f t="shared" si="56"/>
        <v>415.39877537461348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0">
        <f t="shared" si="55"/>
        <v>835.79316307617296</v>
      </c>
      <c r="S116" s="60">
        <f ca="1">AVERAGE(OFFSET($R$3,0,0,'Données projet'!$E$9+1,1))-AVERAGE(OFFSET($H$3,0,0,'Données projet'!$E$9+1,1))</f>
        <v>314.4389771131751</v>
      </c>
      <c r="T116" s="60">
        <f t="shared" si="88"/>
        <v>176.7239677722049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0">
        <f t="shared" si="59"/>
        <v>899.70040428847165</v>
      </c>
      <c r="AN116" s="60">
        <f ca="1">AVERAGE(OFFSET($AM$3,0,0,'Données projet'!$E$10+1,1))-AVERAGE(OFFSET($H$3,0,0,'Données projet'!$E$10+1,1))</f>
        <v>361.06925636707814</v>
      </c>
      <c r="AO116" s="60">
        <f t="shared" si="90"/>
        <v>201.44775212076888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6.3550942286383367E-14</v>
      </c>
      <c r="BF116" s="14">
        <f t="shared" si="91"/>
        <v>1.0064464192543978E-12</v>
      </c>
      <c r="BG116" s="22">
        <f t="shared" si="61"/>
        <v>1.8635787380168604E-12</v>
      </c>
      <c r="BH116" s="60">
        <f t="shared" si="62"/>
        <v>293.33333333333519</v>
      </c>
      <c r="BI116" s="60">
        <f ca="1">AVERAGE(OFFSET($BH$3,0,0,'Données projet'!$E$11+1,1))-AVERAGE(OFFSET($H$3,0,0,'Données projet'!$E$11+1,1))</f>
        <v>253.63061102077421</v>
      </c>
      <c r="BJ116" s="60">
        <f t="shared" si="92"/>
        <v>230.98056275369652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2.0645822856019653</v>
      </c>
      <c r="BR116" s="23">
        <f>EXP(-LN(2)/2)*BR115+(1-EXP(-LN(2)/2))/(LN(2)/2)*BL116*BO116*VLOOKUP('Données projet'!$B$11,Paramètres!$A$1:$I$89,3,0)*0.475*44/12</f>
        <v>3.1709116358432635E-12</v>
      </c>
      <c r="BS116" s="24">
        <f t="shared" si="63"/>
        <v>2.0645822856051361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-1.7053025658242404E-13</v>
      </c>
      <c r="BZ116" s="14">
        <f>BY116*VLOOKUP('Données projet'!$B$12,Paramètres!$A$1:$I$89,3,0)*VLOOKUP('Données projet'!$B$12,Paramètres!$A$1:$I$89,5,0)</f>
        <v>-1.250327841262333E-13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216.97968518094325</v>
      </c>
      <c r="CE116" s="60">
        <f t="shared" si="94"/>
        <v>248.38190023108666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-3.813056537183002E-14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199.36703853638392</v>
      </c>
      <c r="CZ116" s="60">
        <f t="shared" si="96"/>
        <v>145.15653612907363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8">
        <f t="shared" si="56"/>
        <v>416.45066545702986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0">
        <f t="shared" si="55"/>
        <v>842.87101477628994</v>
      </c>
      <c r="S117" s="60">
        <f ca="1">AVERAGE(OFFSET($R$3,0,0,'Données projet'!$E$9+1,1))-AVERAGE(OFFSET($H$3,0,0,'Données projet'!$E$9+1,1))</f>
        <v>314.4389771131751</v>
      </c>
      <c r="T117" s="60">
        <f t="shared" si="88"/>
        <v>176.7239677722049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0">
        <f t="shared" si="59"/>
        <v>907.61406414075464</v>
      </c>
      <c r="AN117" s="60">
        <f ca="1">AVERAGE(OFFSET($AM$3,0,0,'Données projet'!$E$10+1,1))-AVERAGE(OFFSET($H$3,0,0,'Données projet'!$E$10+1,1))</f>
        <v>361.06925636707814</v>
      </c>
      <c r="AO117" s="60">
        <f t="shared" si="90"/>
        <v>201.44775212076888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6.3550942286383367E-14</v>
      </c>
      <c r="BF117" s="14">
        <f t="shared" si="91"/>
        <v>1.0064464192543978E-12</v>
      </c>
      <c r="BG117" s="22">
        <f t="shared" si="61"/>
        <v>1.8635787380168604E-12</v>
      </c>
      <c r="BH117" s="60">
        <f t="shared" si="62"/>
        <v>293.33333333333519</v>
      </c>
      <c r="BI117" s="60">
        <f ca="1">AVERAGE(OFFSET($BH$3,0,0,'Données projet'!$E$11+1,1))-AVERAGE(OFFSET($H$3,0,0,'Données projet'!$E$11+1,1))</f>
        <v>253.63061102077421</v>
      </c>
      <c r="BJ117" s="60">
        <f t="shared" si="92"/>
        <v>230.98056275369652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2.0081261744305157</v>
      </c>
      <c r="BR117" s="23">
        <f>EXP(-LN(2)/2)*BR116+(1-EXP(-LN(2)/2))/(LN(2)/2)*BL117*BO117*VLOOKUP('Données projet'!$B$11,Paramètres!$A$1:$I$89,3,0)*0.475*44/12</f>
        <v>2.2421731202480999E-12</v>
      </c>
      <c r="BS117" s="24">
        <f t="shared" si="63"/>
        <v>2.0081261744327579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-1.7053025658242404E-13</v>
      </c>
      <c r="BZ117" s="14">
        <f>BY117*VLOOKUP('Données projet'!$B$12,Paramètres!$A$1:$I$89,3,0)*VLOOKUP('Données projet'!$B$12,Paramètres!$A$1:$I$89,5,0)</f>
        <v>-1.250327841262333E-13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216.97968518094325</v>
      </c>
      <c r="CE117" s="60">
        <f t="shared" si="94"/>
        <v>248.38190023108666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-3.813056537183002E-14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199.36703853638392</v>
      </c>
      <c r="CZ117" s="60">
        <f t="shared" si="96"/>
        <v>145.15653612907363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8">
        <f t="shared" si="56"/>
        <v>417.5023369912704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0">
        <f t="shared" si="55"/>
        <v>849.94695502425111</v>
      </c>
      <c r="S118" s="60">
        <f ca="1">AVERAGE(OFFSET($R$3,0,0,'Données projet'!$E$9+1,1))-AVERAGE(OFFSET($H$3,0,0,'Données projet'!$E$9+1,1))</f>
        <v>314.4389771131751</v>
      </c>
      <c r="T118" s="60">
        <f t="shared" si="88"/>
        <v>176.7239677722049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0">
        <f t="shared" si="59"/>
        <v>915.52561007230179</v>
      </c>
      <c r="AN118" s="60">
        <f ca="1">AVERAGE(OFFSET($AM$3,0,0,'Données projet'!$E$10+1,1))-AVERAGE(OFFSET($H$3,0,0,'Données projet'!$E$10+1,1))</f>
        <v>361.06925636707814</v>
      </c>
      <c r="AO118" s="60">
        <f t="shared" si="90"/>
        <v>201.44775212076888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6.3550942286383367E-14</v>
      </c>
      <c r="BF118" s="14">
        <f t="shared" si="91"/>
        <v>1.0064464192543978E-12</v>
      </c>
      <c r="BG118" s="22">
        <f t="shared" si="61"/>
        <v>1.8635787380168604E-12</v>
      </c>
      <c r="BH118" s="60">
        <f t="shared" si="62"/>
        <v>293.33333333333519</v>
      </c>
      <c r="BI118" s="60">
        <f ca="1">AVERAGE(OFFSET($BH$3,0,0,'Données projet'!$E$11+1,1))-AVERAGE(OFFSET($H$3,0,0,'Données projet'!$E$11+1,1))</f>
        <v>253.63061102077421</v>
      </c>
      <c r="BJ118" s="60">
        <f t="shared" si="92"/>
        <v>230.98056275369652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1.9532138585879473</v>
      </c>
      <c r="BR118" s="23">
        <f>EXP(-LN(2)/2)*BR117+(1-EXP(-LN(2)/2))/(LN(2)/2)*BL118*BO118*VLOOKUP('Données projet'!$B$11,Paramètres!$A$1:$I$89,3,0)*0.475*44/12</f>
        <v>1.5854558179216317E-12</v>
      </c>
      <c r="BS118" s="24">
        <f t="shared" si="63"/>
        <v>1.9532138585895327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-1.7053025658242404E-13</v>
      </c>
      <c r="BZ118" s="14">
        <f>BY118*VLOOKUP('Données projet'!$B$12,Paramètres!$A$1:$I$89,3,0)*VLOOKUP('Données projet'!$B$12,Paramètres!$A$1:$I$89,5,0)</f>
        <v>-1.250327841262333E-13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216.97968518094325</v>
      </c>
      <c r="CE118" s="60">
        <f t="shared" si="94"/>
        <v>248.38190023108666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-3.813056537183002E-14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199.36703853638392</v>
      </c>
      <c r="CZ118" s="60">
        <f t="shared" si="96"/>
        <v>145.15653612907363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8">
        <f t="shared" si="56"/>
        <v>418.55379209794313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0">
        <f t="shared" si="55"/>
        <v>857.02101155317155</v>
      </c>
      <c r="S119" s="60">
        <f ca="1">AVERAGE(OFFSET($R$3,0,0,'Données projet'!$E$9+1,1))-AVERAGE(OFFSET($H$3,0,0,'Données projet'!$E$9+1,1))</f>
        <v>314.4389771131751</v>
      </c>
      <c r="T119" s="60">
        <f t="shared" si="88"/>
        <v>176.7239677722049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0">
        <f t="shared" si="59"/>
        <v>923.43507275383013</v>
      </c>
      <c r="AN119" s="60">
        <f ca="1">AVERAGE(OFFSET($AM$3,0,0,'Données projet'!$E$10+1,1))-AVERAGE(OFFSET($H$3,0,0,'Données projet'!$E$10+1,1))</f>
        <v>361.06925636707814</v>
      </c>
      <c r="AO119" s="60">
        <f t="shared" si="90"/>
        <v>201.44775212076888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6.3550942286383367E-14</v>
      </c>
      <c r="BF119" s="14">
        <f t="shared" si="91"/>
        <v>1.0064464192543978E-12</v>
      </c>
      <c r="BG119" s="22">
        <f t="shared" si="61"/>
        <v>1.8635787380168604E-12</v>
      </c>
      <c r="BH119" s="60">
        <f t="shared" si="62"/>
        <v>293.33333333333519</v>
      </c>
      <c r="BI119" s="60">
        <f ca="1">AVERAGE(OFFSET($BH$3,0,0,'Données projet'!$E$11+1,1))-AVERAGE(OFFSET($H$3,0,0,'Données projet'!$E$11+1,1))</f>
        <v>253.63061102077421</v>
      </c>
      <c r="BJ119" s="60">
        <f t="shared" si="92"/>
        <v>230.98056275369652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1.8998031229098071</v>
      </c>
      <c r="BR119" s="23">
        <f>EXP(-LN(2)/2)*BR118+(1-EXP(-LN(2)/2))/(LN(2)/2)*BL119*BO119*VLOOKUP('Données projet'!$B$11,Paramètres!$A$1:$I$89,3,0)*0.475*44/12</f>
        <v>1.12108656012405E-12</v>
      </c>
      <c r="BS119" s="24">
        <f t="shared" si="63"/>
        <v>1.8998031229109282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-1.7053025658242404E-13</v>
      </c>
      <c r="BZ119" s="14">
        <f>BY119*VLOOKUP('Données projet'!$B$12,Paramètres!$A$1:$I$89,3,0)*VLOOKUP('Données projet'!$B$12,Paramètres!$A$1:$I$89,5,0)</f>
        <v>-1.250327841262333E-13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216.97968518094325</v>
      </c>
      <c r="CE119" s="60">
        <f t="shared" si="94"/>
        <v>248.38190023108666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-3.813056537183002E-14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199.36703853638392</v>
      </c>
      <c r="CZ119" s="60">
        <f t="shared" si="96"/>
        <v>145.15653612907363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8">
        <f t="shared" si="56"/>
        <v>419.60503285898386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0">
        <f t="shared" si="55"/>
        <v>864.09321134313223</v>
      </c>
      <c r="S120" s="60">
        <f ca="1">AVERAGE(OFFSET($R$3,0,0,'Données projet'!$E$9+1,1))-AVERAGE(OFFSET($H$3,0,0,'Données projet'!$E$9+1,1))</f>
        <v>314.4389771131751</v>
      </c>
      <c r="T120" s="60">
        <f t="shared" si="88"/>
        <v>176.7239677722049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0">
        <f t="shared" si="59"/>
        <v>931.34248202325739</v>
      </c>
      <c r="AN120" s="60">
        <f ca="1">AVERAGE(OFFSET($AM$3,0,0,'Données projet'!$E$10+1,1))-AVERAGE(OFFSET($H$3,0,0,'Données projet'!$E$10+1,1))</f>
        <v>361.06925636707814</v>
      </c>
      <c r="AO120" s="60">
        <f t="shared" si="90"/>
        <v>201.44775212076888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6.3550942286383367E-14</v>
      </c>
      <c r="BF120" s="14">
        <f t="shared" si="91"/>
        <v>1.0064464192543978E-12</v>
      </c>
      <c r="BG120" s="22">
        <f t="shared" si="61"/>
        <v>1.8635787380168604E-12</v>
      </c>
      <c r="BH120" s="60">
        <f t="shared" si="62"/>
        <v>293.33333333333519</v>
      </c>
      <c r="BI120" s="60">
        <f ca="1">AVERAGE(OFFSET($BH$3,0,0,'Données projet'!$E$11+1,1))-AVERAGE(OFFSET($H$3,0,0,'Données projet'!$E$11+1,1))</f>
        <v>253.63061102077421</v>
      </c>
      <c r="BJ120" s="60">
        <f t="shared" si="92"/>
        <v>230.98056275369652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1.8478529066075342</v>
      </c>
      <c r="BR120" s="23">
        <f>EXP(-LN(2)/2)*BR119+(1-EXP(-LN(2)/2))/(LN(2)/2)*BL120*BO120*VLOOKUP('Données projet'!$B$11,Paramètres!$A$1:$I$89,3,0)*0.475*44/12</f>
        <v>7.9272790896081587E-13</v>
      </c>
      <c r="BS120" s="24">
        <f t="shared" si="63"/>
        <v>1.8478529066083269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-1.7053025658242404E-13</v>
      </c>
      <c r="BZ120" s="14">
        <f>BY120*VLOOKUP('Données projet'!$B$12,Paramètres!$A$1:$I$89,3,0)*VLOOKUP('Données projet'!$B$12,Paramètres!$A$1:$I$89,5,0)</f>
        <v>-1.250327841262333E-13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216.97968518094325</v>
      </c>
      <c r="CE120" s="60">
        <f t="shared" si="94"/>
        <v>248.38190023108666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-3.813056537183002E-14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199.36703853638392</v>
      </c>
      <c r="CZ120" s="60">
        <f t="shared" si="96"/>
        <v>145.15653612907363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8">
        <f t="shared" si="56"/>
        <v>420.65606131868589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0">
        <f t="shared" si="55"/>
        <v>871.16358065090617</v>
      </c>
      <c r="S121" s="60">
        <f ca="1">AVERAGE(OFFSET($R$3,0,0,'Données projet'!$E$9+1,1))-AVERAGE(OFFSET($H$3,0,0,'Données projet'!$E$9+1,1))</f>
        <v>314.4389771131751</v>
      </c>
      <c r="T121" s="60">
        <f t="shared" si="88"/>
        <v>176.7239677722049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0">
        <f t="shared" si="59"/>
        <v>939.24786691857776</v>
      </c>
      <c r="AN121" s="60">
        <f ca="1">AVERAGE(OFFSET($AM$3,0,0,'Données projet'!$E$10+1,1))-AVERAGE(OFFSET($H$3,0,0,'Données projet'!$E$10+1,1))</f>
        <v>361.06925636707814</v>
      </c>
      <c r="AO121" s="60">
        <f t="shared" si="90"/>
        <v>201.44775212076888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6.3550942286383367E-14</v>
      </c>
      <c r="BF121" s="14">
        <f t="shared" si="91"/>
        <v>1.0064464192543978E-12</v>
      </c>
      <c r="BG121" s="22">
        <f t="shared" si="61"/>
        <v>1.8635787380168604E-12</v>
      </c>
      <c r="BH121" s="60">
        <f t="shared" si="62"/>
        <v>293.33333333333519</v>
      </c>
      <c r="BI121" s="60">
        <f ca="1">AVERAGE(OFFSET($BH$3,0,0,'Données projet'!$E$11+1,1))-AVERAGE(OFFSET($H$3,0,0,'Données projet'!$E$11+1,1))</f>
        <v>253.63061102077421</v>
      </c>
      <c r="BJ121" s="60">
        <f t="shared" si="92"/>
        <v>230.98056275369652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1.7973232717019902</v>
      </c>
      <c r="BR121" s="23">
        <f>EXP(-LN(2)/2)*BR120+(1-EXP(-LN(2)/2))/(LN(2)/2)*BL121*BO121*VLOOKUP('Données projet'!$B$11,Paramètres!$A$1:$I$89,3,0)*0.475*44/12</f>
        <v>5.6054328006202498E-13</v>
      </c>
      <c r="BS121" s="24">
        <f t="shared" si="63"/>
        <v>1.7973232717025507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-1.7053025658242404E-13</v>
      </c>
      <c r="BZ121" s="14">
        <f>BY121*VLOOKUP('Données projet'!$B$12,Paramètres!$A$1:$I$89,3,0)*VLOOKUP('Données projet'!$B$12,Paramètres!$A$1:$I$89,5,0)</f>
        <v>-1.250327841262333E-13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216.97968518094325</v>
      </c>
      <c r="CE121" s="60">
        <f t="shared" si="94"/>
        <v>248.38190023108666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-3.813056537183002E-14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199.36703853638392</v>
      </c>
      <c r="CZ121" s="60">
        <f t="shared" si="96"/>
        <v>145.15653612907363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8">
        <f t="shared" si="56"/>
        <v>421.70687948469367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0">
        <f t="shared" si="55"/>
        <v>878.23214503815643</v>
      </c>
      <c r="S122" s="60">
        <f ca="1">AVERAGE(OFFSET($R$3,0,0,'Données projet'!$E$9+1,1))-AVERAGE(OFFSET($H$3,0,0,'Données projet'!$E$9+1,1))</f>
        <v>314.4389771131751</v>
      </c>
      <c r="T122" s="60">
        <f t="shared" si="88"/>
        <v>176.7239677722049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0">
        <f t="shared" si="59"/>
        <v>947.15125570904661</v>
      </c>
      <c r="AN122" s="60">
        <f ca="1">AVERAGE(OFFSET($AM$3,0,0,'Données projet'!$E$10+1,1))-AVERAGE(OFFSET($H$3,0,0,'Données projet'!$E$10+1,1))</f>
        <v>361.06925636707814</v>
      </c>
      <c r="AO122" s="60">
        <f t="shared" si="90"/>
        <v>201.44775212076888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6.3550942286383367E-14</v>
      </c>
      <c r="BF122" s="14">
        <f t="shared" si="91"/>
        <v>1.0064464192543978E-12</v>
      </c>
      <c r="BG122" s="22">
        <f t="shared" si="61"/>
        <v>1.8635787380168604E-12</v>
      </c>
      <c r="BH122" s="60">
        <f t="shared" si="62"/>
        <v>293.33333333333519</v>
      </c>
      <c r="BI122" s="60">
        <f ca="1">AVERAGE(OFFSET($BH$3,0,0,'Données projet'!$E$11+1,1))-AVERAGE(OFFSET($H$3,0,0,'Données projet'!$E$11+1,1))</f>
        <v>253.63061102077421</v>
      </c>
      <c r="BJ122" s="60">
        <f t="shared" si="92"/>
        <v>230.98056275369652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1.7481753723201763</v>
      </c>
      <c r="BR122" s="23">
        <f>EXP(-LN(2)/2)*BR121+(1-EXP(-LN(2)/2))/(LN(2)/2)*BL122*BO122*VLOOKUP('Données projet'!$B$11,Paramètres!$A$1:$I$89,3,0)*0.475*44/12</f>
        <v>3.9636395448040793E-13</v>
      </c>
      <c r="BS122" s="24">
        <f t="shared" si="63"/>
        <v>1.7481753723205726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-1.7053025658242404E-13</v>
      </c>
      <c r="BZ122" s="14">
        <f>BY122*VLOOKUP('Données projet'!$B$12,Paramètres!$A$1:$I$89,3,0)*VLOOKUP('Données projet'!$B$12,Paramètres!$A$1:$I$89,5,0)</f>
        <v>-1.250327841262333E-13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216.97968518094325</v>
      </c>
      <c r="CE122" s="60">
        <f t="shared" si="94"/>
        <v>248.38190023108666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-3.813056537183002E-14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199.36703853638392</v>
      </c>
      <c r="CZ122" s="60">
        <f t="shared" si="96"/>
        <v>145.15653612907363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8">
        <f t="shared" si="56"/>
        <v>422.75748932896221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0">
        <f t="shared" si="55"/>
        <v>885.29892939819752</v>
      </c>
      <c r="S123" s="60">
        <f ca="1">AVERAGE(OFFSET($R$3,0,0,'Données projet'!$E$9+1,1))-AVERAGE(OFFSET($H$3,0,0,'Données projet'!$E$9+1,1))</f>
        <v>314.4389771131751</v>
      </c>
      <c r="T123" s="60">
        <f t="shared" si="88"/>
        <v>176.7239677722049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0">
        <f t="shared" si="59"/>
        <v>955.05267592477753</v>
      </c>
      <c r="AN123" s="60">
        <f ca="1">AVERAGE(OFFSET($AM$3,0,0,'Données projet'!$E$10+1,1))-AVERAGE(OFFSET($H$3,0,0,'Données projet'!$E$10+1,1))</f>
        <v>361.06925636707814</v>
      </c>
      <c r="AO123" s="60">
        <f t="shared" si="90"/>
        <v>201.44775212076888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6.3550942286383367E-14</v>
      </c>
      <c r="BF123" s="14">
        <f t="shared" si="91"/>
        <v>1.0064464192543978E-12</v>
      </c>
      <c r="BG123" s="22">
        <f t="shared" si="61"/>
        <v>1.8635787380168604E-12</v>
      </c>
      <c r="BH123" s="60">
        <f t="shared" si="62"/>
        <v>293.33333333333519</v>
      </c>
      <c r="BI123" s="60">
        <f ca="1">AVERAGE(OFFSET($BH$3,0,0,'Données projet'!$E$11+1,1))-AVERAGE(OFFSET($H$3,0,0,'Données projet'!$E$11+1,1))</f>
        <v>253.63061102077421</v>
      </c>
      <c r="BJ123" s="60">
        <f t="shared" si="92"/>
        <v>230.98056275369652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1.7003714248315338</v>
      </c>
      <c r="BR123" s="23">
        <f>EXP(-LN(2)/2)*BR122+(1-EXP(-LN(2)/2))/(LN(2)/2)*BL123*BO123*VLOOKUP('Données projet'!$B$11,Paramètres!$A$1:$I$89,3,0)*0.475*44/12</f>
        <v>2.8027164003101249E-13</v>
      </c>
      <c r="BS123" s="24">
        <f t="shared" si="63"/>
        <v>1.700371424831814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-1.7053025658242404E-13</v>
      </c>
      <c r="BZ123" s="14">
        <f>BY123*VLOOKUP('Données projet'!$B$12,Paramètres!$A$1:$I$89,3,0)*VLOOKUP('Données projet'!$B$12,Paramètres!$A$1:$I$89,5,0)</f>
        <v>-1.250327841262333E-13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216.97968518094325</v>
      </c>
      <c r="CE123" s="60">
        <f t="shared" si="94"/>
        <v>248.38190023108666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-3.813056537183002E-14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199.36703853638392</v>
      </c>
      <c r="CZ123" s="60">
        <f t="shared" si="96"/>
        <v>145.15653612907363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8">
        <f t="shared" si="56"/>
        <v>423.80789278868326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0">
        <f t="shared" si="55"/>
        <v>824.50283387733225</v>
      </c>
      <c r="S124" s="60">
        <f ca="1">AVERAGE(OFFSET($R$3,0,0,'Données projet'!$E$9+1,1))-AVERAGE(OFFSET($H$3,0,0,'Données projet'!$E$9+1,1))</f>
        <v>314.4389771131751</v>
      </c>
      <c r="T124" s="60">
        <f t="shared" si="88"/>
        <v>176.7239677722049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0">
        <f t="shared" si="59"/>
        <v>887.07687356967608</v>
      </c>
      <c r="AN124" s="60">
        <f ca="1">AVERAGE(OFFSET($AM$3,0,0,'Données projet'!$E$10+1,1))-AVERAGE(OFFSET($H$3,0,0,'Données projet'!$E$10+1,1))</f>
        <v>361.06925636707814</v>
      </c>
      <c r="AO124" s="60">
        <f t="shared" si="90"/>
        <v>201.44775212076888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6.3550942286383367E-14</v>
      </c>
      <c r="BF124" s="14">
        <f t="shared" si="91"/>
        <v>1.0064464192543978E-12</v>
      </c>
      <c r="BG124" s="22">
        <f t="shared" si="61"/>
        <v>1.8635787380168604E-12</v>
      </c>
      <c r="BH124" s="60">
        <f t="shared" si="62"/>
        <v>293.33333333333519</v>
      </c>
      <c r="BI124" s="60">
        <f ca="1">AVERAGE(OFFSET($BH$3,0,0,'Données projet'!$E$11+1,1))-AVERAGE(OFFSET($H$3,0,0,'Données projet'!$E$11+1,1))</f>
        <v>253.63061102077421</v>
      </c>
      <c r="BJ124" s="60">
        <f t="shared" si="92"/>
        <v>230.98056275369652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1.6538746788008685</v>
      </c>
      <c r="BR124" s="23">
        <f>EXP(-LN(2)/2)*BR123+(1-EXP(-LN(2)/2))/(LN(2)/2)*BL124*BO124*VLOOKUP('Données projet'!$B$11,Paramètres!$A$1:$I$89,3,0)*0.475*44/12</f>
        <v>1.9818197724020397E-13</v>
      </c>
      <c r="BS124" s="24">
        <f t="shared" si="63"/>
        <v>1.6538746788010668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-1.7053025658242404E-13</v>
      </c>
      <c r="BZ124" s="14">
        <f>BY124*VLOOKUP('Données projet'!$B$12,Paramètres!$A$1:$I$89,3,0)*VLOOKUP('Données projet'!$B$12,Paramètres!$A$1:$I$89,5,0)</f>
        <v>-1.250327841262333E-13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216.97968518094325</v>
      </c>
      <c r="CE124" s="60">
        <f t="shared" si="94"/>
        <v>248.38190023108666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-3.813056537183002E-14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199.36703853638392</v>
      </c>
      <c r="CZ124" s="60">
        <f t="shared" si="96"/>
        <v>145.15653612907363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8">
        <f t="shared" si="56"/>
        <v>424.85809176718089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0">
        <f t="shared" si="55"/>
        <v>830.62702157178478</v>
      </c>
      <c r="S125" s="60">
        <f ca="1">AVERAGE(OFFSET($R$3,0,0,'Données projet'!$E$9+1,1))-AVERAGE(OFFSET($H$3,0,0,'Données projet'!$E$9+1,1))</f>
        <v>314.4389771131751</v>
      </c>
      <c r="T125" s="60">
        <f t="shared" si="88"/>
        <v>176.7239677722049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0">
        <f t="shared" si="59"/>
        <v>893.92421921427581</v>
      </c>
      <c r="AN125" s="60">
        <f ca="1">AVERAGE(OFFSET($AM$3,0,0,'Données projet'!$E$10+1,1))-AVERAGE(OFFSET($H$3,0,0,'Données projet'!$E$10+1,1))</f>
        <v>361.06925636707814</v>
      </c>
      <c r="AO125" s="60">
        <f t="shared" si="90"/>
        <v>201.44775212076888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6.3550942286383367E-14</v>
      </c>
      <c r="BF125" s="14">
        <f t="shared" si="91"/>
        <v>1.0064464192543978E-12</v>
      </c>
      <c r="BG125" s="22">
        <f t="shared" si="61"/>
        <v>1.8635787380168604E-12</v>
      </c>
      <c r="BH125" s="60">
        <f t="shared" si="62"/>
        <v>293.33333333333519</v>
      </c>
      <c r="BI125" s="60">
        <f ca="1">AVERAGE(OFFSET($BH$3,0,0,'Données projet'!$E$11+1,1))-AVERAGE(OFFSET($H$3,0,0,'Données projet'!$E$11+1,1))</f>
        <v>253.63061102077421</v>
      </c>
      <c r="BJ125" s="60">
        <f t="shared" si="92"/>
        <v>230.98056275369652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1.6086493887355693</v>
      </c>
      <c r="BR125" s="23">
        <f>EXP(-LN(2)/2)*BR124+(1-EXP(-LN(2)/2))/(LN(2)/2)*BL125*BO125*VLOOKUP('Données projet'!$B$11,Paramètres!$A$1:$I$89,3,0)*0.475*44/12</f>
        <v>1.4013582001550625E-13</v>
      </c>
      <c r="BS125" s="24">
        <f t="shared" si="63"/>
        <v>1.6086493887357094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-1.7053025658242404E-13</v>
      </c>
      <c r="BZ125" s="14">
        <f>BY125*VLOOKUP('Données projet'!$B$12,Paramètres!$A$1:$I$89,3,0)*VLOOKUP('Données projet'!$B$12,Paramètres!$A$1:$I$89,5,0)</f>
        <v>-1.250327841262333E-13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216.97968518094325</v>
      </c>
      <c r="CE125" s="60">
        <f t="shared" si="94"/>
        <v>248.38190023108666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-3.813056537183002E-14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199.36703853638392</v>
      </c>
      <c r="CZ125" s="60">
        <f t="shared" si="96"/>
        <v>145.15653612907363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8">
        <f t="shared" si="56"/>
        <v>425.90808813477543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0">
        <f t="shared" si="55"/>
        <v>836.74974224894845</v>
      </c>
      <c r="S126" s="60">
        <f ca="1">AVERAGE(OFFSET($R$3,0,0,'Données projet'!$E$9+1,1))-AVERAGE(OFFSET($H$3,0,0,'Données projet'!$E$9+1,1))</f>
        <v>314.4389771131751</v>
      </c>
      <c r="T126" s="60">
        <f t="shared" si="88"/>
        <v>176.7239677722049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0">
        <f t="shared" si="59"/>
        <v>900.76994244930756</v>
      </c>
      <c r="AN126" s="60">
        <f ca="1">AVERAGE(OFFSET($AM$3,0,0,'Données projet'!$E$10+1,1))-AVERAGE(OFFSET($H$3,0,0,'Données projet'!$E$10+1,1))</f>
        <v>361.06925636707814</v>
      </c>
      <c r="AO126" s="60">
        <f t="shared" si="90"/>
        <v>201.44775212076888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6.3550942286383367E-14</v>
      </c>
      <c r="BF126" s="14">
        <f t="shared" si="91"/>
        <v>1.0064464192543978E-12</v>
      </c>
      <c r="BG126" s="22">
        <f t="shared" si="61"/>
        <v>1.8635787380168604E-12</v>
      </c>
      <c r="BH126" s="60">
        <f t="shared" si="62"/>
        <v>293.33333333333519</v>
      </c>
      <c r="BI126" s="60">
        <f ca="1">AVERAGE(OFFSET($BH$3,0,0,'Données projet'!$E$11+1,1))-AVERAGE(OFFSET($H$3,0,0,'Données projet'!$E$11+1,1))</f>
        <v>253.63061102077421</v>
      </c>
      <c r="BJ126" s="60">
        <f t="shared" si="92"/>
        <v>230.98056275369652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1.5646607866054003</v>
      </c>
      <c r="BR126" s="23">
        <f>EXP(-LN(2)/2)*BR125+(1-EXP(-LN(2)/2))/(LN(2)/2)*BL126*BO126*VLOOKUP('Données projet'!$B$11,Paramètres!$A$1:$I$89,3,0)*0.475*44/12</f>
        <v>9.9090988620101983E-14</v>
      </c>
      <c r="BS126" s="24">
        <f t="shared" si="63"/>
        <v>1.5646607866054993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-1.7053025658242404E-13</v>
      </c>
      <c r="BZ126" s="14">
        <f>BY126*VLOOKUP('Données projet'!$B$12,Paramètres!$A$1:$I$89,3,0)*VLOOKUP('Données projet'!$B$12,Paramètres!$A$1:$I$89,5,0)</f>
        <v>-1.250327841262333E-13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216.97968518094325</v>
      </c>
      <c r="CE126" s="60">
        <f t="shared" si="94"/>
        <v>248.38190023108666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-3.813056537183002E-14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199.36703853638392</v>
      </c>
      <c r="CZ126" s="60">
        <f t="shared" si="96"/>
        <v>145.15653612907363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8">
        <f t="shared" si="56"/>
        <v>426.95788372961988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0">
        <f t="shared" si="55"/>
        <v>842.87101477628971</v>
      </c>
      <c r="S127" s="60">
        <f ca="1">AVERAGE(OFFSET($R$3,0,0,'Données projet'!$E$9+1,1))-AVERAGE(OFFSET($H$3,0,0,'Données projet'!$E$9+1,1))</f>
        <v>314.4389771131751</v>
      </c>
      <c r="T127" s="60">
        <f t="shared" si="88"/>
        <v>176.7239677722049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0">
        <f t="shared" si="59"/>
        <v>907.61406414075418</v>
      </c>
      <c r="AN127" s="60">
        <f ca="1">AVERAGE(OFFSET($AM$3,0,0,'Données projet'!$E$10+1,1))-AVERAGE(OFFSET($H$3,0,0,'Données projet'!$E$10+1,1))</f>
        <v>361.06925636707814</v>
      </c>
      <c r="AO127" s="60">
        <f t="shared" si="90"/>
        <v>201.44775212076888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6.3550942286383367E-14</v>
      </c>
      <c r="BF127" s="14">
        <f t="shared" si="91"/>
        <v>1.0064464192543978E-12</v>
      </c>
      <c r="BG127" s="22">
        <f t="shared" si="61"/>
        <v>1.8635787380168604E-12</v>
      </c>
      <c r="BH127" s="60">
        <f t="shared" si="62"/>
        <v>293.33333333333519</v>
      </c>
      <c r="BI127" s="60">
        <f ca="1">AVERAGE(OFFSET($BH$3,0,0,'Données projet'!$E$11+1,1))-AVERAGE(OFFSET($H$3,0,0,'Données projet'!$E$11+1,1))</f>
        <v>253.63061102077421</v>
      </c>
      <c r="BJ127" s="60">
        <f t="shared" si="92"/>
        <v>230.98056275369652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1.521875055113741</v>
      </c>
      <c r="BR127" s="23">
        <f>EXP(-LN(2)/2)*BR126+(1-EXP(-LN(2)/2))/(LN(2)/2)*BL127*BO127*VLOOKUP('Données projet'!$B$11,Paramètres!$A$1:$I$89,3,0)*0.475*44/12</f>
        <v>7.0067910007753123E-14</v>
      </c>
      <c r="BS127" s="24">
        <f t="shared" si="63"/>
        <v>1.5218750551138112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-1.7053025658242404E-13</v>
      </c>
      <c r="BZ127" s="14">
        <f>BY127*VLOOKUP('Données projet'!$B$12,Paramètres!$A$1:$I$89,3,0)*VLOOKUP('Données projet'!$B$12,Paramètres!$A$1:$I$89,5,0)</f>
        <v>-1.250327841262333E-13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216.97968518094325</v>
      </c>
      <c r="CE127" s="60">
        <f t="shared" si="94"/>
        <v>248.38190023108666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-3.813056537183002E-14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199.36703853638392</v>
      </c>
      <c r="CZ127" s="60">
        <f t="shared" si="96"/>
        <v>145.15653612907363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8">
        <f t="shared" si="56"/>
        <v>428.00748035850785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0">
        <f t="shared" si="55"/>
        <v>848.99085756649174</v>
      </c>
      <c r="S128" s="60">
        <f ca="1">AVERAGE(OFFSET($R$3,0,0,'Données projet'!$E$9+1,1))-AVERAGE(OFFSET($H$3,0,0,'Données projet'!$E$9+1,1))</f>
        <v>314.4389771131751</v>
      </c>
      <c r="T128" s="60">
        <f t="shared" si="88"/>
        <v>176.7239677722049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0">
        <f t="shared" si="59"/>
        <v>914.45660465164383</v>
      </c>
      <c r="AN128" s="60">
        <f ca="1">AVERAGE(OFFSET($AM$3,0,0,'Données projet'!$E$10+1,1))-AVERAGE(OFFSET($H$3,0,0,'Données projet'!$E$10+1,1))</f>
        <v>361.06925636707814</v>
      </c>
      <c r="AO128" s="60">
        <f t="shared" si="90"/>
        <v>201.44775212076888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6.3550942286383367E-14</v>
      </c>
      <c r="BF128" s="14">
        <f t="shared" si="91"/>
        <v>1.0064464192543978E-12</v>
      </c>
      <c r="BG128" s="22">
        <f t="shared" si="61"/>
        <v>1.8635787380168604E-12</v>
      </c>
      <c r="BH128" s="60">
        <f t="shared" si="62"/>
        <v>293.33333333333519</v>
      </c>
      <c r="BI128" s="60">
        <f ca="1">AVERAGE(OFFSET($BH$3,0,0,'Données projet'!$E$11+1,1))-AVERAGE(OFFSET($H$3,0,0,'Données projet'!$E$11+1,1))</f>
        <v>253.63061102077421</v>
      </c>
      <c r="BJ128" s="60">
        <f t="shared" si="92"/>
        <v>230.98056275369652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1.480259301699725</v>
      </c>
      <c r="BR128" s="23">
        <f>EXP(-LN(2)/2)*BR127+(1-EXP(-LN(2)/2))/(LN(2)/2)*BL128*BO128*VLOOKUP('Données projet'!$B$11,Paramètres!$A$1:$I$89,3,0)*0.475*44/12</f>
        <v>4.9545494310050992E-14</v>
      </c>
      <c r="BS128" s="24">
        <f t="shared" si="63"/>
        <v>1.4802593016997745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-1.7053025658242404E-13</v>
      </c>
      <c r="BZ128" s="14">
        <f>BY128*VLOOKUP('Données projet'!$B$12,Paramètres!$A$1:$I$89,3,0)*VLOOKUP('Données projet'!$B$12,Paramètres!$A$1:$I$89,5,0)</f>
        <v>-1.250327841262333E-13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216.97968518094325</v>
      </c>
      <c r="CE128" s="60">
        <f t="shared" si="94"/>
        <v>248.38190023108666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-3.813056537183002E-14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199.36703853638392</v>
      </c>
      <c r="CZ128" s="60">
        <f t="shared" si="96"/>
        <v>145.15653612907363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8">
        <f t="shared" si="56"/>
        <v>429.05687979765503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0">
        <f t="shared" si="55"/>
        <v>855.10928859341493</v>
      </c>
      <c r="S129" s="60">
        <f ca="1">AVERAGE(OFFSET($R$3,0,0,'Données projet'!$E$9+1,1))-AVERAGE(OFFSET($H$3,0,0,'Données projet'!$E$9+1,1))</f>
        <v>314.4389771131751</v>
      </c>
      <c r="T129" s="60">
        <f t="shared" si="88"/>
        <v>176.7239677722049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0">
        <f t="shared" si="59"/>
        <v>921.29758385969899</v>
      </c>
      <c r="AN129" s="60">
        <f ca="1">AVERAGE(OFFSET($AM$3,0,0,'Données projet'!$E$10+1,1))-AVERAGE(OFFSET($H$3,0,0,'Données projet'!$E$10+1,1))</f>
        <v>361.06925636707814</v>
      </c>
      <c r="AO129" s="60">
        <f t="shared" si="90"/>
        <v>201.44775212076888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6.3550942286383367E-14</v>
      </c>
      <c r="BF129" s="14">
        <f t="shared" si="91"/>
        <v>1.0064464192543978E-12</v>
      </c>
      <c r="BG129" s="22">
        <f t="shared" si="61"/>
        <v>1.8635787380168604E-12</v>
      </c>
      <c r="BH129" s="60">
        <f t="shared" si="62"/>
        <v>293.33333333333519</v>
      </c>
      <c r="BI129" s="60">
        <f ca="1">AVERAGE(OFFSET($BH$3,0,0,'Données projet'!$E$11+1,1))-AVERAGE(OFFSET($H$3,0,0,'Données projet'!$E$11+1,1))</f>
        <v>253.63061102077421</v>
      </c>
      <c r="BJ129" s="60">
        <f t="shared" si="92"/>
        <v>230.98056275369652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1.4397815332512924</v>
      </c>
      <c r="BR129" s="23">
        <f>EXP(-LN(2)/2)*BR128+(1-EXP(-LN(2)/2))/(LN(2)/2)*BL129*BO129*VLOOKUP('Données projet'!$B$11,Paramètres!$A$1:$I$89,3,0)*0.475*44/12</f>
        <v>3.5033955003876561E-14</v>
      </c>
      <c r="BS129" s="24">
        <f t="shared" si="63"/>
        <v>1.4397815332513275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-1.7053025658242404E-13</v>
      </c>
      <c r="BZ129" s="14">
        <f>BY129*VLOOKUP('Données projet'!$B$12,Paramètres!$A$1:$I$89,3,0)*VLOOKUP('Données projet'!$B$12,Paramètres!$A$1:$I$89,5,0)</f>
        <v>-1.250327841262333E-13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216.97968518094325</v>
      </c>
      <c r="CE129" s="60">
        <f t="shared" si="94"/>
        <v>248.38190023108666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-3.813056537183002E-14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199.36703853638392</v>
      </c>
      <c r="CZ129" s="60">
        <f t="shared" si="96"/>
        <v>145.15653612907363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8">
        <f t="shared" si="56"/>
        <v>430.10608379345501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0">
        <f t="shared" si="55"/>
        <v>861.22632540732639</v>
      </c>
      <c r="S130" s="60">
        <f ca="1">AVERAGE(OFFSET($R$3,0,0,'Données projet'!$E$9+1,1))-AVERAGE(OFFSET($H$3,0,0,'Données projet'!$E$9+1,1))</f>
        <v>314.4389771131751</v>
      </c>
      <c r="T130" s="60">
        <f t="shared" si="88"/>
        <v>176.7239677722049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0">
        <f t="shared" si="59"/>
        <v>928.13702117418029</v>
      </c>
      <c r="AN130" s="60">
        <f ca="1">AVERAGE(OFFSET($AM$3,0,0,'Données projet'!$E$10+1,1))-AVERAGE(OFFSET($H$3,0,0,'Données projet'!$E$10+1,1))</f>
        <v>361.06925636707814</v>
      </c>
      <c r="AO130" s="60">
        <f t="shared" si="90"/>
        <v>201.44775212076888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6.3550942286383367E-14</v>
      </c>
      <c r="BF130" s="14">
        <f t="shared" si="91"/>
        <v>1.0064464192543978E-12</v>
      </c>
      <c r="BG130" s="22">
        <f t="shared" si="61"/>
        <v>1.8635787380168604E-12</v>
      </c>
      <c r="BH130" s="60">
        <f t="shared" si="62"/>
        <v>293.33333333333519</v>
      </c>
      <c r="BI130" s="60">
        <f ca="1">AVERAGE(OFFSET($BH$3,0,0,'Données projet'!$E$11+1,1))-AVERAGE(OFFSET($H$3,0,0,'Données projet'!$E$11+1,1))</f>
        <v>253.63061102077421</v>
      </c>
      <c r="BJ130" s="60">
        <f t="shared" si="92"/>
        <v>230.98056275369652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1.4004106315097156</v>
      </c>
      <c r="BR130" s="23">
        <f>EXP(-LN(2)/2)*BR129+(1-EXP(-LN(2)/2))/(LN(2)/2)*BL130*BO130*VLOOKUP('Données projet'!$B$11,Paramètres!$A$1:$I$89,3,0)*0.475*44/12</f>
        <v>2.4772747155025496E-14</v>
      </c>
      <c r="BS130" s="24">
        <f t="shared" si="63"/>
        <v>1.4004106315097404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-1.7053025658242404E-13</v>
      </c>
      <c r="BZ130" s="14">
        <f>BY130*VLOOKUP('Données projet'!$B$12,Paramètres!$A$1:$I$89,3,0)*VLOOKUP('Données projet'!$B$12,Paramètres!$A$1:$I$89,5,0)</f>
        <v>-1.250327841262333E-13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216.97968518094325</v>
      </c>
      <c r="CE130" s="60">
        <f t="shared" si="94"/>
        <v>248.38190023108666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-3.813056537183002E-14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199.36703853638392</v>
      </c>
      <c r="CZ130" s="60">
        <f t="shared" si="96"/>
        <v>145.15653612907363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8">
        <f t="shared" si="56"/>
        <v>431.15509406321121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0">
        <f t="shared" ref="R131:R194" si="109">Q131+(I131+J131)*44/12</f>
        <v>867.3419851494366</v>
      </c>
      <c r="S131" s="60">
        <f ca="1">AVERAGE(OFFSET($R$3,0,0,'Données projet'!$E$9+1,1))-AVERAGE(OFFSET($H$3,0,0,'Données projet'!$E$9+1,1))</f>
        <v>314.4389771131751</v>
      </c>
      <c r="T131" s="60">
        <f t="shared" si="88"/>
        <v>176.7239677722049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0">
        <f t="shared" si="59"/>
        <v>934.9749355519632</v>
      </c>
      <c r="AN131" s="60">
        <f ca="1">AVERAGE(OFFSET($AM$3,0,0,'Données projet'!$E$10+1,1))-AVERAGE(OFFSET($H$3,0,0,'Données projet'!$E$10+1,1))</f>
        <v>361.06925636707814</v>
      </c>
      <c r="AO131" s="60">
        <f t="shared" si="90"/>
        <v>201.44775212076888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6.3550942286383367E-14</v>
      </c>
      <c r="BF131" s="14">
        <f t="shared" si="91"/>
        <v>1.0064464192543978E-12</v>
      </c>
      <c r="BG131" s="22">
        <f t="shared" si="61"/>
        <v>1.8635787380168604E-12</v>
      </c>
      <c r="BH131" s="60">
        <f t="shared" si="62"/>
        <v>293.33333333333519</v>
      </c>
      <c r="BI131" s="60">
        <f ca="1">AVERAGE(OFFSET($BH$3,0,0,'Données projet'!$E$11+1,1))-AVERAGE(OFFSET($H$3,0,0,'Données projet'!$E$11+1,1))</f>
        <v>253.63061102077421</v>
      </c>
      <c r="BJ131" s="60">
        <f t="shared" si="92"/>
        <v>230.98056275369652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1.362116329146688</v>
      </c>
      <c r="BR131" s="23">
        <f>EXP(-LN(2)/2)*BR130+(1-EXP(-LN(2)/2))/(LN(2)/2)*BL131*BO131*VLOOKUP('Données projet'!$B$11,Paramètres!$A$1:$I$89,3,0)*0.475*44/12</f>
        <v>1.7516977501938281E-14</v>
      </c>
      <c r="BS131" s="24">
        <f t="shared" si="63"/>
        <v>1.3621163291467056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-1.7053025658242404E-13</v>
      </c>
      <c r="BZ131" s="14">
        <f>BY131*VLOOKUP('Données projet'!$B$12,Paramètres!$A$1:$I$89,3,0)*VLOOKUP('Données projet'!$B$12,Paramètres!$A$1:$I$89,5,0)</f>
        <v>-1.250327841262333E-13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216.97968518094325</v>
      </c>
      <c r="CE131" s="60">
        <f t="shared" si="94"/>
        <v>248.38190023108666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-3.813056537183002E-14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199.36703853638392</v>
      </c>
      <c r="CZ131" s="60">
        <f t="shared" si="96"/>
        <v>145.15653612907363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8">
        <f t="shared" ref="H132:H195" si="110">(B132+E132+F132)*44/12+(C132+D132)*0.475*44/12</f>
        <v>432.20391229584436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0">
        <f t="shared" si="109"/>
        <v>873.4562845657872</v>
      </c>
      <c r="S132" s="60">
        <f ca="1">AVERAGE(OFFSET($R$3,0,0,'Données projet'!$E$9+1,1))-AVERAGE(OFFSET($H$3,0,0,'Données projet'!$E$9+1,1))</f>
        <v>314.4389771131751</v>
      </c>
      <c r="T132" s="60">
        <f t="shared" si="88"/>
        <v>176.7239677722049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0">
        <f t="shared" ref="AM132:AM195" si="113">AL132+(AD132+AE132)*44/12</f>
        <v>941.81134551289711</v>
      </c>
      <c r="AN132" s="60">
        <f ca="1">AVERAGE(OFFSET($AM$3,0,0,'Données projet'!$E$10+1,1))-AVERAGE(OFFSET($H$3,0,0,'Données projet'!$E$10+1,1))</f>
        <v>361.06925636707814</v>
      </c>
      <c r="AO132" s="60">
        <f t="shared" si="90"/>
        <v>201.44775212076888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6.3550942286383367E-14</v>
      </c>
      <c r="BF132" s="14">
        <f t="shared" si="91"/>
        <v>1.0064464192543978E-12</v>
      </c>
      <c r="BG132" s="22">
        <f t="shared" ref="BG132:BG153" si="115">(BE132+BF132)*0.475*44/12</f>
        <v>1.8635787380168604E-12</v>
      </c>
      <c r="BH132" s="60">
        <f t="shared" ref="BH132:BH195" si="116">BG132+(AY132+AZ132)*44/12</f>
        <v>293.33333333333519</v>
      </c>
      <c r="BI132" s="60">
        <f ca="1">AVERAGE(OFFSET($BH$3,0,0,'Données projet'!$E$11+1,1))-AVERAGE(OFFSET($H$3,0,0,'Données projet'!$E$11+1,1))</f>
        <v>253.63061102077421</v>
      </c>
      <c r="BJ132" s="60">
        <f t="shared" si="92"/>
        <v>230.98056275369652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1.3248691864955873</v>
      </c>
      <c r="BR132" s="23">
        <f>EXP(-LN(2)/2)*BR131+(1-EXP(-LN(2)/2))/(LN(2)/2)*BL132*BO132*VLOOKUP('Données projet'!$B$11,Paramètres!$A$1:$I$89,3,0)*0.475*44/12</f>
        <v>1.2386373577512748E-14</v>
      </c>
      <c r="BS132" s="24">
        <f t="shared" ref="BS132:BS153" si="117">SUM(BP132:BR132)</f>
        <v>1.3248691864955997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-1.7053025658242404E-13</v>
      </c>
      <c r="BZ132" s="14">
        <f>BY132*VLOOKUP('Données projet'!$B$12,Paramètres!$A$1:$I$89,3,0)*VLOOKUP('Données projet'!$B$12,Paramètres!$A$1:$I$89,5,0)</f>
        <v>-1.250327841262333E-13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216.97968518094325</v>
      </c>
      <c r="CE132" s="60">
        <f t="shared" si="94"/>
        <v>248.38190023108666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-3.813056537183002E-14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199.36703853638392</v>
      </c>
      <c r="CZ132" s="60">
        <f t="shared" si="96"/>
        <v>145.15653612907363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8">
        <f t="shared" si="110"/>
        <v>433.25254015257815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0">
        <f t="shared" si="109"/>
        <v>879.56924002052051</v>
      </c>
      <c r="S133" s="60">
        <f ca="1">AVERAGE(OFFSET($R$3,0,0,'Données projet'!$E$9+1,1))-AVERAGE(OFFSET($H$3,0,0,'Données projet'!$E$9+1,1))</f>
        <v>314.4389771131751</v>
      </c>
      <c r="T133" s="60">
        <f t="shared" ref="T133:T196" si="142">$T$3</f>
        <v>176.7239677722049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0">
        <f t="shared" si="113"/>
        <v>948.6462691544782</v>
      </c>
      <c r="AN133" s="60">
        <f ca="1">AVERAGE(OFFSET($AM$3,0,0,'Données projet'!$E$10+1,1))-AVERAGE(OFFSET($H$3,0,0,'Données projet'!$E$10+1,1))</f>
        <v>361.06925636707814</v>
      </c>
      <c r="AO133" s="60">
        <f t="shared" ref="AO133:AO196" si="144">$AO$3</f>
        <v>201.44775212076888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6.3550942286383367E-14</v>
      </c>
      <c r="BF133" s="14">
        <f t="shared" ref="BF133:BF153" si="145">EXP(-1.0587+0.8836*LN(BE133)+0.284)</f>
        <v>1.0064464192543978E-12</v>
      </c>
      <c r="BG133" s="22">
        <f t="shared" si="115"/>
        <v>1.8635787380168604E-12</v>
      </c>
      <c r="BH133" s="60">
        <f t="shared" si="116"/>
        <v>293.33333333333519</v>
      </c>
      <c r="BI133" s="60">
        <f ca="1">AVERAGE(OFFSET($BH$3,0,0,'Données projet'!$E$11+1,1))-AVERAGE(OFFSET($H$3,0,0,'Données projet'!$E$11+1,1))</f>
        <v>253.63061102077421</v>
      </c>
      <c r="BJ133" s="60">
        <f t="shared" ref="BJ133:BJ196" si="146">$BJ$3</f>
        <v>230.98056275369652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1.288640568919023</v>
      </c>
      <c r="BR133" s="23">
        <f>EXP(-LN(2)/2)*BR132+(1-EXP(-LN(2)/2))/(LN(2)/2)*BL133*BO133*VLOOKUP('Données projet'!$B$11,Paramètres!$A$1:$I$89,3,0)*0.475*44/12</f>
        <v>8.7584887509691404E-15</v>
      </c>
      <c r="BS133" s="24">
        <f t="shared" si="117"/>
        <v>1.2886405689190317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-1.7053025658242404E-13</v>
      </c>
      <c r="BZ133" s="14">
        <f>BY133*VLOOKUP('Données projet'!$B$12,Paramètres!$A$1:$I$89,3,0)*VLOOKUP('Données projet'!$B$12,Paramètres!$A$1:$I$89,5,0)</f>
        <v>-1.250327841262333E-13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216.97968518094325</v>
      </c>
      <c r="CE133" s="60">
        <f t="shared" ref="CE133:CE196" si="148">$CE$3</f>
        <v>248.38190023108666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-3.813056537183002E-14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199.36703853638392</v>
      </c>
      <c r="CZ133" s="60">
        <f t="shared" ref="CZ133:CZ196" si="150">$CZ$3</f>
        <v>145.15653612907363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8">
        <f t="shared" si="110"/>
        <v>434.30097926760288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0">
        <f t="shared" si="109"/>
        <v>825.45983568521592</v>
      </c>
      <c r="S134" s="60">
        <f ca="1">AVERAGE(OFFSET($R$3,0,0,'Données projet'!$E$9+1,1))-AVERAGE(OFFSET($H$3,0,0,'Données projet'!$E$9+1,1))</f>
        <v>314.4389771131751</v>
      </c>
      <c r="T134" s="60">
        <f t="shared" si="142"/>
        <v>176.7239677722049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0">
        <f t="shared" si="113"/>
        <v>888.14687913280409</v>
      </c>
      <c r="AN134" s="60">
        <f ca="1">AVERAGE(OFFSET($AM$3,0,0,'Données projet'!$E$10+1,1))-AVERAGE(OFFSET($H$3,0,0,'Données projet'!$E$10+1,1))</f>
        <v>361.06925636707814</v>
      </c>
      <c r="AO134" s="60">
        <f t="shared" si="144"/>
        <v>201.44775212076888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6.3550942286383367E-14</v>
      </c>
      <c r="BF134" s="14">
        <f t="shared" si="145"/>
        <v>1.0064464192543978E-12</v>
      </c>
      <c r="BG134" s="22">
        <f t="shared" si="115"/>
        <v>1.8635787380168604E-12</v>
      </c>
      <c r="BH134" s="60">
        <f t="shared" si="116"/>
        <v>293.33333333333519</v>
      </c>
      <c r="BI134" s="60">
        <f ca="1">AVERAGE(OFFSET($BH$3,0,0,'Données projet'!$E$11+1,1))-AVERAGE(OFFSET($H$3,0,0,'Données projet'!$E$11+1,1))</f>
        <v>253.63061102077421</v>
      </c>
      <c r="BJ134" s="60">
        <f t="shared" si="146"/>
        <v>230.98056275369652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1.2534026247952701</v>
      </c>
      <c r="BR134" s="23">
        <f>EXP(-LN(2)/2)*BR133+(1-EXP(-LN(2)/2))/(LN(2)/2)*BL134*BO134*VLOOKUP('Données projet'!$B$11,Paramètres!$A$1:$I$89,3,0)*0.475*44/12</f>
        <v>6.1931867887563739E-15</v>
      </c>
      <c r="BS134" s="24">
        <f t="shared" si="117"/>
        <v>1.2534026247952763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-1.7053025658242404E-13</v>
      </c>
      <c r="BZ134" s="14">
        <f>BY134*VLOOKUP('Données projet'!$B$12,Paramètres!$A$1:$I$89,3,0)*VLOOKUP('Données projet'!$B$12,Paramètres!$A$1:$I$89,5,0)</f>
        <v>-1.250327841262333E-13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216.97968518094325</v>
      </c>
      <c r="CE134" s="60">
        <f t="shared" si="148"/>
        <v>248.38190023108666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-3.813056537183002E-14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199.36703853638392</v>
      </c>
      <c r="CZ134" s="60">
        <f t="shared" si="150"/>
        <v>145.15653612907363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8">
        <f t="shared" si="110"/>
        <v>435.34923124871818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0">
        <f t="shared" si="109"/>
        <v>830.62702157178455</v>
      </c>
      <c r="S135" s="60">
        <f ca="1">AVERAGE(OFFSET($R$3,0,0,'Données projet'!$E$9+1,1))-AVERAGE(OFFSET($H$3,0,0,'Données projet'!$E$9+1,1))</f>
        <v>314.4389771131751</v>
      </c>
      <c r="T135" s="60">
        <f t="shared" si="142"/>
        <v>176.7239677722049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0">
        <f t="shared" si="113"/>
        <v>893.92421921427535</v>
      </c>
      <c r="AN135" s="60">
        <f ca="1">AVERAGE(OFFSET($AM$3,0,0,'Données projet'!$E$10+1,1))-AVERAGE(OFFSET($H$3,0,0,'Données projet'!$E$10+1,1))</f>
        <v>361.06925636707814</v>
      </c>
      <c r="AO135" s="60">
        <f t="shared" si="144"/>
        <v>201.44775212076888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6.3550942286383367E-14</v>
      </c>
      <c r="BF135" s="14">
        <f t="shared" si="145"/>
        <v>1.0064464192543978E-12</v>
      </c>
      <c r="BG135" s="22">
        <f t="shared" si="115"/>
        <v>1.8635787380168604E-12</v>
      </c>
      <c r="BH135" s="60">
        <f t="shared" si="116"/>
        <v>293.33333333333519</v>
      </c>
      <c r="BI135" s="60">
        <f ca="1">AVERAGE(OFFSET($BH$3,0,0,'Données projet'!$E$11+1,1))-AVERAGE(OFFSET($H$3,0,0,'Données projet'!$E$11+1,1))</f>
        <v>253.63061102077421</v>
      </c>
      <c r="BJ135" s="60">
        <f t="shared" si="146"/>
        <v>230.98056275369652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1.2191282641066641</v>
      </c>
      <c r="BR135" s="23">
        <f>EXP(-LN(2)/2)*BR134+(1-EXP(-LN(2)/2))/(LN(2)/2)*BL135*BO135*VLOOKUP('Données projet'!$B$11,Paramètres!$A$1:$I$89,3,0)*0.475*44/12</f>
        <v>4.3792443754845702E-15</v>
      </c>
      <c r="BS135" s="24">
        <f t="shared" si="117"/>
        <v>1.2191282641066685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-1.7053025658242404E-13</v>
      </c>
      <c r="BZ135" s="14">
        <f>BY135*VLOOKUP('Données projet'!$B$12,Paramètres!$A$1:$I$89,3,0)*VLOOKUP('Données projet'!$B$12,Paramètres!$A$1:$I$89,5,0)</f>
        <v>-1.250327841262333E-13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216.97968518094325</v>
      </c>
      <c r="CE135" s="60">
        <f t="shared" si="148"/>
        <v>248.38190023108666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-3.813056537183002E-14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199.36703853638392</v>
      </c>
      <c r="CZ135" s="60">
        <f t="shared" si="150"/>
        <v>145.15653612907363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8">
        <f t="shared" si="110"/>
        <v>436.39729767795615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0">
        <f t="shared" si="109"/>
        <v>835.7931630761725</v>
      </c>
      <c r="S136" s="60">
        <f ca="1">AVERAGE(OFFSET($R$3,0,0,'Données projet'!$E$9+1,1))-AVERAGE(OFFSET($H$3,0,0,'Données projet'!$E$9+1,1))</f>
        <v>314.4389771131751</v>
      </c>
      <c r="T136" s="60">
        <f t="shared" si="142"/>
        <v>176.7239677722049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0">
        <f t="shared" si="113"/>
        <v>899.70040428847096</v>
      </c>
      <c r="AN136" s="60">
        <f ca="1">AVERAGE(OFFSET($AM$3,0,0,'Données projet'!$E$10+1,1))-AVERAGE(OFFSET($H$3,0,0,'Données projet'!$E$10+1,1))</f>
        <v>361.06925636707814</v>
      </c>
      <c r="AO136" s="60">
        <f t="shared" si="144"/>
        <v>201.44775212076888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6.3550942286383367E-14</v>
      </c>
      <c r="BF136" s="14">
        <f t="shared" si="145"/>
        <v>1.0064464192543978E-12</v>
      </c>
      <c r="BG136" s="22">
        <f t="shared" si="115"/>
        <v>1.8635787380168604E-12</v>
      </c>
      <c r="BH136" s="60">
        <f t="shared" si="116"/>
        <v>293.33333333333519</v>
      </c>
      <c r="BI136" s="60">
        <f ca="1">AVERAGE(OFFSET($BH$3,0,0,'Données projet'!$E$11+1,1))-AVERAGE(OFFSET($H$3,0,0,'Données projet'!$E$11+1,1))</f>
        <v>253.63061102077421</v>
      </c>
      <c r="BJ136" s="60">
        <f t="shared" si="146"/>
        <v>230.98056275369652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1.1857911376134982</v>
      </c>
      <c r="BR136" s="23">
        <f>EXP(-LN(2)/2)*BR135+(1-EXP(-LN(2)/2))/(LN(2)/2)*BL136*BO136*VLOOKUP('Données projet'!$B$11,Paramètres!$A$1:$I$89,3,0)*0.475*44/12</f>
        <v>3.096593394378187E-15</v>
      </c>
      <c r="BS136" s="24">
        <f t="shared" si="117"/>
        <v>1.1857911376135013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-1.7053025658242404E-13</v>
      </c>
      <c r="BZ136" s="14">
        <f>BY136*VLOOKUP('Données projet'!$B$12,Paramètres!$A$1:$I$89,3,0)*VLOOKUP('Données projet'!$B$12,Paramètres!$A$1:$I$89,5,0)</f>
        <v>-1.250327841262333E-13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216.97968518094325</v>
      </c>
      <c r="CE136" s="60">
        <f t="shared" si="148"/>
        <v>248.38190023108666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-3.813056537183002E-14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199.36703853638392</v>
      </c>
      <c r="CZ136" s="60">
        <f t="shared" si="150"/>
        <v>145.15653612907363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8">
        <f t="shared" si="110"/>
        <v>437.4451801121844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0">
        <f t="shared" si="109"/>
        <v>840.958271553038</v>
      </c>
      <c r="S137" s="60">
        <f ca="1">AVERAGE(OFFSET($R$3,0,0,'Données projet'!$E$9+1,1))-AVERAGE(OFFSET($H$3,0,0,'Données projet'!$E$9+1,1))</f>
        <v>314.4389771131751</v>
      </c>
      <c r="T137" s="60">
        <f t="shared" si="142"/>
        <v>176.7239677722049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0">
        <f t="shared" si="113"/>
        <v>905.47544691277926</v>
      </c>
      <c r="AN137" s="60">
        <f ca="1">AVERAGE(OFFSET($AM$3,0,0,'Données projet'!$E$10+1,1))-AVERAGE(OFFSET($H$3,0,0,'Données projet'!$E$10+1,1))</f>
        <v>361.06925636707814</v>
      </c>
      <c r="AO137" s="60">
        <f t="shared" si="144"/>
        <v>201.44775212076888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6.3550942286383367E-14</v>
      </c>
      <c r="BF137" s="14">
        <f t="shared" si="145"/>
        <v>1.0064464192543978E-12</v>
      </c>
      <c r="BG137" s="22">
        <f t="shared" si="115"/>
        <v>1.8635787380168604E-12</v>
      </c>
      <c r="BH137" s="60">
        <f t="shared" si="116"/>
        <v>293.33333333333519</v>
      </c>
      <c r="BI137" s="60">
        <f ca="1">AVERAGE(OFFSET($BH$3,0,0,'Données projet'!$E$11+1,1))-AVERAGE(OFFSET($H$3,0,0,'Données projet'!$E$11+1,1))</f>
        <v>253.63061102077421</v>
      </c>
      <c r="BJ137" s="60">
        <f t="shared" si="146"/>
        <v>230.98056275369652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1.1533656165974113</v>
      </c>
      <c r="BR137" s="23">
        <f>EXP(-LN(2)/2)*BR136+(1-EXP(-LN(2)/2))/(LN(2)/2)*BL137*BO137*VLOOKUP('Données projet'!$B$11,Paramètres!$A$1:$I$89,3,0)*0.475*44/12</f>
        <v>2.1896221877422851E-15</v>
      </c>
      <c r="BS137" s="24">
        <f t="shared" si="117"/>
        <v>1.1533656165974135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-1.7053025658242404E-13</v>
      </c>
      <c r="BZ137" s="14">
        <f>BY137*VLOOKUP('Données projet'!$B$12,Paramètres!$A$1:$I$89,3,0)*VLOOKUP('Données projet'!$B$12,Paramètres!$A$1:$I$89,5,0)</f>
        <v>-1.250327841262333E-13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216.97968518094325</v>
      </c>
      <c r="CE137" s="60">
        <f t="shared" si="148"/>
        <v>248.38190023108666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-3.813056537183002E-14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199.36703853638392</v>
      </c>
      <c r="CZ137" s="60">
        <f t="shared" si="150"/>
        <v>145.15653612907363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8">
        <f t="shared" si="110"/>
        <v>438.49288008369155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0">
        <f t="shared" si="109"/>
        <v>846.12235812526569</v>
      </c>
      <c r="S138" s="60">
        <f ca="1">AVERAGE(OFFSET($R$3,0,0,'Données projet'!$E$9+1,1))-AVERAGE(OFFSET($H$3,0,0,'Données projet'!$E$9+1,1))</f>
        <v>314.4389771131751</v>
      </c>
      <c r="T138" s="60">
        <f t="shared" si="142"/>
        <v>176.7239677722049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0">
        <f t="shared" si="113"/>
        <v>911.24935938826479</v>
      </c>
      <c r="AN138" s="60">
        <f ca="1">AVERAGE(OFFSET($AM$3,0,0,'Données projet'!$E$10+1,1))-AVERAGE(OFFSET($H$3,0,0,'Données projet'!$E$10+1,1))</f>
        <v>361.06925636707814</v>
      </c>
      <c r="AO138" s="60">
        <f t="shared" si="144"/>
        <v>201.44775212076888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6.3550942286383367E-14</v>
      </c>
      <c r="BF138" s="14">
        <f t="shared" si="145"/>
        <v>1.0064464192543978E-12</v>
      </c>
      <c r="BG138" s="22">
        <f t="shared" si="115"/>
        <v>1.8635787380168604E-12</v>
      </c>
      <c r="BH138" s="60">
        <f t="shared" si="116"/>
        <v>293.33333333333519</v>
      </c>
      <c r="BI138" s="60">
        <f ca="1">AVERAGE(OFFSET($BH$3,0,0,'Données projet'!$E$11+1,1))-AVERAGE(OFFSET($H$3,0,0,'Données projet'!$E$11+1,1))</f>
        <v>253.63061102077421</v>
      </c>
      <c r="BJ138" s="60">
        <f t="shared" si="146"/>
        <v>230.98056275369652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1.1218267731586933</v>
      </c>
      <c r="BR138" s="23">
        <f>EXP(-LN(2)/2)*BR137+(1-EXP(-LN(2)/2))/(LN(2)/2)*BL138*BO138*VLOOKUP('Données projet'!$B$11,Paramètres!$A$1:$I$89,3,0)*0.475*44/12</f>
        <v>1.5482966971890935E-15</v>
      </c>
      <c r="BS138" s="24">
        <f t="shared" si="117"/>
        <v>1.1218267731586948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-1.7053025658242404E-13</v>
      </c>
      <c r="BZ138" s="14">
        <f>BY138*VLOOKUP('Données projet'!$B$12,Paramètres!$A$1:$I$89,3,0)*VLOOKUP('Données projet'!$B$12,Paramètres!$A$1:$I$89,5,0)</f>
        <v>-1.250327841262333E-13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216.97968518094325</v>
      </c>
      <c r="CE138" s="60">
        <f t="shared" si="148"/>
        <v>248.38190023108666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-3.813056537183002E-14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199.36703853638392</v>
      </c>
      <c r="CZ138" s="60">
        <f t="shared" si="150"/>
        <v>145.15653612907363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8">
        <f t="shared" si="110"/>
        <v>439.54039910075409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0">
        <f t="shared" si="109"/>
        <v>851.28543369086674</v>
      </c>
      <c r="S139" s="60">
        <f ca="1">AVERAGE(OFFSET($R$3,0,0,'Données projet'!$E$9+1,1))-AVERAGE(OFFSET($H$3,0,0,'Données projet'!$E$9+1,1))</f>
        <v>314.4389771131751</v>
      </c>
      <c r="T139" s="60">
        <f t="shared" si="142"/>
        <v>176.7239677722049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0">
        <f t="shared" si="113"/>
        <v>917.02215376729873</v>
      </c>
      <c r="AN139" s="60">
        <f ca="1">AVERAGE(OFFSET($AM$3,0,0,'Données projet'!$E$10+1,1))-AVERAGE(OFFSET($H$3,0,0,'Données projet'!$E$10+1,1))</f>
        <v>361.06925636707814</v>
      </c>
      <c r="AO139" s="60">
        <f t="shared" si="144"/>
        <v>201.44775212076888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6.3550942286383367E-14</v>
      </c>
      <c r="BF139" s="14">
        <f t="shared" si="145"/>
        <v>1.0064464192543978E-12</v>
      </c>
      <c r="BG139" s="22">
        <f t="shared" si="115"/>
        <v>1.8635787380168604E-12</v>
      </c>
      <c r="BH139" s="60">
        <f t="shared" si="116"/>
        <v>293.33333333333519</v>
      </c>
      <c r="BI139" s="60">
        <f ca="1">AVERAGE(OFFSET($BH$3,0,0,'Données projet'!$E$11+1,1))-AVERAGE(OFFSET($H$3,0,0,'Données projet'!$E$11+1,1))</f>
        <v>253.63061102077421</v>
      </c>
      <c r="BJ139" s="60">
        <f t="shared" si="146"/>
        <v>230.98056275369652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1.0911503610523627</v>
      </c>
      <c r="BR139" s="23">
        <f>EXP(-LN(2)/2)*BR138+(1-EXP(-LN(2)/2))/(LN(2)/2)*BL139*BO139*VLOOKUP('Données projet'!$B$11,Paramètres!$A$1:$I$89,3,0)*0.475*44/12</f>
        <v>1.0948110938711425E-15</v>
      </c>
      <c r="BS139" s="24">
        <f t="shared" si="117"/>
        <v>1.0911503610523638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-1.7053025658242404E-13</v>
      </c>
      <c r="BZ139" s="14">
        <f>BY139*VLOOKUP('Données projet'!$B$12,Paramètres!$A$1:$I$89,3,0)*VLOOKUP('Données projet'!$B$12,Paramètres!$A$1:$I$89,5,0)</f>
        <v>-1.250327841262333E-13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216.97968518094325</v>
      </c>
      <c r="CE139" s="60">
        <f t="shared" si="148"/>
        <v>248.38190023108666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-3.813056537183002E-14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199.36703853638392</v>
      </c>
      <c r="CZ139" s="60">
        <f t="shared" si="150"/>
        <v>145.15653612907363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8">
        <f t="shared" si="110"/>
        <v>440.58773864818636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0">
        <f t="shared" si="109"/>
        <v>856.44750892960883</v>
      </c>
      <c r="S140" s="60">
        <f ca="1">AVERAGE(OFFSET($R$3,0,0,'Données projet'!$E$9+1,1))-AVERAGE(OFFSET($H$3,0,0,'Données projet'!$E$9+1,1))</f>
        <v>314.4389771131751</v>
      </c>
      <c r="T140" s="60">
        <f t="shared" si="142"/>
        <v>176.7239677722049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0">
        <f t="shared" si="113"/>
        <v>922.79384186089305</v>
      </c>
      <c r="AN140" s="60">
        <f ca="1">AVERAGE(OFFSET($AM$3,0,0,'Données projet'!$E$10+1,1))-AVERAGE(OFFSET($H$3,0,0,'Données projet'!$E$10+1,1))</f>
        <v>361.06925636707814</v>
      </c>
      <c r="AO140" s="60">
        <f t="shared" si="144"/>
        <v>201.44775212076888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6.3550942286383367E-14</v>
      </c>
      <c r="BF140" s="14">
        <f t="shared" si="145"/>
        <v>1.0064464192543978E-12</v>
      </c>
      <c r="BG140" s="22">
        <f t="shared" si="115"/>
        <v>1.8635787380168604E-12</v>
      </c>
      <c r="BH140" s="60">
        <f t="shared" si="116"/>
        <v>293.33333333333519</v>
      </c>
      <c r="BI140" s="60">
        <f ca="1">AVERAGE(OFFSET($BH$3,0,0,'Données projet'!$E$11+1,1))-AVERAGE(OFFSET($H$3,0,0,'Données projet'!$E$11+1,1))</f>
        <v>253.63061102077421</v>
      </c>
      <c r="BJ140" s="60">
        <f t="shared" si="146"/>
        <v>230.98056275369652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1.0613127970482823</v>
      </c>
      <c r="BR140" s="23">
        <f>EXP(-LN(2)/2)*BR139+(1-EXP(-LN(2)/2))/(LN(2)/2)*BL140*BO140*VLOOKUP('Données projet'!$B$11,Paramètres!$A$1:$I$89,3,0)*0.475*44/12</f>
        <v>7.7414834859454674E-16</v>
      </c>
      <c r="BS140" s="24">
        <f t="shared" si="117"/>
        <v>1.061312797048283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-1.7053025658242404E-13</v>
      </c>
      <c r="BZ140" s="14">
        <f>BY140*VLOOKUP('Données projet'!$B$12,Paramètres!$A$1:$I$89,3,0)*VLOOKUP('Données projet'!$B$12,Paramètres!$A$1:$I$89,5,0)</f>
        <v>-1.250327841262333E-13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216.97968518094325</v>
      </c>
      <c r="CE140" s="60">
        <f t="shared" si="148"/>
        <v>248.38190023108666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-3.813056537183002E-14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199.36703853638392</v>
      </c>
      <c r="CZ140" s="60">
        <f t="shared" si="150"/>
        <v>145.15653612907363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8">
        <f t="shared" si="110"/>
        <v>441.63490018787445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0">
        <f t="shared" si="109"/>
        <v>861.60859430939399</v>
      </c>
      <c r="S141" s="60">
        <f ca="1">AVERAGE(OFFSET($R$3,0,0,'Données projet'!$E$9+1,1))-AVERAGE(OFFSET($H$3,0,0,'Données projet'!$E$9+1,1))</f>
        <v>314.4389771131751</v>
      </c>
      <c r="T141" s="60">
        <f t="shared" si="142"/>
        <v>176.7239677722049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0">
        <f t="shared" si="113"/>
        <v>928.5644352457507</v>
      </c>
      <c r="AN141" s="60">
        <f ca="1">AVERAGE(OFFSET($AM$3,0,0,'Données projet'!$E$10+1,1))-AVERAGE(OFFSET($H$3,0,0,'Données projet'!$E$10+1,1))</f>
        <v>361.06925636707814</v>
      </c>
      <c r="AO141" s="60">
        <f t="shared" si="144"/>
        <v>201.44775212076888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6.3550942286383367E-14</v>
      </c>
      <c r="BF141" s="14">
        <f t="shared" si="145"/>
        <v>1.0064464192543978E-12</v>
      </c>
      <c r="BG141" s="22">
        <f t="shared" si="115"/>
        <v>1.8635787380168604E-12</v>
      </c>
      <c r="BH141" s="60">
        <f t="shared" si="116"/>
        <v>293.33333333333519</v>
      </c>
      <c r="BI141" s="60">
        <f ca="1">AVERAGE(OFFSET($BH$3,0,0,'Données projet'!$E$11+1,1))-AVERAGE(OFFSET($H$3,0,0,'Données projet'!$E$11+1,1))</f>
        <v>253.63061102077421</v>
      </c>
      <c r="BJ141" s="60">
        <f t="shared" si="146"/>
        <v>230.98056275369652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1.0322911428009827</v>
      </c>
      <c r="BR141" s="23">
        <f>EXP(-LN(2)/2)*BR140+(1-EXP(-LN(2)/2))/(LN(2)/2)*BL141*BO141*VLOOKUP('Données projet'!$B$11,Paramètres!$A$1:$I$89,3,0)*0.475*44/12</f>
        <v>5.4740554693557127E-16</v>
      </c>
      <c r="BS141" s="24">
        <f t="shared" si="117"/>
        <v>1.0322911428009831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-1.7053025658242404E-13</v>
      </c>
      <c r="BZ141" s="14">
        <f>BY141*VLOOKUP('Données projet'!$B$12,Paramètres!$A$1:$I$89,3,0)*VLOOKUP('Données projet'!$B$12,Paramètres!$A$1:$I$89,5,0)</f>
        <v>-1.250327841262333E-13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216.97968518094325</v>
      </c>
      <c r="CE141" s="60">
        <f t="shared" si="148"/>
        <v>248.38190023108666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-3.813056537183002E-14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199.36703853638392</v>
      </c>
      <c r="CZ141" s="60">
        <f t="shared" si="150"/>
        <v>145.15653612907363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8">
        <f t="shared" si="110"/>
        <v>442.68188515929319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0">
        <f t="shared" si="109"/>
        <v>866.76870009238769</v>
      </c>
      <c r="S142" s="60">
        <f ca="1">AVERAGE(OFFSET($R$3,0,0,'Données projet'!$E$9+1,1))-AVERAGE(OFFSET($H$3,0,0,'Données projet'!$E$9+1,1))</f>
        <v>314.4389771131751</v>
      </c>
      <c r="T142" s="60">
        <f t="shared" si="142"/>
        <v>176.7239677722049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0">
        <f t="shared" si="113"/>
        <v>934.33394527104656</v>
      </c>
      <c r="AN142" s="60">
        <f ca="1">AVERAGE(OFFSET($AM$3,0,0,'Données projet'!$E$10+1,1))-AVERAGE(OFFSET($H$3,0,0,'Données projet'!$E$10+1,1))</f>
        <v>361.06925636707814</v>
      </c>
      <c r="AO142" s="60">
        <f t="shared" si="144"/>
        <v>201.44775212076888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6.3550942286383367E-14</v>
      </c>
      <c r="BF142" s="14">
        <f t="shared" si="145"/>
        <v>1.0064464192543978E-12</v>
      </c>
      <c r="BG142" s="22">
        <f t="shared" si="115"/>
        <v>1.8635787380168604E-12</v>
      </c>
      <c r="BH142" s="60">
        <f t="shared" si="116"/>
        <v>293.33333333333519</v>
      </c>
      <c r="BI142" s="60">
        <f ca="1">AVERAGE(OFFSET($BH$3,0,0,'Données projet'!$E$11+1,1))-AVERAGE(OFFSET($H$3,0,0,'Données projet'!$E$11+1,1))</f>
        <v>253.63061102077421</v>
      </c>
      <c r="BJ142" s="60">
        <f t="shared" si="146"/>
        <v>230.98056275369652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1.0040630872152578</v>
      </c>
      <c r="BR142" s="23">
        <f>EXP(-LN(2)/2)*BR141+(1-EXP(-LN(2)/2))/(LN(2)/2)*BL142*BO142*VLOOKUP('Données projet'!$B$11,Paramètres!$A$1:$I$89,3,0)*0.475*44/12</f>
        <v>3.8707417429727337E-16</v>
      </c>
      <c r="BS142" s="24">
        <f t="shared" si="117"/>
        <v>1.0040630872152583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-1.7053025658242404E-13</v>
      </c>
      <c r="BZ142" s="14">
        <f>BY142*VLOOKUP('Données projet'!$B$12,Paramètres!$A$1:$I$89,3,0)*VLOOKUP('Données projet'!$B$12,Paramètres!$A$1:$I$89,5,0)</f>
        <v>-1.250327841262333E-13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216.97968518094325</v>
      </c>
      <c r="CE142" s="60">
        <f t="shared" si="148"/>
        <v>248.38190023108666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-3.813056537183002E-14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199.36703853638392</v>
      </c>
      <c r="CZ142" s="60">
        <f t="shared" si="150"/>
        <v>145.15653612907363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8">
        <f t="shared" si="110"/>
        <v>443.72869498000898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0">
        <f t="shared" si="109"/>
        <v>871.92783634091984</v>
      </c>
      <c r="S143" s="60">
        <f ca="1">AVERAGE(OFFSET($R$3,0,0,'Données projet'!$E$9+1,1))-AVERAGE(OFFSET($H$3,0,0,'Données projet'!$E$9+1,1))</f>
        <v>314.4389771131751</v>
      </c>
      <c r="T143" s="60">
        <f t="shared" si="142"/>
        <v>176.7239677722049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0">
        <f t="shared" si="113"/>
        <v>940.10238306495216</v>
      </c>
      <c r="AN143" s="60">
        <f ca="1">AVERAGE(OFFSET($AM$3,0,0,'Données projet'!$E$10+1,1))-AVERAGE(OFFSET($H$3,0,0,'Données projet'!$E$10+1,1))</f>
        <v>361.06925636707814</v>
      </c>
      <c r="AO143" s="60">
        <f t="shared" si="144"/>
        <v>201.44775212076888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6.3550942286383367E-14</v>
      </c>
      <c r="BF143" s="14">
        <f t="shared" si="145"/>
        <v>1.0064464192543978E-12</v>
      </c>
      <c r="BG143" s="22">
        <f t="shared" si="115"/>
        <v>1.8635787380168604E-12</v>
      </c>
      <c r="BH143" s="60">
        <f t="shared" si="116"/>
        <v>293.33333333333519</v>
      </c>
      <c r="BI143" s="60">
        <f ca="1">AVERAGE(OFFSET($BH$3,0,0,'Données projet'!$E$11+1,1))-AVERAGE(OFFSET($H$3,0,0,'Données projet'!$E$11+1,1))</f>
        <v>253.63061102077421</v>
      </c>
      <c r="BJ143" s="60">
        <f t="shared" si="146"/>
        <v>230.98056275369652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0.97660692929397364</v>
      </c>
      <c r="BR143" s="23">
        <f>EXP(-LN(2)/2)*BR142+(1-EXP(-LN(2)/2))/(LN(2)/2)*BL143*BO143*VLOOKUP('Données projet'!$B$11,Paramètres!$A$1:$I$89,3,0)*0.475*44/12</f>
        <v>2.7370277346778564E-16</v>
      </c>
      <c r="BS143" s="24">
        <f t="shared" si="117"/>
        <v>0.97660692929397386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-1.7053025658242404E-13</v>
      </c>
      <c r="BZ143" s="14">
        <f>BY143*VLOOKUP('Données projet'!$B$12,Paramètres!$A$1:$I$89,3,0)*VLOOKUP('Données projet'!$B$12,Paramètres!$A$1:$I$89,5,0)</f>
        <v>-1.250327841262333E-13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216.97968518094325</v>
      </c>
      <c r="CE143" s="60">
        <f t="shared" si="148"/>
        <v>248.38190023108666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-3.813056537183002E-14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199.36703853638392</v>
      </c>
      <c r="CZ143" s="60">
        <f t="shared" si="150"/>
        <v>145.15653612907363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8">
        <f t="shared" si="110"/>
        <v>444.7753310461668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0">
        <f t="shared" si="109"/>
        <v>824.88563895074731</v>
      </c>
      <c r="S144" s="60">
        <f ca="1">AVERAGE(OFFSET($R$3,0,0,'Données projet'!$E$9+1,1))-AVERAGE(OFFSET($H$3,0,0,'Données projet'!$E$9+1,1))</f>
        <v>314.4389771131751</v>
      </c>
      <c r="T144" s="60">
        <f t="shared" si="142"/>
        <v>176.7239677722049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0">
        <f t="shared" si="113"/>
        <v>887.50488060598582</v>
      </c>
      <c r="AN144" s="60">
        <f ca="1">AVERAGE(OFFSET($AM$3,0,0,'Données projet'!$E$10+1,1))-AVERAGE(OFFSET($H$3,0,0,'Données projet'!$E$10+1,1))</f>
        <v>361.06925636707814</v>
      </c>
      <c r="AO144" s="60">
        <f t="shared" si="144"/>
        <v>201.44775212076888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6.3550942286383367E-14</v>
      </c>
      <c r="BF144" s="14">
        <f t="shared" si="145"/>
        <v>1.0064464192543978E-12</v>
      </c>
      <c r="BG144" s="22">
        <f t="shared" si="115"/>
        <v>1.8635787380168604E-12</v>
      </c>
      <c r="BH144" s="60">
        <f t="shared" si="116"/>
        <v>293.33333333333519</v>
      </c>
      <c r="BI144" s="60">
        <f ca="1">AVERAGE(OFFSET($BH$3,0,0,'Données projet'!$E$11+1,1))-AVERAGE(OFFSET($H$3,0,0,'Données projet'!$E$11+1,1))</f>
        <v>253.63061102077421</v>
      </c>
      <c r="BJ144" s="60">
        <f t="shared" si="146"/>
        <v>230.98056275369652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0.94990156145490356</v>
      </c>
      <c r="BR144" s="23">
        <f>EXP(-LN(2)/2)*BR143+(1-EXP(-LN(2)/2))/(LN(2)/2)*BL144*BO144*VLOOKUP('Données projet'!$B$11,Paramètres!$A$1:$I$89,3,0)*0.475*44/12</f>
        <v>1.9353708714863669E-16</v>
      </c>
      <c r="BS144" s="24">
        <f t="shared" si="117"/>
        <v>0.94990156145490379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-1.7053025658242404E-13</v>
      </c>
      <c r="BZ144" s="14">
        <f>BY144*VLOOKUP('Données projet'!$B$12,Paramètres!$A$1:$I$89,3,0)*VLOOKUP('Données projet'!$B$12,Paramètres!$A$1:$I$89,5,0)</f>
        <v>-1.250327841262333E-13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216.97968518094325</v>
      </c>
      <c r="CE144" s="60">
        <f t="shared" si="148"/>
        <v>248.38190023108666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-3.813056537183002E-14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199.36703853638392</v>
      </c>
      <c r="CZ144" s="60">
        <f t="shared" si="150"/>
        <v>145.15653612907363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8">
        <f t="shared" si="110"/>
        <v>445.82179473296389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0">
        <f t="shared" si="109"/>
        <v>829.47884870108419</v>
      </c>
      <c r="S145" s="60">
        <f ca="1">AVERAGE(OFFSET($R$3,0,0,'Données projet'!$E$9+1,1))-AVERAGE(OFFSET($H$3,0,0,'Données projet'!$E$9+1,1))</f>
        <v>314.4389771131751</v>
      </c>
      <c r="T145" s="60">
        <f t="shared" si="142"/>
        <v>176.7239677722049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0">
        <f t="shared" si="113"/>
        <v>892.64046612551419</v>
      </c>
      <c r="AN145" s="60">
        <f ca="1">AVERAGE(OFFSET($AM$3,0,0,'Données projet'!$E$10+1,1))-AVERAGE(OFFSET($H$3,0,0,'Données projet'!$E$10+1,1))</f>
        <v>361.06925636707814</v>
      </c>
      <c r="AO145" s="60">
        <f t="shared" si="144"/>
        <v>201.44775212076888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6.3550942286383367E-14</v>
      </c>
      <c r="BF145" s="14">
        <f t="shared" si="145"/>
        <v>1.0064464192543978E-12</v>
      </c>
      <c r="BG145" s="22">
        <f t="shared" si="115"/>
        <v>1.8635787380168604E-12</v>
      </c>
      <c r="BH145" s="60">
        <f t="shared" si="116"/>
        <v>293.33333333333519</v>
      </c>
      <c r="BI145" s="60">
        <f ca="1">AVERAGE(OFFSET($BH$3,0,0,'Données projet'!$E$11+1,1))-AVERAGE(OFFSET($H$3,0,0,'Données projet'!$E$11+1,1))</f>
        <v>253.63061102077421</v>
      </c>
      <c r="BJ145" s="60">
        <f t="shared" si="146"/>
        <v>230.98056275369652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0.9239264533037671</v>
      </c>
      <c r="BR145" s="23">
        <f>EXP(-LN(2)/2)*BR144+(1-EXP(-LN(2)/2))/(LN(2)/2)*BL145*BO145*VLOOKUP('Données projet'!$B$11,Paramètres!$A$1:$I$89,3,0)*0.475*44/12</f>
        <v>1.3685138673389282E-16</v>
      </c>
      <c r="BS145" s="24">
        <f t="shared" si="117"/>
        <v>0.92392645330376721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-1.7053025658242404E-13</v>
      </c>
      <c r="BZ145" s="14">
        <f>BY145*VLOOKUP('Données projet'!$B$12,Paramètres!$A$1:$I$89,3,0)*VLOOKUP('Données projet'!$B$12,Paramètres!$A$1:$I$89,5,0)</f>
        <v>-1.250327841262333E-13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216.97968518094325</v>
      </c>
      <c r="CE145" s="60">
        <f t="shared" si="148"/>
        <v>248.38190023108666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-3.813056537183002E-14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199.36703853638392</v>
      </c>
      <c r="CZ145" s="60">
        <f t="shared" si="150"/>
        <v>145.15653612907363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8">
        <f t="shared" si="110"/>
        <v>446.86808739510911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0">
        <f t="shared" si="109"/>
        <v>834.07123124476584</v>
      </c>
      <c r="S146" s="60">
        <f ca="1">AVERAGE(OFFSET($R$3,0,0,'Données projet'!$E$9+1,1))-AVERAGE(OFFSET($H$3,0,0,'Données projet'!$E$9+1,1))</f>
        <v>314.4389771131751</v>
      </c>
      <c r="T146" s="60">
        <f t="shared" si="142"/>
        <v>176.7239677722049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0">
        <f t="shared" si="113"/>
        <v>897.77513681738401</v>
      </c>
      <c r="AN146" s="60">
        <f ca="1">AVERAGE(OFFSET($AM$3,0,0,'Données projet'!$E$10+1,1))-AVERAGE(OFFSET($H$3,0,0,'Données projet'!$E$10+1,1))</f>
        <v>361.06925636707814</v>
      </c>
      <c r="AO146" s="60">
        <f t="shared" si="144"/>
        <v>201.44775212076888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6.3550942286383367E-14</v>
      </c>
      <c r="BF146" s="14">
        <f t="shared" si="145"/>
        <v>1.0064464192543978E-12</v>
      </c>
      <c r="BG146" s="22">
        <f t="shared" si="115"/>
        <v>1.8635787380168604E-12</v>
      </c>
      <c r="BH146" s="60">
        <f t="shared" si="116"/>
        <v>293.33333333333519</v>
      </c>
      <c r="BI146" s="60">
        <f ca="1">AVERAGE(OFFSET($BH$3,0,0,'Données projet'!$E$11+1,1))-AVERAGE(OFFSET($H$3,0,0,'Données projet'!$E$11+1,1))</f>
        <v>253.63061102077421</v>
      </c>
      <c r="BJ146" s="60">
        <f t="shared" si="146"/>
        <v>230.98056275369652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0.89866163585099512</v>
      </c>
      <c r="BR146" s="23">
        <f>EXP(-LN(2)/2)*BR145+(1-EXP(-LN(2)/2))/(LN(2)/2)*BL146*BO146*VLOOKUP('Données projet'!$B$11,Paramètres!$A$1:$I$89,3,0)*0.475*44/12</f>
        <v>9.6768543574318343E-17</v>
      </c>
      <c r="BS146" s="24">
        <f t="shared" si="117"/>
        <v>0.89866163585099523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-1.7053025658242404E-13</v>
      </c>
      <c r="BZ146" s="14">
        <f>BY146*VLOOKUP('Données projet'!$B$12,Paramètres!$A$1:$I$89,3,0)*VLOOKUP('Données projet'!$B$12,Paramètres!$A$1:$I$89,5,0)</f>
        <v>-1.250327841262333E-13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216.97968518094325</v>
      </c>
      <c r="CE146" s="60">
        <f t="shared" si="148"/>
        <v>248.38190023108666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-3.813056537183002E-14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199.36703853638392</v>
      </c>
      <c r="CZ146" s="60">
        <f t="shared" si="150"/>
        <v>145.15653612907363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8">
        <f t="shared" si="110"/>
        <v>447.91421036726933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0">
        <f t="shared" si="109"/>
        <v>838.66279460250166</v>
      </c>
      <c r="S147" s="60">
        <f ca="1">AVERAGE(OFFSET($R$3,0,0,'Données projet'!$E$9+1,1))-AVERAGE(OFFSET($H$3,0,0,'Données projet'!$E$9+1,1))</f>
        <v>314.4389771131751</v>
      </c>
      <c r="T147" s="60">
        <f t="shared" si="142"/>
        <v>176.7239677722049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0">
        <f t="shared" si="113"/>
        <v>902.90890155188936</v>
      </c>
      <c r="AN147" s="60">
        <f ca="1">AVERAGE(OFFSET($AM$3,0,0,'Données projet'!$E$10+1,1))-AVERAGE(OFFSET($H$3,0,0,'Données projet'!$E$10+1,1))</f>
        <v>361.06925636707814</v>
      </c>
      <c r="AO147" s="60">
        <f t="shared" si="144"/>
        <v>201.44775212076888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6.3550942286383367E-14</v>
      </c>
      <c r="BF147" s="14">
        <f t="shared" si="145"/>
        <v>1.0064464192543978E-12</v>
      </c>
      <c r="BG147" s="22">
        <f t="shared" si="115"/>
        <v>1.8635787380168604E-12</v>
      </c>
      <c r="BH147" s="60">
        <f t="shared" si="116"/>
        <v>293.33333333333519</v>
      </c>
      <c r="BI147" s="60">
        <f ca="1">AVERAGE(OFFSET($BH$3,0,0,'Données projet'!$E$11+1,1))-AVERAGE(OFFSET($H$3,0,0,'Données projet'!$E$11+1,1))</f>
        <v>253.63061102077421</v>
      </c>
      <c r="BJ147" s="60">
        <f t="shared" si="146"/>
        <v>230.98056275369652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0.87408768616008814</v>
      </c>
      <c r="BR147" s="23">
        <f>EXP(-LN(2)/2)*BR146+(1-EXP(-LN(2)/2))/(LN(2)/2)*BL147*BO147*VLOOKUP('Données projet'!$B$11,Paramètres!$A$1:$I$89,3,0)*0.475*44/12</f>
        <v>6.8425693366946409E-17</v>
      </c>
      <c r="BS147" s="24">
        <f t="shared" si="117"/>
        <v>0.87408768616008825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-1.7053025658242404E-13</v>
      </c>
      <c r="BZ147" s="14">
        <f>BY147*VLOOKUP('Données projet'!$B$12,Paramètres!$A$1:$I$89,3,0)*VLOOKUP('Données projet'!$B$12,Paramètres!$A$1:$I$89,5,0)</f>
        <v>-1.250327841262333E-13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216.97968518094325</v>
      </c>
      <c r="CE147" s="60">
        <f t="shared" si="148"/>
        <v>248.38190023108666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-3.813056537183002E-14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199.36703853638392</v>
      </c>
      <c r="CZ147" s="60">
        <f t="shared" si="150"/>
        <v>145.15653612907363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8">
        <f t="shared" si="110"/>
        <v>448.96016496450284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0">
        <f t="shared" si="109"/>
        <v>843.25354664883753</v>
      </c>
      <c r="S148" s="60">
        <f ca="1">AVERAGE(OFFSET($R$3,0,0,'Données projet'!$E$9+1,1))-AVERAGE(OFFSET($H$3,0,0,'Données projet'!$E$9+1,1))</f>
        <v>314.4389771131751</v>
      </c>
      <c r="T148" s="60">
        <f t="shared" si="142"/>
        <v>176.7239677722049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0">
        <f t="shared" si="113"/>
        <v>908.04176903767916</v>
      </c>
      <c r="AN148" s="60">
        <f ca="1">AVERAGE(OFFSET($AM$3,0,0,'Données projet'!$E$10+1,1))-AVERAGE(OFFSET($H$3,0,0,'Données projet'!$E$10+1,1))</f>
        <v>361.06925636707814</v>
      </c>
      <c r="AO148" s="60">
        <f t="shared" si="144"/>
        <v>201.44775212076888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6.3550942286383367E-14</v>
      </c>
      <c r="BF148" s="14">
        <f t="shared" si="145"/>
        <v>1.0064464192543978E-12</v>
      </c>
      <c r="BG148" s="22">
        <f t="shared" si="115"/>
        <v>1.8635787380168604E-12</v>
      </c>
      <c r="BH148" s="60">
        <f t="shared" si="116"/>
        <v>293.33333333333519</v>
      </c>
      <c r="BI148" s="60">
        <f ca="1">AVERAGE(OFFSET($BH$3,0,0,'Données projet'!$E$11+1,1))-AVERAGE(OFFSET($H$3,0,0,'Données projet'!$E$11+1,1))</f>
        <v>253.63061102077421</v>
      </c>
      <c r="BJ148" s="60">
        <f t="shared" si="146"/>
        <v>230.98056275369652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0.8501857124157669</v>
      </c>
      <c r="BR148" s="23">
        <f>EXP(-LN(2)/2)*BR147+(1-EXP(-LN(2)/2))/(LN(2)/2)*BL148*BO148*VLOOKUP('Données projet'!$B$11,Paramètres!$A$1:$I$89,3,0)*0.475*44/12</f>
        <v>4.8384271787159171E-17</v>
      </c>
      <c r="BS148" s="24">
        <f t="shared" si="117"/>
        <v>0.8501857124157669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-1.7053025658242404E-13</v>
      </c>
      <c r="BZ148" s="14">
        <f>BY148*VLOOKUP('Données projet'!$B$12,Paramètres!$A$1:$I$89,3,0)*VLOOKUP('Données projet'!$B$12,Paramètres!$A$1:$I$89,5,0)</f>
        <v>-1.250327841262333E-13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216.97968518094325</v>
      </c>
      <c r="CE148" s="60">
        <f t="shared" si="148"/>
        <v>248.38190023108666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-3.813056537183002E-14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199.36703853638392</v>
      </c>
      <c r="CZ148" s="60">
        <f t="shared" si="150"/>
        <v>145.15653612907363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8">
        <f t="shared" si="110"/>
        <v>450.00595248268087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0">
        <f t="shared" si="109"/>
        <v>847.84349511604432</v>
      </c>
      <c r="S149" s="60">
        <f ca="1">AVERAGE(OFFSET($R$3,0,0,'Données projet'!$E$9+1,1))-AVERAGE(OFFSET($H$3,0,0,'Données projet'!$E$9+1,1))</f>
        <v>314.4389771131751</v>
      </c>
      <c r="T149" s="60">
        <f t="shared" si="142"/>
        <v>176.7239677722049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0">
        <f t="shared" si="113"/>
        <v>913.17374782605748</v>
      </c>
      <c r="AN149" s="60">
        <f ca="1">AVERAGE(OFFSET($AM$3,0,0,'Données projet'!$E$10+1,1))-AVERAGE(OFFSET($H$3,0,0,'Données projet'!$E$10+1,1))</f>
        <v>361.06925636707814</v>
      </c>
      <c r="AO149" s="60">
        <f t="shared" si="144"/>
        <v>201.44775212076888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6.3550942286383367E-14</v>
      </c>
      <c r="BF149" s="14">
        <f t="shared" si="145"/>
        <v>1.0064464192543978E-12</v>
      </c>
      <c r="BG149" s="22">
        <f t="shared" si="115"/>
        <v>1.8635787380168604E-12</v>
      </c>
      <c r="BH149" s="60">
        <f t="shared" si="116"/>
        <v>293.33333333333519</v>
      </c>
      <c r="BI149" s="60">
        <f ca="1">AVERAGE(OFFSET($BH$3,0,0,'Données projet'!$E$11+1,1))-AVERAGE(OFFSET($H$3,0,0,'Données projet'!$E$11+1,1))</f>
        <v>253.63061102077421</v>
      </c>
      <c r="BJ149" s="60">
        <f t="shared" si="146"/>
        <v>230.98056275369652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0.82693733940043423</v>
      </c>
      <c r="BR149" s="23">
        <f>EXP(-LN(2)/2)*BR148+(1-EXP(-LN(2)/2))/(LN(2)/2)*BL149*BO149*VLOOKUP('Données projet'!$B$11,Paramètres!$A$1:$I$89,3,0)*0.475*44/12</f>
        <v>3.4212846683473205E-17</v>
      </c>
      <c r="BS149" s="24">
        <f t="shared" si="117"/>
        <v>0.82693733940043423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-1.7053025658242404E-13</v>
      </c>
      <c r="BZ149" s="14">
        <f>BY149*VLOOKUP('Données projet'!$B$12,Paramètres!$A$1:$I$89,3,0)*VLOOKUP('Données projet'!$B$12,Paramètres!$A$1:$I$89,5,0)</f>
        <v>-1.250327841262333E-13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216.97968518094325</v>
      </c>
      <c r="CE149" s="60">
        <f t="shared" si="148"/>
        <v>248.38190023108666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-3.813056537183002E-14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199.36703853638392</v>
      </c>
      <c r="CZ149" s="60">
        <f t="shared" si="150"/>
        <v>145.15653612907363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8">
        <f t="shared" si="110"/>
        <v>451.05157419889701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0">
        <f t="shared" si="109"/>
        <v>852.43264759787166</v>
      </c>
      <c r="S150" s="60">
        <f ca="1">AVERAGE(OFFSET($R$3,0,0,'Données projet'!$E$9+1,1))-AVERAGE(OFFSET($H$3,0,0,'Données projet'!$E$9+1,1))</f>
        <v>314.4389771131751</v>
      </c>
      <c r="T150" s="60">
        <f t="shared" si="142"/>
        <v>176.7239677722049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0">
        <f t="shared" si="113"/>
        <v>918.30484631513332</v>
      </c>
      <c r="AN150" s="60">
        <f ca="1">AVERAGE(OFFSET($AM$3,0,0,'Données projet'!$E$10+1,1))-AVERAGE(OFFSET($H$3,0,0,'Données projet'!$E$10+1,1))</f>
        <v>361.06925636707814</v>
      </c>
      <c r="AO150" s="60">
        <f t="shared" si="144"/>
        <v>201.44775212076888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6.3550942286383367E-14</v>
      </c>
      <c r="BF150" s="14">
        <f t="shared" si="145"/>
        <v>1.0064464192543978E-12</v>
      </c>
      <c r="BG150" s="22">
        <f t="shared" si="115"/>
        <v>1.8635787380168604E-12</v>
      </c>
      <c r="BH150" s="60">
        <f t="shared" si="116"/>
        <v>293.33333333333519</v>
      </c>
      <c r="BI150" s="60">
        <f ca="1">AVERAGE(OFFSET($BH$3,0,0,'Données projet'!$E$11+1,1))-AVERAGE(OFFSET($H$3,0,0,'Données projet'!$E$11+1,1))</f>
        <v>253.63061102077421</v>
      </c>
      <c r="BJ150" s="60">
        <f t="shared" si="146"/>
        <v>230.98056275369652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0.80432469436778464</v>
      </c>
      <c r="BR150" s="23">
        <f>EXP(-LN(2)/2)*BR149+(1-EXP(-LN(2)/2))/(LN(2)/2)*BL150*BO150*VLOOKUP('Données projet'!$B$11,Paramètres!$A$1:$I$89,3,0)*0.475*44/12</f>
        <v>2.4192135893579586E-17</v>
      </c>
      <c r="BS150" s="24">
        <f t="shared" si="117"/>
        <v>0.80432469436778464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-1.7053025658242404E-13</v>
      </c>
      <c r="BZ150" s="14">
        <f>BY150*VLOOKUP('Données projet'!$B$12,Paramètres!$A$1:$I$89,3,0)*VLOOKUP('Données projet'!$B$12,Paramètres!$A$1:$I$89,5,0)</f>
        <v>-1.250327841262333E-13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216.97968518094325</v>
      </c>
      <c r="CE150" s="60">
        <f t="shared" si="148"/>
        <v>248.38190023108666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-3.813056537183002E-14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199.36703853638392</v>
      </c>
      <c r="CZ150" s="60">
        <f t="shared" si="150"/>
        <v>145.15653612907363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8">
        <f t="shared" si="110"/>
        <v>452.09703137186477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0">
        <f t="shared" si="109"/>
        <v>857.02101155317064</v>
      </c>
      <c r="S151" s="60">
        <f ca="1">AVERAGE(OFFSET($R$3,0,0,'Données projet'!$E$9+1,1))-AVERAGE(OFFSET($H$3,0,0,'Données projet'!$E$9+1,1))</f>
        <v>314.4389771131751</v>
      </c>
      <c r="T151" s="60">
        <f t="shared" si="142"/>
        <v>176.7239677722049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0">
        <f t="shared" si="113"/>
        <v>923.43507275382922</v>
      </c>
      <c r="AN151" s="60">
        <f ca="1">AVERAGE(OFFSET($AM$3,0,0,'Données projet'!$E$10+1,1))-AVERAGE(OFFSET($H$3,0,0,'Données projet'!$E$10+1,1))</f>
        <v>361.06925636707814</v>
      </c>
      <c r="AO151" s="60">
        <f t="shared" si="144"/>
        <v>201.44775212076888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6.3550942286383367E-14</v>
      </c>
      <c r="BF151" s="14">
        <f t="shared" si="145"/>
        <v>1.0064464192543978E-12</v>
      </c>
      <c r="BG151" s="22">
        <f t="shared" si="115"/>
        <v>1.8635787380168604E-12</v>
      </c>
      <c r="BH151" s="60">
        <f t="shared" si="116"/>
        <v>293.33333333333519</v>
      </c>
      <c r="BI151" s="60">
        <f ca="1">AVERAGE(OFFSET($BH$3,0,0,'Données projet'!$E$11+1,1))-AVERAGE(OFFSET($H$3,0,0,'Données projet'!$E$11+1,1))</f>
        <v>253.63061102077421</v>
      </c>
      <c r="BJ151" s="60">
        <f t="shared" si="146"/>
        <v>230.98056275369652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0.78233039330270016</v>
      </c>
      <c r="BR151" s="23">
        <f>EXP(-LN(2)/2)*BR150+(1-EXP(-LN(2)/2))/(LN(2)/2)*BL151*BO151*VLOOKUP('Données projet'!$B$11,Paramètres!$A$1:$I$89,3,0)*0.475*44/12</f>
        <v>1.7106423341736602E-17</v>
      </c>
      <c r="BS151" s="24">
        <f t="shared" si="117"/>
        <v>0.78233039330270016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-1.7053025658242404E-13</v>
      </c>
      <c r="BZ151" s="14">
        <f>BY151*VLOOKUP('Données projet'!$B$12,Paramètres!$A$1:$I$89,3,0)*VLOOKUP('Données projet'!$B$12,Paramètres!$A$1:$I$89,5,0)</f>
        <v>-1.250327841262333E-13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216.97968518094325</v>
      </c>
      <c r="CE151" s="60">
        <f t="shared" si="148"/>
        <v>248.38190023108666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-3.813056537183002E-14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199.36703853638392</v>
      </c>
      <c r="CZ151" s="60">
        <f t="shared" si="150"/>
        <v>145.15653612907363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8">
        <f t="shared" si="110"/>
        <v>453.14232524230488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0">
        <f t="shared" si="109"/>
        <v>861.60859430939354</v>
      </c>
      <c r="S152" s="60">
        <f ca="1">AVERAGE(OFFSET($R$3,0,0,'Données projet'!$E$9+1,1))-AVERAGE(OFFSET($H$3,0,0,'Données projet'!$E$9+1,1))</f>
        <v>314.4389771131751</v>
      </c>
      <c r="T152" s="60">
        <f t="shared" si="142"/>
        <v>176.7239677722049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0">
        <f t="shared" si="113"/>
        <v>928.56443524575025</v>
      </c>
      <c r="AN152" s="60">
        <f ca="1">AVERAGE(OFFSET($AM$3,0,0,'Données projet'!$E$10+1,1))-AVERAGE(OFFSET($H$3,0,0,'Données projet'!$E$10+1,1))</f>
        <v>361.06925636707814</v>
      </c>
      <c r="AO152" s="60">
        <f t="shared" si="144"/>
        <v>201.44775212076888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6.3550942286383367E-14</v>
      </c>
      <c r="BF152" s="14">
        <f t="shared" si="145"/>
        <v>1.0064464192543978E-12</v>
      </c>
      <c r="BG152" s="22">
        <f t="shared" si="115"/>
        <v>1.8635787380168604E-12</v>
      </c>
      <c r="BH152" s="60">
        <f t="shared" si="116"/>
        <v>293.33333333333519</v>
      </c>
      <c r="BI152" s="60">
        <f ca="1">AVERAGE(OFFSET($BH$3,0,0,'Données projet'!$E$11+1,1))-AVERAGE(OFFSET($H$3,0,0,'Données projet'!$E$11+1,1))</f>
        <v>253.63061102077421</v>
      </c>
      <c r="BJ152" s="60">
        <f t="shared" si="146"/>
        <v>230.98056275369652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0.7609375275568705</v>
      </c>
      <c r="BR152" s="23">
        <f>EXP(-LN(2)/2)*BR151+(1-EXP(-LN(2)/2))/(LN(2)/2)*BL152*BO152*VLOOKUP('Données projet'!$B$11,Paramètres!$A$1:$I$89,3,0)*0.475*44/12</f>
        <v>1.2096067946789793E-17</v>
      </c>
      <c r="BS152" s="24">
        <f t="shared" si="117"/>
        <v>0.7609375275568705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-1.7053025658242404E-13</v>
      </c>
      <c r="BZ152" s="14">
        <f>BY152*VLOOKUP('Données projet'!$B$12,Paramètres!$A$1:$I$89,3,0)*VLOOKUP('Données projet'!$B$12,Paramètres!$A$1:$I$89,5,0)</f>
        <v>-1.250327841262333E-13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216.97968518094325</v>
      </c>
      <c r="CE152" s="60">
        <f t="shared" si="148"/>
        <v>248.38190023108666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-3.813056537183002E-14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199.36703853638392</v>
      </c>
      <c r="CZ152" s="60">
        <f t="shared" si="150"/>
        <v>145.15653612907363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8">
        <f t="shared" si="110"/>
        <v>454.18745703332144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0">
        <f t="shared" si="109"/>
        <v>866.19540306597469</v>
      </c>
      <c r="S153" s="60">
        <f ca="1">AVERAGE(OFFSET($R$3,0,0,'Données projet'!$E$9+1,1))-AVERAGE(OFFSET($H$3,0,0,'Données projet'!$E$9+1,1))</f>
        <v>314.4389771131751</v>
      </c>
      <c r="T153" s="60">
        <f t="shared" si="142"/>
        <v>176.7239677722049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0">
        <f t="shared" si="113"/>
        <v>933.69294175292316</v>
      </c>
      <c r="AN153" s="60">
        <f ca="1">AVERAGE(OFFSET($AM$3,0,0,'Données projet'!$E$10+1,1))-AVERAGE(OFFSET($H$3,0,0,'Données projet'!$E$10+1,1))</f>
        <v>361.06925636707814</v>
      </c>
      <c r="AO153" s="60">
        <f t="shared" si="144"/>
        <v>201.44775212076888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6.3550942286383367E-14</v>
      </c>
      <c r="BF153" s="14">
        <f t="shared" si="145"/>
        <v>1.0064464192543978E-12</v>
      </c>
      <c r="BG153" s="22">
        <f t="shared" si="115"/>
        <v>1.8635787380168604E-12</v>
      </c>
      <c r="BH153" s="60">
        <f t="shared" si="116"/>
        <v>293.33333333333519</v>
      </c>
      <c r="BI153" s="60">
        <f ca="1">AVERAGE(OFFSET($BH$3,0,0,'Données projet'!$E$11+1,1))-AVERAGE(OFFSET($H$3,0,0,'Données projet'!$E$11+1,1))</f>
        <v>253.63061102077421</v>
      </c>
      <c r="BJ153" s="60">
        <f t="shared" si="146"/>
        <v>230.98056275369652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0.74012965084986249</v>
      </c>
      <c r="BR153" s="23">
        <f>EXP(-LN(2)/2)*BR152+(1-EXP(-LN(2)/2))/(LN(2)/2)*BL153*BO153*VLOOKUP('Données projet'!$B$11,Paramètres!$A$1:$I$89,3,0)*0.475*44/12</f>
        <v>8.5532116708683011E-18</v>
      </c>
      <c r="BS153" s="24">
        <f t="shared" si="117"/>
        <v>0.74012965084986249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-1.7053025658242404E-13</v>
      </c>
      <c r="BZ153" s="14">
        <f>BY153*VLOOKUP('Données projet'!$B$12,Paramètres!$A$1:$I$89,3,0)*VLOOKUP('Données projet'!$B$12,Paramètres!$A$1:$I$89,5,0)</f>
        <v>-1.250327841262333E-13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216.97968518094325</v>
      </c>
      <c r="CE153" s="60">
        <f t="shared" si="148"/>
        <v>248.38190023108666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-3.813056537183002E-14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199.36703853638392</v>
      </c>
      <c r="CZ153" s="60">
        <f t="shared" si="150"/>
        <v>145.15653612907363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8">
        <f t="shared" si="110"/>
        <v>455.23242795076749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314.4389771131751</v>
      </c>
      <c r="T154" s="60">
        <f t="shared" si="142"/>
        <v>176.7239677722049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361.06925636707814</v>
      </c>
      <c r="AO154" s="60">
        <f t="shared" si="144"/>
        <v>201.44775212076888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6.3550942286383367E-14</v>
      </c>
      <c r="BF154" s="14">
        <f t="shared" ref="BF154:BF203" si="167">EXP(-1.0587+0.8836*LN(BE154)+0.284)</f>
        <v>1.0064464192543978E-12</v>
      </c>
      <c r="BG154" s="22">
        <f t="shared" ref="BG154:BG203" si="168">(BE154+BF154)*0.475*44/12</f>
        <v>1.8635787380168604E-12</v>
      </c>
      <c r="BH154" s="60">
        <f t="shared" si="116"/>
        <v>293.33333333333519</v>
      </c>
      <c r="BI154" s="60">
        <f ca="1">AVERAGE(OFFSET($BH$3,0,0,'Données projet'!$E$11+1,1))-AVERAGE(OFFSET($H$3,0,0,'Données projet'!$E$11+1,1))</f>
        <v>253.63061102077421</v>
      </c>
      <c r="BJ154" s="60">
        <f t="shared" si="146"/>
        <v>230.98056275369652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0.71989076662564622</v>
      </c>
      <c r="BR154" s="23">
        <f>EXP(-LN(2)/2)*BR153+(1-EXP(-LN(2)/2))/(LN(2)/2)*BL154*BO154*VLOOKUP('Données projet'!$B$11,Paramètres!$A$1:$I$89,3,0)*0.475*44/12</f>
        <v>6.0480339733948964E-18</v>
      </c>
      <c r="BS154" s="24">
        <f t="shared" ref="BS154:BS203" si="169">SUM(BP154:BR154)</f>
        <v>0.71989076662564622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-1.7053025658242404E-13</v>
      </c>
      <c r="BZ154" s="14">
        <f>BY154*VLOOKUP('Données projet'!$B$12,Paramètres!$A$1:$I$89,3,0)*VLOOKUP('Données projet'!$B$12,Paramètres!$A$1:$I$89,5,0)</f>
        <v>-1.250327841262333E-13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216.97968518094325</v>
      </c>
      <c r="CE154" s="60">
        <f t="shared" si="148"/>
        <v>248.38190023108666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-3.813056537183002E-14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199.36703853638392</v>
      </c>
      <c r="CZ154" s="60">
        <f t="shared" si="150"/>
        <v>145.15653612907363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8">
        <f t="shared" si="110"/>
        <v>456.27723918360118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314.4389771131751</v>
      </c>
      <c r="T155" s="60">
        <f t="shared" si="142"/>
        <v>176.7239677722049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361.06925636707814</v>
      </c>
      <c r="AO155" s="60">
        <f t="shared" si="144"/>
        <v>201.44775212076888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6.3550942286383367E-14</v>
      </c>
      <c r="BF155" s="14">
        <f t="shared" si="167"/>
        <v>1.0064464192543978E-12</v>
      </c>
      <c r="BG155" s="22">
        <f t="shared" si="168"/>
        <v>1.8635787380168604E-12</v>
      </c>
      <c r="BH155" s="60">
        <f t="shared" si="116"/>
        <v>293.33333333333519</v>
      </c>
      <c r="BI155" s="60">
        <f ca="1">AVERAGE(OFFSET($BH$3,0,0,'Données projet'!$E$11+1,1))-AVERAGE(OFFSET($H$3,0,0,'Données projet'!$E$11+1,1))</f>
        <v>253.63061102077421</v>
      </c>
      <c r="BJ155" s="60">
        <f t="shared" si="146"/>
        <v>230.98056275369652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0.70020531575485778</v>
      </c>
      <c r="BR155" s="23">
        <f>EXP(-LN(2)/2)*BR154+(1-EXP(-LN(2)/2))/(LN(2)/2)*BL155*BO155*VLOOKUP('Données projet'!$B$11,Paramètres!$A$1:$I$89,3,0)*0.475*44/12</f>
        <v>4.2766058354341506E-18</v>
      </c>
      <c r="BS155" s="24">
        <f t="shared" si="169"/>
        <v>0.70020531575485778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-1.7053025658242404E-13</v>
      </c>
      <c r="BZ155" s="14">
        <f>BY155*VLOOKUP('Données projet'!$B$12,Paramètres!$A$1:$I$89,3,0)*VLOOKUP('Données projet'!$B$12,Paramètres!$A$1:$I$89,5,0)</f>
        <v>-1.250327841262333E-13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216.97968518094325</v>
      </c>
      <c r="CE155" s="60">
        <f t="shared" si="148"/>
        <v>248.38190023108666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-3.813056537183002E-14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199.36703853638392</v>
      </c>
      <c r="CZ155" s="60">
        <f t="shared" si="150"/>
        <v>145.15653612907363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8">
        <f t="shared" si="110"/>
        <v>457.32189190423196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314.4389771131751</v>
      </c>
      <c r="T156" s="60">
        <f t="shared" si="142"/>
        <v>176.7239677722049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361.06925636707814</v>
      </c>
      <c r="AO156" s="60">
        <f t="shared" si="144"/>
        <v>201.44775212076888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6.3550942286383367E-14</v>
      </c>
      <c r="BF156" s="14">
        <f t="shared" si="167"/>
        <v>1.0064464192543978E-12</v>
      </c>
      <c r="BG156" s="22">
        <f t="shared" si="168"/>
        <v>1.8635787380168604E-12</v>
      </c>
      <c r="BH156" s="60">
        <f t="shared" si="116"/>
        <v>293.33333333333519</v>
      </c>
      <c r="BI156" s="60">
        <f ca="1">AVERAGE(OFFSET($BH$3,0,0,'Données projet'!$E$11+1,1))-AVERAGE(OFFSET($H$3,0,0,'Données projet'!$E$11+1,1))</f>
        <v>253.63061102077421</v>
      </c>
      <c r="BJ156" s="60">
        <f t="shared" si="146"/>
        <v>230.98056275369652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0.681058164573344</v>
      </c>
      <c r="BR156" s="23">
        <f>EXP(-LN(2)/2)*BR155+(1-EXP(-LN(2)/2))/(LN(2)/2)*BL156*BO156*VLOOKUP('Données projet'!$B$11,Paramètres!$A$1:$I$89,3,0)*0.475*44/12</f>
        <v>3.0240169866974482E-18</v>
      </c>
      <c r="BS156" s="24">
        <f t="shared" si="169"/>
        <v>0.681058164573344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-1.7053025658242404E-13</v>
      </c>
      <c r="BZ156" s="14">
        <f>BY156*VLOOKUP('Données projet'!$B$12,Paramètres!$A$1:$I$89,3,0)*VLOOKUP('Données projet'!$B$12,Paramètres!$A$1:$I$89,5,0)</f>
        <v>-1.250327841262333E-13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216.97968518094325</v>
      </c>
      <c r="CE156" s="60">
        <f t="shared" si="148"/>
        <v>248.38190023108666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-3.813056537183002E-14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199.36703853638392</v>
      </c>
      <c r="CZ156" s="60">
        <f t="shared" si="150"/>
        <v>145.15653612907363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8">
        <f t="shared" si="110"/>
        <v>458.36638726885758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314.4389771131751</v>
      </c>
      <c r="T157" s="60">
        <f t="shared" si="142"/>
        <v>176.7239677722049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361.06925636707814</v>
      </c>
      <c r="AO157" s="60">
        <f t="shared" si="144"/>
        <v>201.44775212076888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6.3550942286383367E-14</v>
      </c>
      <c r="BF157" s="14">
        <f t="shared" si="167"/>
        <v>1.0064464192543978E-12</v>
      </c>
      <c r="BG157" s="22">
        <f t="shared" si="168"/>
        <v>1.8635787380168604E-12</v>
      </c>
      <c r="BH157" s="60">
        <f t="shared" si="116"/>
        <v>293.33333333333519</v>
      </c>
      <c r="BI157" s="60">
        <f ca="1">AVERAGE(OFFSET($BH$3,0,0,'Données projet'!$E$11+1,1))-AVERAGE(OFFSET($H$3,0,0,'Données projet'!$E$11+1,1))</f>
        <v>253.63061102077421</v>
      </c>
      <c r="BJ157" s="60">
        <f t="shared" si="146"/>
        <v>230.98056275369652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0.66243459324779363</v>
      </c>
      <c r="BR157" s="23">
        <f>EXP(-LN(2)/2)*BR156+(1-EXP(-LN(2)/2))/(LN(2)/2)*BL157*BO157*VLOOKUP('Données projet'!$B$11,Paramètres!$A$1:$I$89,3,0)*0.475*44/12</f>
        <v>2.1383029177170753E-18</v>
      </c>
      <c r="BS157" s="24">
        <f t="shared" si="169"/>
        <v>0.66243459324779363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-1.7053025658242404E-13</v>
      </c>
      <c r="BZ157" s="14">
        <f>BY157*VLOOKUP('Données projet'!$B$12,Paramètres!$A$1:$I$89,3,0)*VLOOKUP('Données projet'!$B$12,Paramètres!$A$1:$I$89,5,0)</f>
        <v>-1.250327841262333E-13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216.97968518094325</v>
      </c>
      <c r="CE157" s="60">
        <f t="shared" si="148"/>
        <v>248.38190023108666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-3.813056537183002E-14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199.36703853638392</v>
      </c>
      <c r="CZ157" s="60">
        <f t="shared" si="150"/>
        <v>145.15653612907363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8">
        <f t="shared" si="110"/>
        <v>459.41072641779198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314.4389771131751</v>
      </c>
      <c r="T158" s="60">
        <f t="shared" si="142"/>
        <v>176.7239677722049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361.06925636707814</v>
      </c>
      <c r="AO158" s="60">
        <f t="shared" si="144"/>
        <v>201.44775212076888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6.3550942286383367E-14</v>
      </c>
      <c r="BF158" s="14">
        <f t="shared" si="167"/>
        <v>1.0064464192543978E-12</v>
      </c>
      <c r="BG158" s="22">
        <f t="shared" si="168"/>
        <v>1.8635787380168604E-12</v>
      </c>
      <c r="BH158" s="60">
        <f t="shared" si="116"/>
        <v>293.33333333333519</v>
      </c>
      <c r="BI158" s="60">
        <f ca="1">AVERAGE(OFFSET($BH$3,0,0,'Données projet'!$E$11+1,1))-AVERAGE(OFFSET($H$3,0,0,'Données projet'!$E$11+1,1))</f>
        <v>253.63061102077421</v>
      </c>
      <c r="BJ158" s="60">
        <f t="shared" si="146"/>
        <v>230.98056275369652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0.64432028445951151</v>
      </c>
      <c r="BR158" s="23">
        <f>EXP(-LN(2)/2)*BR157+(1-EXP(-LN(2)/2))/(LN(2)/2)*BL158*BO158*VLOOKUP('Données projet'!$B$11,Paramètres!$A$1:$I$89,3,0)*0.475*44/12</f>
        <v>1.5120084933487241E-18</v>
      </c>
      <c r="BS158" s="24">
        <f t="shared" si="169"/>
        <v>0.64432028445951151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-1.7053025658242404E-13</v>
      </c>
      <c r="BZ158" s="14">
        <f>BY158*VLOOKUP('Données projet'!$B$12,Paramètres!$A$1:$I$89,3,0)*VLOOKUP('Données projet'!$B$12,Paramètres!$A$1:$I$89,5,0)</f>
        <v>-1.250327841262333E-13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216.97968518094325</v>
      </c>
      <c r="CE158" s="60">
        <f t="shared" si="148"/>
        <v>248.38190023108666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-3.813056537183002E-14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199.36703853638392</v>
      </c>
      <c r="CZ158" s="60">
        <f t="shared" si="150"/>
        <v>145.15653612907363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8">
        <f t="shared" si="110"/>
        <v>460.45491047578457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314.4389771131751</v>
      </c>
      <c r="T159" s="60">
        <f t="shared" si="142"/>
        <v>176.7239677722049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361.06925636707814</v>
      </c>
      <c r="AO159" s="60">
        <f t="shared" si="144"/>
        <v>201.44775212076888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6.3550942286383367E-14</v>
      </c>
      <c r="BF159" s="14">
        <f t="shared" si="167"/>
        <v>1.0064464192543978E-12</v>
      </c>
      <c r="BG159" s="22">
        <f t="shared" si="168"/>
        <v>1.8635787380168604E-12</v>
      </c>
      <c r="BH159" s="60">
        <f t="shared" si="116"/>
        <v>293.33333333333519</v>
      </c>
      <c r="BI159" s="60">
        <f ca="1">AVERAGE(OFFSET($BH$3,0,0,'Données projet'!$E$11+1,1))-AVERAGE(OFFSET($H$3,0,0,'Données projet'!$E$11+1,1))</f>
        <v>253.63061102077421</v>
      </c>
      <c r="BJ159" s="60">
        <f t="shared" si="146"/>
        <v>230.98056275369652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0.62670131239763505</v>
      </c>
      <c r="BR159" s="23">
        <f>EXP(-LN(2)/2)*BR158+(1-EXP(-LN(2)/2))/(LN(2)/2)*BL159*BO159*VLOOKUP('Données projet'!$B$11,Paramètres!$A$1:$I$89,3,0)*0.475*44/12</f>
        <v>1.0691514588585376E-18</v>
      </c>
      <c r="BS159" s="24">
        <f t="shared" si="169"/>
        <v>0.62670131239763505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-1.7053025658242404E-13</v>
      </c>
      <c r="BZ159" s="14">
        <f>BY159*VLOOKUP('Données projet'!$B$12,Paramètres!$A$1:$I$89,3,0)*VLOOKUP('Données projet'!$B$12,Paramètres!$A$1:$I$89,5,0)</f>
        <v>-1.250327841262333E-13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216.97968518094325</v>
      </c>
      <c r="CE159" s="60">
        <f t="shared" si="148"/>
        <v>248.38190023108666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-3.813056537183002E-14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199.36703853638392</v>
      </c>
      <c r="CZ159" s="60">
        <f t="shared" si="150"/>
        <v>145.15653612907363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8">
        <f t="shared" si="110"/>
        <v>461.49894055233096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314.4389771131751</v>
      </c>
      <c r="T160" s="60">
        <f t="shared" si="142"/>
        <v>176.7239677722049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361.06925636707814</v>
      </c>
      <c r="AO160" s="60">
        <f t="shared" si="144"/>
        <v>201.44775212076888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6.3550942286383367E-14</v>
      </c>
      <c r="BF160" s="14">
        <f t="shared" si="167"/>
        <v>1.0064464192543978E-12</v>
      </c>
      <c r="BG160" s="22">
        <f t="shared" si="168"/>
        <v>1.8635787380168604E-12</v>
      </c>
      <c r="BH160" s="60">
        <f t="shared" si="116"/>
        <v>293.33333333333519</v>
      </c>
      <c r="BI160" s="60">
        <f ca="1">AVERAGE(OFFSET($BH$3,0,0,'Données projet'!$E$11+1,1))-AVERAGE(OFFSET($H$3,0,0,'Données projet'!$E$11+1,1))</f>
        <v>253.63061102077421</v>
      </c>
      <c r="BJ160" s="60">
        <f t="shared" si="146"/>
        <v>230.98056275369652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0.60956413205333204</v>
      </c>
      <c r="BR160" s="23">
        <f>EXP(-LN(2)/2)*BR159+(1-EXP(-LN(2)/2))/(LN(2)/2)*BL160*BO160*VLOOKUP('Données projet'!$B$11,Paramètres!$A$1:$I$89,3,0)*0.475*44/12</f>
        <v>7.5600424667436205E-19</v>
      </c>
      <c r="BS160" s="24">
        <f t="shared" si="169"/>
        <v>0.60956413205333204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-1.7053025658242404E-13</v>
      </c>
      <c r="BZ160" s="14">
        <f>BY160*VLOOKUP('Données projet'!$B$12,Paramètres!$A$1:$I$89,3,0)*VLOOKUP('Données projet'!$B$12,Paramètres!$A$1:$I$89,5,0)</f>
        <v>-1.250327841262333E-13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216.97968518094325</v>
      </c>
      <c r="CE160" s="60">
        <f t="shared" si="148"/>
        <v>248.38190023108666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-3.813056537183002E-14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199.36703853638392</v>
      </c>
      <c r="CZ160" s="60">
        <f t="shared" si="150"/>
        <v>145.15653612907363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8">
        <f t="shared" si="110"/>
        <v>462.5428177419758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314.4389771131751</v>
      </c>
      <c r="T161" s="60">
        <f t="shared" si="142"/>
        <v>176.7239677722049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361.06925636707814</v>
      </c>
      <c r="AO161" s="60">
        <f t="shared" si="144"/>
        <v>201.44775212076888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6.3550942286383367E-14</v>
      </c>
      <c r="BF161" s="14">
        <f t="shared" si="167"/>
        <v>1.0064464192543978E-12</v>
      </c>
      <c r="BG161" s="22">
        <f t="shared" si="168"/>
        <v>1.8635787380168604E-12</v>
      </c>
      <c r="BH161" s="60">
        <f t="shared" si="116"/>
        <v>293.33333333333519</v>
      </c>
      <c r="BI161" s="60">
        <f ca="1">AVERAGE(OFFSET($BH$3,0,0,'Données projet'!$E$11+1,1))-AVERAGE(OFFSET($H$3,0,0,'Données projet'!$E$11+1,1))</f>
        <v>253.63061102077421</v>
      </c>
      <c r="BJ161" s="60">
        <f t="shared" si="146"/>
        <v>230.98056275369652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0.5928955688067491</v>
      </c>
      <c r="BR161" s="23">
        <f>EXP(-LN(2)/2)*BR160+(1-EXP(-LN(2)/2))/(LN(2)/2)*BL161*BO161*VLOOKUP('Données projet'!$B$11,Paramètres!$A$1:$I$89,3,0)*0.475*44/12</f>
        <v>5.3457572942926882E-19</v>
      </c>
      <c r="BS161" s="24">
        <f t="shared" si="169"/>
        <v>0.5928955688067491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-1.7053025658242404E-13</v>
      </c>
      <c r="BZ161" s="14">
        <f>BY161*VLOOKUP('Données projet'!$B$12,Paramètres!$A$1:$I$89,3,0)*VLOOKUP('Données projet'!$B$12,Paramètres!$A$1:$I$89,5,0)</f>
        <v>-1.250327841262333E-13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216.97968518094325</v>
      </c>
      <c r="CE161" s="60">
        <f t="shared" si="148"/>
        <v>248.38190023108666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-3.813056537183002E-14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199.36703853638392</v>
      </c>
      <c r="CZ161" s="60">
        <f t="shared" si="150"/>
        <v>145.15653612907363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8">
        <f t="shared" si="110"/>
        <v>463.58654312460754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314.4389771131751</v>
      </c>
      <c r="T162" s="60">
        <f t="shared" si="142"/>
        <v>176.7239677722049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361.06925636707814</v>
      </c>
      <c r="AO162" s="60">
        <f t="shared" si="144"/>
        <v>201.44775212076888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6.3550942286383367E-14</v>
      </c>
      <c r="BF162" s="14">
        <f t="shared" si="167"/>
        <v>1.0064464192543978E-12</v>
      </c>
      <c r="BG162" s="22">
        <f t="shared" si="168"/>
        <v>1.8635787380168604E-12</v>
      </c>
      <c r="BH162" s="60">
        <f t="shared" si="116"/>
        <v>293.33333333333519</v>
      </c>
      <c r="BI162" s="60">
        <f ca="1">AVERAGE(OFFSET($BH$3,0,0,'Données projet'!$E$11+1,1))-AVERAGE(OFFSET($H$3,0,0,'Données projet'!$E$11+1,1))</f>
        <v>253.63061102077421</v>
      </c>
      <c r="BJ162" s="60">
        <f t="shared" si="146"/>
        <v>230.98056275369652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0.57668280829870566</v>
      </c>
      <c r="BR162" s="23">
        <f>EXP(-LN(2)/2)*BR161+(1-EXP(-LN(2)/2))/(LN(2)/2)*BL162*BO162*VLOOKUP('Données projet'!$B$11,Paramètres!$A$1:$I$89,3,0)*0.475*44/12</f>
        <v>3.7800212333718103E-19</v>
      </c>
      <c r="BS162" s="24">
        <f t="shared" si="169"/>
        <v>0.57668280829870566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-1.7053025658242404E-13</v>
      </c>
      <c r="BZ162" s="14">
        <f>BY162*VLOOKUP('Données projet'!$B$12,Paramètres!$A$1:$I$89,3,0)*VLOOKUP('Données projet'!$B$12,Paramètres!$A$1:$I$89,5,0)</f>
        <v>-1.250327841262333E-13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216.97968518094325</v>
      </c>
      <c r="CE162" s="60">
        <f t="shared" si="148"/>
        <v>248.38190023108666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-3.813056537183002E-14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199.36703853638392</v>
      </c>
      <c r="CZ162" s="60">
        <f t="shared" si="150"/>
        <v>145.15653612907363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8">
        <f t="shared" si="110"/>
        <v>464.63011776574541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314.4389771131751</v>
      </c>
      <c r="T163" s="60">
        <f t="shared" si="142"/>
        <v>176.7239677722049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361.06925636707814</v>
      </c>
      <c r="AO163" s="60">
        <f t="shared" si="144"/>
        <v>201.44775212076888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6.3550942286383367E-14</v>
      </c>
      <c r="BF163" s="14">
        <f t="shared" si="167"/>
        <v>1.0064464192543978E-12</v>
      </c>
      <c r="BG163" s="22">
        <f t="shared" si="168"/>
        <v>1.8635787380168604E-12</v>
      </c>
      <c r="BH163" s="60">
        <f t="shared" si="116"/>
        <v>293.33333333333519</v>
      </c>
      <c r="BI163" s="60">
        <f ca="1">AVERAGE(OFFSET($BH$3,0,0,'Données projet'!$E$11+1,1))-AVERAGE(OFFSET($H$3,0,0,'Données projet'!$E$11+1,1))</f>
        <v>253.63061102077421</v>
      </c>
      <c r="BJ163" s="60">
        <f t="shared" si="146"/>
        <v>230.98056275369652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0.56091338657934664</v>
      </c>
      <c r="BR163" s="23">
        <f>EXP(-LN(2)/2)*BR162+(1-EXP(-LN(2)/2))/(LN(2)/2)*BL163*BO163*VLOOKUP('Données projet'!$B$11,Paramètres!$A$1:$I$89,3,0)*0.475*44/12</f>
        <v>2.6728786471463441E-19</v>
      </c>
      <c r="BS163" s="24">
        <f t="shared" si="169"/>
        <v>0.56091338657934664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-1.7053025658242404E-13</v>
      </c>
      <c r="BZ163" s="14">
        <f>BY163*VLOOKUP('Données projet'!$B$12,Paramètres!$A$1:$I$89,3,0)*VLOOKUP('Données projet'!$B$12,Paramètres!$A$1:$I$89,5,0)</f>
        <v>-1.250327841262333E-13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216.97968518094325</v>
      </c>
      <c r="CE163" s="60">
        <f t="shared" si="148"/>
        <v>248.38190023108666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-3.813056537183002E-14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199.36703853638392</v>
      </c>
      <c r="CZ163" s="60">
        <f t="shared" si="150"/>
        <v>145.15653612907363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8">
        <f t="shared" si="110"/>
        <v>465.67354271681944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314.4389771131751</v>
      </c>
      <c r="T164" s="60">
        <f t="shared" si="142"/>
        <v>176.7239677722049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361.06925636707814</v>
      </c>
      <c r="AO164" s="60">
        <f t="shared" si="144"/>
        <v>201.44775212076888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6.3550942286383367E-14</v>
      </c>
      <c r="BF164" s="14">
        <f t="shared" si="167"/>
        <v>1.0064464192543978E-12</v>
      </c>
      <c r="BG164" s="22">
        <f t="shared" si="168"/>
        <v>1.8635787380168604E-12</v>
      </c>
      <c r="BH164" s="60">
        <f t="shared" si="116"/>
        <v>293.33333333333519</v>
      </c>
      <c r="BI164" s="60">
        <f ca="1">AVERAGE(OFFSET($BH$3,0,0,'Données projet'!$E$11+1,1))-AVERAGE(OFFSET($H$3,0,0,'Données projet'!$E$11+1,1))</f>
        <v>253.63061102077421</v>
      </c>
      <c r="BJ164" s="60">
        <f t="shared" si="146"/>
        <v>230.98056275369652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0.54557518052618137</v>
      </c>
      <c r="BR164" s="23">
        <f>EXP(-LN(2)/2)*BR163+(1-EXP(-LN(2)/2))/(LN(2)/2)*BL164*BO164*VLOOKUP('Données projet'!$B$11,Paramètres!$A$1:$I$89,3,0)*0.475*44/12</f>
        <v>1.8900106166859051E-19</v>
      </c>
      <c r="BS164" s="24">
        <f t="shared" si="169"/>
        <v>0.54557518052618137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-1.7053025658242404E-13</v>
      </c>
      <c r="BZ164" s="14">
        <f>BY164*VLOOKUP('Données projet'!$B$12,Paramètres!$A$1:$I$89,3,0)*VLOOKUP('Données projet'!$B$12,Paramètres!$A$1:$I$89,5,0)</f>
        <v>-1.250327841262333E-13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216.97968518094325</v>
      </c>
      <c r="CE164" s="60">
        <f t="shared" si="148"/>
        <v>248.38190023108666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-3.813056537183002E-14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199.36703853638392</v>
      </c>
      <c r="CZ164" s="60">
        <f t="shared" si="150"/>
        <v>145.15653612907363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8">
        <f t="shared" si="110"/>
        <v>466.71681901544298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314.4389771131751</v>
      </c>
      <c r="T165" s="60">
        <f t="shared" si="142"/>
        <v>176.7239677722049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361.06925636707814</v>
      </c>
      <c r="AO165" s="60">
        <f t="shared" si="144"/>
        <v>201.44775212076888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6.3550942286383367E-14</v>
      </c>
      <c r="BF165" s="14">
        <f t="shared" si="167"/>
        <v>1.0064464192543978E-12</v>
      </c>
      <c r="BG165" s="22">
        <f t="shared" si="168"/>
        <v>1.8635787380168604E-12</v>
      </c>
      <c r="BH165" s="60">
        <f t="shared" si="116"/>
        <v>293.33333333333519</v>
      </c>
      <c r="BI165" s="60">
        <f ca="1">AVERAGE(OFFSET($BH$3,0,0,'Données projet'!$E$11+1,1))-AVERAGE(OFFSET($H$3,0,0,'Données projet'!$E$11+1,1))</f>
        <v>253.63061102077421</v>
      </c>
      <c r="BJ165" s="60">
        <f t="shared" si="146"/>
        <v>230.98056275369652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0.53065639852414115</v>
      </c>
      <c r="BR165" s="23">
        <f>EXP(-LN(2)/2)*BR164+(1-EXP(-LN(2)/2))/(LN(2)/2)*BL165*BO165*VLOOKUP('Données projet'!$B$11,Paramètres!$A$1:$I$89,3,0)*0.475*44/12</f>
        <v>1.3364393235731721E-19</v>
      </c>
      <c r="BS165" s="24">
        <f t="shared" si="169"/>
        <v>0.53065639852414115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-1.7053025658242404E-13</v>
      </c>
      <c r="BZ165" s="14">
        <f>BY165*VLOOKUP('Données projet'!$B$12,Paramètres!$A$1:$I$89,3,0)*VLOOKUP('Données projet'!$B$12,Paramètres!$A$1:$I$89,5,0)</f>
        <v>-1.250327841262333E-13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216.97968518094325</v>
      </c>
      <c r="CE165" s="60">
        <f t="shared" si="148"/>
        <v>248.38190023108666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-3.813056537183002E-14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199.36703853638392</v>
      </c>
      <c r="CZ165" s="60">
        <f t="shared" si="150"/>
        <v>145.15653612907363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8">
        <f t="shared" si="110"/>
        <v>467.75994768567836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314.4389771131751</v>
      </c>
      <c r="T166" s="60">
        <f t="shared" si="142"/>
        <v>176.7239677722049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361.06925636707814</v>
      </c>
      <c r="AO166" s="60">
        <f t="shared" si="144"/>
        <v>201.44775212076888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6.3550942286383367E-14</v>
      </c>
      <c r="BF166" s="14">
        <f t="shared" si="167"/>
        <v>1.0064464192543978E-12</v>
      </c>
      <c r="BG166" s="22">
        <f t="shared" si="168"/>
        <v>1.8635787380168604E-12</v>
      </c>
      <c r="BH166" s="60">
        <f t="shared" si="116"/>
        <v>293.33333333333519</v>
      </c>
      <c r="BI166" s="60">
        <f ca="1">AVERAGE(OFFSET($BH$3,0,0,'Données projet'!$E$11+1,1))-AVERAGE(OFFSET($H$3,0,0,'Données projet'!$E$11+1,1))</f>
        <v>253.63061102077421</v>
      </c>
      <c r="BJ166" s="60">
        <f t="shared" si="146"/>
        <v>230.98056275369652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0.51614557140049133</v>
      </c>
      <c r="BR166" s="23">
        <f>EXP(-LN(2)/2)*BR165+(1-EXP(-LN(2)/2))/(LN(2)/2)*BL166*BO166*VLOOKUP('Données projet'!$B$11,Paramètres!$A$1:$I$89,3,0)*0.475*44/12</f>
        <v>9.4500530834295257E-20</v>
      </c>
      <c r="BS166" s="24">
        <f t="shared" si="169"/>
        <v>0.51614557140049133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-1.7053025658242404E-13</v>
      </c>
      <c r="BZ166" s="14">
        <f>BY166*VLOOKUP('Données projet'!$B$12,Paramètres!$A$1:$I$89,3,0)*VLOOKUP('Données projet'!$B$12,Paramètres!$A$1:$I$89,5,0)</f>
        <v>-1.250327841262333E-13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216.97968518094325</v>
      </c>
      <c r="CE166" s="60">
        <f t="shared" si="148"/>
        <v>248.38190023108666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-3.813056537183002E-14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199.36703853638392</v>
      </c>
      <c r="CZ166" s="60">
        <f t="shared" si="150"/>
        <v>145.15653612907363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8">
        <f t="shared" si="110"/>
        <v>468.80292973829592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314.4389771131751</v>
      </c>
      <c r="T167" s="60">
        <f t="shared" si="142"/>
        <v>176.7239677722049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361.06925636707814</v>
      </c>
      <c r="AO167" s="60">
        <f t="shared" si="144"/>
        <v>201.44775212076888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6.3550942286383367E-14</v>
      </c>
      <c r="BF167" s="14">
        <f t="shared" si="167"/>
        <v>1.0064464192543978E-12</v>
      </c>
      <c r="BG167" s="22">
        <f t="shared" si="168"/>
        <v>1.8635787380168604E-12</v>
      </c>
      <c r="BH167" s="60">
        <f t="shared" si="116"/>
        <v>293.33333333333519</v>
      </c>
      <c r="BI167" s="60">
        <f ca="1">AVERAGE(OFFSET($BH$3,0,0,'Données projet'!$E$11+1,1))-AVERAGE(OFFSET($H$3,0,0,'Données projet'!$E$11+1,1))</f>
        <v>253.63061102077421</v>
      </c>
      <c r="BJ167" s="60">
        <f t="shared" si="146"/>
        <v>230.98056275369652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0.50203154360762892</v>
      </c>
      <c r="BR167" s="23">
        <f>EXP(-LN(2)/2)*BR166+(1-EXP(-LN(2)/2))/(LN(2)/2)*BL167*BO167*VLOOKUP('Données projet'!$B$11,Paramètres!$A$1:$I$89,3,0)*0.475*44/12</f>
        <v>6.6821966178658603E-20</v>
      </c>
      <c r="BS167" s="24">
        <f t="shared" si="169"/>
        <v>0.50203154360762892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-1.7053025658242404E-13</v>
      </c>
      <c r="BZ167" s="14">
        <f>BY167*VLOOKUP('Données projet'!$B$12,Paramètres!$A$1:$I$89,3,0)*VLOOKUP('Données projet'!$B$12,Paramètres!$A$1:$I$89,5,0)</f>
        <v>-1.250327841262333E-13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216.97968518094325</v>
      </c>
      <c r="CE167" s="60">
        <f t="shared" si="148"/>
        <v>248.38190023108666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-3.813056537183002E-14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199.36703853638392</v>
      </c>
      <c r="CZ167" s="60">
        <f t="shared" si="150"/>
        <v>145.15653612907363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8">
        <f t="shared" si="110"/>
        <v>469.8457661710267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314.4389771131751</v>
      </c>
      <c r="T168" s="60">
        <f t="shared" si="142"/>
        <v>176.7239677722049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361.06925636707814</v>
      </c>
      <c r="AO168" s="60">
        <f t="shared" si="144"/>
        <v>201.44775212076888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6.3550942286383367E-14</v>
      </c>
      <c r="BF168" s="14">
        <f t="shared" si="167"/>
        <v>1.0064464192543978E-12</v>
      </c>
      <c r="BG168" s="22">
        <f t="shared" si="168"/>
        <v>1.8635787380168604E-12</v>
      </c>
      <c r="BH168" s="60">
        <f t="shared" si="116"/>
        <v>293.33333333333519</v>
      </c>
      <c r="BI168" s="60">
        <f ca="1">AVERAGE(OFFSET($BH$3,0,0,'Données projet'!$E$11+1,1))-AVERAGE(OFFSET($H$3,0,0,'Données projet'!$E$11+1,1))</f>
        <v>253.63061102077421</v>
      </c>
      <c r="BJ168" s="60">
        <f t="shared" si="146"/>
        <v>230.98056275369652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0.48830346464698682</v>
      </c>
      <c r="BR168" s="23">
        <f>EXP(-LN(2)/2)*BR167+(1-EXP(-LN(2)/2))/(LN(2)/2)*BL168*BO168*VLOOKUP('Données projet'!$B$11,Paramètres!$A$1:$I$89,3,0)*0.475*44/12</f>
        <v>4.7250265417147628E-20</v>
      </c>
      <c r="BS168" s="24">
        <f t="shared" si="169"/>
        <v>0.48830346464698682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-1.7053025658242404E-13</v>
      </c>
      <c r="BZ168" s="14">
        <f>BY168*VLOOKUP('Données projet'!$B$12,Paramètres!$A$1:$I$89,3,0)*VLOOKUP('Données projet'!$B$12,Paramètres!$A$1:$I$89,5,0)</f>
        <v>-1.250327841262333E-13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216.97968518094325</v>
      </c>
      <c r="CE168" s="60">
        <f t="shared" si="148"/>
        <v>248.38190023108666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-3.813056537183002E-14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199.36703853638392</v>
      </c>
      <c r="CZ168" s="60">
        <f t="shared" si="150"/>
        <v>145.15653612907363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8">
        <f t="shared" si="110"/>
        <v>470.88845796880821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314.4389771131751</v>
      </c>
      <c r="T169" s="60">
        <f t="shared" si="142"/>
        <v>176.7239677722049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361.06925636707814</v>
      </c>
      <c r="AO169" s="60">
        <f t="shared" si="144"/>
        <v>201.44775212076888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6.3550942286383367E-14</v>
      </c>
      <c r="BF169" s="14">
        <f t="shared" si="167"/>
        <v>1.0064464192543978E-12</v>
      </c>
      <c r="BG169" s="22">
        <f t="shared" si="168"/>
        <v>1.8635787380168604E-12</v>
      </c>
      <c r="BH169" s="60">
        <f t="shared" si="116"/>
        <v>293.33333333333519</v>
      </c>
      <c r="BI169" s="60">
        <f ca="1">AVERAGE(OFFSET($BH$3,0,0,'Données projet'!$E$11+1,1))-AVERAGE(OFFSET($H$3,0,0,'Données projet'!$E$11+1,1))</f>
        <v>253.63061102077421</v>
      </c>
      <c r="BJ169" s="60">
        <f t="shared" si="146"/>
        <v>230.98056275369652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0.47495078072745178</v>
      </c>
      <c r="BR169" s="23">
        <f>EXP(-LN(2)/2)*BR168+(1-EXP(-LN(2)/2))/(LN(2)/2)*BL169*BO169*VLOOKUP('Données projet'!$B$11,Paramètres!$A$1:$I$89,3,0)*0.475*44/12</f>
        <v>3.3410983089329301E-20</v>
      </c>
      <c r="BS169" s="24">
        <f t="shared" si="169"/>
        <v>0.47495078072745178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-1.7053025658242404E-13</v>
      </c>
      <c r="BZ169" s="14">
        <f>BY169*VLOOKUP('Données projet'!$B$12,Paramètres!$A$1:$I$89,3,0)*VLOOKUP('Données projet'!$B$12,Paramètres!$A$1:$I$89,5,0)</f>
        <v>-1.250327841262333E-13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216.97968518094325</v>
      </c>
      <c r="CE169" s="60">
        <f t="shared" si="148"/>
        <v>248.38190023108666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-3.813056537183002E-14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199.36703853638392</v>
      </c>
      <c r="CZ169" s="60">
        <f t="shared" si="150"/>
        <v>145.15653612907363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8">
        <f t="shared" si="110"/>
        <v>471.93100610402485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314.4389771131751</v>
      </c>
      <c r="T170" s="60">
        <f t="shared" si="142"/>
        <v>176.7239677722049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361.06925636707814</v>
      </c>
      <c r="AO170" s="60">
        <f t="shared" si="144"/>
        <v>201.44775212076888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6.3550942286383367E-14</v>
      </c>
      <c r="BF170" s="14">
        <f t="shared" si="167"/>
        <v>1.0064464192543978E-12</v>
      </c>
      <c r="BG170" s="22">
        <f t="shared" si="168"/>
        <v>1.8635787380168604E-12</v>
      </c>
      <c r="BH170" s="60">
        <f t="shared" si="116"/>
        <v>293.33333333333519</v>
      </c>
      <c r="BI170" s="60">
        <f ca="1">AVERAGE(OFFSET($BH$3,0,0,'Données projet'!$E$11+1,1))-AVERAGE(OFFSET($H$3,0,0,'Données projet'!$E$11+1,1))</f>
        <v>253.63061102077421</v>
      </c>
      <c r="BJ170" s="60">
        <f t="shared" si="146"/>
        <v>230.98056275369652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0.46196322665188355</v>
      </c>
      <c r="BR170" s="23">
        <f>EXP(-LN(2)/2)*BR169+(1-EXP(-LN(2)/2))/(LN(2)/2)*BL170*BO170*VLOOKUP('Données projet'!$B$11,Paramètres!$A$1:$I$89,3,0)*0.475*44/12</f>
        <v>2.3625132708573814E-20</v>
      </c>
      <c r="BS170" s="24">
        <f t="shared" si="169"/>
        <v>0.46196322665188355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-1.7053025658242404E-13</v>
      </c>
      <c r="BZ170" s="14">
        <f>BY170*VLOOKUP('Données projet'!$B$12,Paramètres!$A$1:$I$89,3,0)*VLOOKUP('Données projet'!$B$12,Paramètres!$A$1:$I$89,5,0)</f>
        <v>-1.250327841262333E-13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216.97968518094325</v>
      </c>
      <c r="CE170" s="60">
        <f t="shared" si="148"/>
        <v>248.38190023108666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-3.813056537183002E-14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199.36703853638392</v>
      </c>
      <c r="CZ170" s="60">
        <f t="shared" si="150"/>
        <v>145.15653612907363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8">
        <f t="shared" si="110"/>
        <v>472.97341153674216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314.4389771131751</v>
      </c>
      <c r="T171" s="60">
        <f t="shared" si="142"/>
        <v>176.7239677722049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361.06925636707814</v>
      </c>
      <c r="AO171" s="60">
        <f t="shared" si="144"/>
        <v>201.44775212076888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6.3550942286383367E-14</v>
      </c>
      <c r="BF171" s="14">
        <f t="shared" si="167"/>
        <v>1.0064464192543978E-12</v>
      </c>
      <c r="BG171" s="22">
        <f t="shared" si="168"/>
        <v>1.8635787380168604E-12</v>
      </c>
      <c r="BH171" s="60">
        <f t="shared" si="116"/>
        <v>293.33333333333519</v>
      </c>
      <c r="BI171" s="60">
        <f ca="1">AVERAGE(OFFSET($BH$3,0,0,'Données projet'!$E$11+1,1))-AVERAGE(OFFSET($H$3,0,0,'Données projet'!$E$11+1,1))</f>
        <v>253.63061102077421</v>
      </c>
      <c r="BJ171" s="60">
        <f t="shared" si="146"/>
        <v>230.98056275369652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0.44933081792549756</v>
      </c>
      <c r="BR171" s="23">
        <f>EXP(-LN(2)/2)*BR170+(1-EXP(-LN(2)/2))/(LN(2)/2)*BL171*BO171*VLOOKUP('Données projet'!$B$11,Paramètres!$A$1:$I$89,3,0)*0.475*44/12</f>
        <v>1.6705491544664651E-20</v>
      </c>
      <c r="BS171" s="24">
        <f t="shared" si="169"/>
        <v>0.44933081792549756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-1.7053025658242404E-13</v>
      </c>
      <c r="BZ171" s="14">
        <f>BY171*VLOOKUP('Données projet'!$B$12,Paramètres!$A$1:$I$89,3,0)*VLOOKUP('Données projet'!$B$12,Paramètres!$A$1:$I$89,5,0)</f>
        <v>-1.250327841262333E-13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216.97968518094325</v>
      </c>
      <c r="CE171" s="60">
        <f t="shared" si="148"/>
        <v>248.38190023108666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-3.813056537183002E-14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199.36703853638392</v>
      </c>
      <c r="CZ171" s="60">
        <f t="shared" si="150"/>
        <v>145.15653612907363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8">
        <f t="shared" si="110"/>
        <v>474.0156752149349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314.4389771131751</v>
      </c>
      <c r="T172" s="60">
        <f t="shared" si="142"/>
        <v>176.7239677722049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361.06925636707814</v>
      </c>
      <c r="AO172" s="60">
        <f t="shared" si="144"/>
        <v>201.44775212076888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6.3550942286383367E-14</v>
      </c>
      <c r="BF172" s="14">
        <f t="shared" si="167"/>
        <v>1.0064464192543978E-12</v>
      </c>
      <c r="BG172" s="22">
        <f t="shared" si="168"/>
        <v>1.8635787380168604E-12</v>
      </c>
      <c r="BH172" s="60">
        <f t="shared" si="116"/>
        <v>293.33333333333519</v>
      </c>
      <c r="BI172" s="60">
        <f ca="1">AVERAGE(OFFSET($BH$3,0,0,'Données projet'!$E$11+1,1))-AVERAGE(OFFSET($H$3,0,0,'Données projet'!$E$11+1,1))</f>
        <v>253.63061102077421</v>
      </c>
      <c r="BJ172" s="60">
        <f t="shared" si="146"/>
        <v>230.98056275369652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0.43704384308004407</v>
      </c>
      <c r="BR172" s="23">
        <f>EXP(-LN(2)/2)*BR171+(1-EXP(-LN(2)/2))/(LN(2)/2)*BL172*BO172*VLOOKUP('Données projet'!$B$11,Paramètres!$A$1:$I$89,3,0)*0.475*44/12</f>
        <v>1.1812566354286907E-20</v>
      </c>
      <c r="BS172" s="24">
        <f t="shared" si="169"/>
        <v>0.43704384308004407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-1.7053025658242404E-13</v>
      </c>
      <c r="BZ172" s="14">
        <f>BY172*VLOOKUP('Données projet'!$B$12,Paramètres!$A$1:$I$89,3,0)*VLOOKUP('Données projet'!$B$12,Paramètres!$A$1:$I$89,5,0)</f>
        <v>-1.250327841262333E-13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216.97968518094325</v>
      </c>
      <c r="CE172" s="60">
        <f t="shared" si="148"/>
        <v>248.38190023108666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-3.813056537183002E-14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199.36703853638392</v>
      </c>
      <c r="CZ172" s="60">
        <f t="shared" si="150"/>
        <v>145.15653612907363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8">
        <f t="shared" si="110"/>
        <v>475.05779807471038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314.4389771131751</v>
      </c>
      <c r="T173" s="60">
        <f t="shared" si="142"/>
        <v>176.7239677722049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361.06925636707814</v>
      </c>
      <c r="AO173" s="60">
        <f t="shared" si="144"/>
        <v>201.44775212076888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6.3550942286383367E-14</v>
      </c>
      <c r="BF173" s="14">
        <f t="shared" si="167"/>
        <v>1.0064464192543978E-12</v>
      </c>
      <c r="BG173" s="22">
        <f t="shared" si="168"/>
        <v>1.8635787380168604E-12</v>
      </c>
      <c r="BH173" s="60">
        <f t="shared" si="116"/>
        <v>293.33333333333519</v>
      </c>
      <c r="BI173" s="60">
        <f ca="1">AVERAGE(OFFSET($BH$3,0,0,'Données projet'!$E$11+1,1))-AVERAGE(OFFSET($H$3,0,0,'Données projet'!$E$11+1,1))</f>
        <v>253.63061102077421</v>
      </c>
      <c r="BJ173" s="60">
        <f t="shared" si="146"/>
        <v>230.98056275369652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0.42509285620788345</v>
      </c>
      <c r="BR173" s="23">
        <f>EXP(-LN(2)/2)*BR172+(1-EXP(-LN(2)/2))/(LN(2)/2)*BL173*BO173*VLOOKUP('Données projet'!$B$11,Paramètres!$A$1:$I$89,3,0)*0.475*44/12</f>
        <v>8.3527457723323253E-21</v>
      </c>
      <c r="BS173" s="24">
        <f t="shared" si="169"/>
        <v>0.42509285620788345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-1.7053025658242404E-13</v>
      </c>
      <c r="BZ173" s="14">
        <f>BY173*VLOOKUP('Données projet'!$B$12,Paramètres!$A$1:$I$89,3,0)*VLOOKUP('Données projet'!$B$12,Paramètres!$A$1:$I$89,5,0)</f>
        <v>-1.250327841262333E-13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216.97968518094325</v>
      </c>
      <c r="CE173" s="60">
        <f t="shared" si="148"/>
        <v>248.38190023108666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-3.813056537183002E-14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199.36703853638392</v>
      </c>
      <c r="CZ173" s="60">
        <f t="shared" si="150"/>
        <v>145.15653612907363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8">
        <f t="shared" si="110"/>
        <v>476.0997810405255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314.4389771131751</v>
      </c>
      <c r="T174" s="60">
        <f t="shared" si="142"/>
        <v>176.7239677722049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361.06925636707814</v>
      </c>
      <c r="AO174" s="60">
        <f t="shared" si="144"/>
        <v>201.44775212076888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6.3550942286383367E-14</v>
      </c>
      <c r="BF174" s="14">
        <f t="shared" si="167"/>
        <v>1.0064464192543978E-12</v>
      </c>
      <c r="BG174" s="22">
        <f t="shared" si="168"/>
        <v>1.8635787380168604E-12</v>
      </c>
      <c r="BH174" s="60">
        <f t="shared" si="116"/>
        <v>293.33333333333519</v>
      </c>
      <c r="BI174" s="60">
        <f ca="1">AVERAGE(OFFSET($BH$3,0,0,'Données projet'!$E$11+1,1))-AVERAGE(OFFSET($H$3,0,0,'Données projet'!$E$11+1,1))</f>
        <v>253.63061102077421</v>
      </c>
      <c r="BJ174" s="60">
        <f t="shared" si="146"/>
        <v>230.98056275369652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0.41346866970021712</v>
      </c>
      <c r="BR174" s="23">
        <f>EXP(-LN(2)/2)*BR173+(1-EXP(-LN(2)/2))/(LN(2)/2)*BL174*BO174*VLOOKUP('Données projet'!$B$11,Paramètres!$A$1:$I$89,3,0)*0.475*44/12</f>
        <v>5.9062831771434535E-21</v>
      </c>
      <c r="BS174" s="24">
        <f t="shared" si="169"/>
        <v>0.41346866970021712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-1.7053025658242404E-13</v>
      </c>
      <c r="BZ174" s="14">
        <f>BY174*VLOOKUP('Données projet'!$B$12,Paramètres!$A$1:$I$89,3,0)*VLOOKUP('Données projet'!$B$12,Paramètres!$A$1:$I$89,5,0)</f>
        <v>-1.250327841262333E-13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216.97968518094325</v>
      </c>
      <c r="CE174" s="60">
        <f t="shared" si="148"/>
        <v>248.38190023108666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-3.813056537183002E-14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199.36703853638392</v>
      </c>
      <c r="CZ174" s="60">
        <f t="shared" si="150"/>
        <v>145.15653612907363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8">
        <f t="shared" si="110"/>
        <v>477.14162502539943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314.4389771131751</v>
      </c>
      <c r="T175" s="60">
        <f t="shared" si="142"/>
        <v>176.7239677722049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361.06925636707814</v>
      </c>
      <c r="AO175" s="60">
        <f t="shared" si="144"/>
        <v>201.44775212076888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6.3550942286383367E-14</v>
      </c>
      <c r="BF175" s="14">
        <f t="shared" si="167"/>
        <v>1.0064464192543978E-12</v>
      </c>
      <c r="BG175" s="22">
        <f t="shared" si="168"/>
        <v>1.8635787380168604E-12</v>
      </c>
      <c r="BH175" s="60">
        <f t="shared" si="116"/>
        <v>293.33333333333519</v>
      </c>
      <c r="BI175" s="60">
        <f ca="1">AVERAGE(OFFSET($BH$3,0,0,'Données projet'!$E$11+1,1))-AVERAGE(OFFSET($H$3,0,0,'Données projet'!$E$11+1,1))</f>
        <v>253.63061102077421</v>
      </c>
      <c r="BJ175" s="60">
        <f t="shared" si="146"/>
        <v>230.98056275369652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0.40216234718389232</v>
      </c>
      <c r="BR175" s="23">
        <f>EXP(-LN(2)/2)*BR174+(1-EXP(-LN(2)/2))/(LN(2)/2)*BL175*BO175*VLOOKUP('Données projet'!$B$11,Paramètres!$A$1:$I$89,3,0)*0.475*44/12</f>
        <v>4.1763728861661627E-21</v>
      </c>
      <c r="BS175" s="24">
        <f t="shared" si="169"/>
        <v>0.40216234718389232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-1.7053025658242404E-13</v>
      </c>
      <c r="BZ175" s="14">
        <f>BY175*VLOOKUP('Données projet'!$B$12,Paramètres!$A$1:$I$89,3,0)*VLOOKUP('Données projet'!$B$12,Paramètres!$A$1:$I$89,5,0)</f>
        <v>-1.250327841262333E-13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216.97968518094325</v>
      </c>
      <c r="CE175" s="60">
        <f t="shared" si="148"/>
        <v>248.38190023108666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-3.813056537183002E-14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199.36703853638392</v>
      </c>
      <c r="CZ175" s="60">
        <f t="shared" si="150"/>
        <v>145.15653612907363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8">
        <f t="shared" si="110"/>
        <v>478.18333093112028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314.4389771131751</v>
      </c>
      <c r="T176" s="60">
        <f t="shared" si="142"/>
        <v>176.7239677722049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361.06925636707814</v>
      </c>
      <c r="AO176" s="60">
        <f t="shared" si="144"/>
        <v>201.44775212076888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6.3550942286383367E-14</v>
      </c>
      <c r="BF176" s="14">
        <f t="shared" si="167"/>
        <v>1.0064464192543978E-12</v>
      </c>
      <c r="BG176" s="22">
        <f t="shared" si="168"/>
        <v>1.8635787380168604E-12</v>
      </c>
      <c r="BH176" s="60">
        <f t="shared" si="116"/>
        <v>293.33333333333519</v>
      </c>
      <c r="BI176" s="60">
        <f ca="1">AVERAGE(OFFSET($BH$3,0,0,'Données projet'!$E$11+1,1))-AVERAGE(OFFSET($H$3,0,0,'Données projet'!$E$11+1,1))</f>
        <v>253.63061102077421</v>
      </c>
      <c r="BJ176" s="60">
        <f t="shared" si="146"/>
        <v>230.98056275369652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0.39116519665135008</v>
      </c>
      <c r="BR176" s="23">
        <f>EXP(-LN(2)/2)*BR175+(1-EXP(-LN(2)/2))/(LN(2)/2)*BL176*BO176*VLOOKUP('Données projet'!$B$11,Paramètres!$A$1:$I$89,3,0)*0.475*44/12</f>
        <v>2.9531415885717268E-21</v>
      </c>
      <c r="BS176" s="24">
        <f t="shared" si="169"/>
        <v>0.39116519665135008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-1.7053025658242404E-13</v>
      </c>
      <c r="BZ176" s="14">
        <f>BY176*VLOOKUP('Données projet'!$B$12,Paramètres!$A$1:$I$89,3,0)*VLOOKUP('Données projet'!$B$12,Paramètres!$A$1:$I$89,5,0)</f>
        <v>-1.250327841262333E-13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216.97968518094325</v>
      </c>
      <c r="CE176" s="60">
        <f t="shared" si="148"/>
        <v>248.38190023108666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-3.813056537183002E-14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199.36703853638392</v>
      </c>
      <c r="CZ176" s="60">
        <f t="shared" si="150"/>
        <v>145.15653612907363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8">
        <f t="shared" si="110"/>
        <v>479.224899648448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314.4389771131751</v>
      </c>
      <c r="T177" s="60">
        <f t="shared" si="142"/>
        <v>176.7239677722049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361.06925636707814</v>
      </c>
      <c r="AO177" s="60">
        <f t="shared" si="144"/>
        <v>201.44775212076888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6.3550942286383367E-14</v>
      </c>
      <c r="BF177" s="14">
        <f t="shared" si="167"/>
        <v>1.0064464192543978E-12</v>
      </c>
      <c r="BG177" s="22">
        <f t="shared" si="168"/>
        <v>1.8635787380168604E-12</v>
      </c>
      <c r="BH177" s="60">
        <f t="shared" si="116"/>
        <v>293.33333333333519</v>
      </c>
      <c r="BI177" s="60">
        <f ca="1">AVERAGE(OFFSET($BH$3,0,0,'Données projet'!$E$11+1,1))-AVERAGE(OFFSET($H$3,0,0,'Données projet'!$E$11+1,1))</f>
        <v>253.63061102077421</v>
      </c>
      <c r="BJ177" s="60">
        <f t="shared" si="146"/>
        <v>230.98056275369652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0.38046876377843525</v>
      </c>
      <c r="BR177" s="23">
        <f>EXP(-LN(2)/2)*BR176+(1-EXP(-LN(2)/2))/(LN(2)/2)*BL177*BO177*VLOOKUP('Données projet'!$B$11,Paramètres!$A$1:$I$89,3,0)*0.475*44/12</f>
        <v>2.0881864430830813E-21</v>
      </c>
      <c r="BS177" s="24">
        <f t="shared" si="169"/>
        <v>0.38046876377843525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-1.7053025658242404E-13</v>
      </c>
      <c r="BZ177" s="14">
        <f>BY177*VLOOKUP('Données projet'!$B$12,Paramètres!$A$1:$I$89,3,0)*VLOOKUP('Données projet'!$B$12,Paramètres!$A$1:$I$89,5,0)</f>
        <v>-1.250327841262333E-13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216.97968518094325</v>
      </c>
      <c r="CE177" s="60">
        <f t="shared" si="148"/>
        <v>248.38190023108666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-3.813056537183002E-14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199.36703853638392</v>
      </c>
      <c r="CZ177" s="60">
        <f t="shared" si="150"/>
        <v>145.15653612907363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8">
        <f t="shared" si="110"/>
        <v>480.26633205731122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314.4389771131751</v>
      </c>
      <c r="T178" s="60">
        <f t="shared" si="142"/>
        <v>176.7239677722049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361.06925636707814</v>
      </c>
      <c r="AO178" s="60">
        <f t="shared" si="144"/>
        <v>201.44775212076888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6.3550942286383367E-14</v>
      </c>
      <c r="BF178" s="14">
        <f t="shared" si="167"/>
        <v>1.0064464192543978E-12</v>
      </c>
      <c r="BG178" s="22">
        <f t="shared" si="168"/>
        <v>1.8635787380168604E-12</v>
      </c>
      <c r="BH178" s="60">
        <f t="shared" si="116"/>
        <v>293.33333333333519</v>
      </c>
      <c r="BI178" s="60">
        <f ca="1">AVERAGE(OFFSET($BH$3,0,0,'Données projet'!$E$11+1,1))-AVERAGE(OFFSET($H$3,0,0,'Données projet'!$E$11+1,1))</f>
        <v>253.63061102077421</v>
      </c>
      <c r="BJ178" s="60">
        <f t="shared" si="146"/>
        <v>230.98056275369652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0.37006482542493124</v>
      </c>
      <c r="BR178" s="23">
        <f>EXP(-LN(2)/2)*BR177+(1-EXP(-LN(2)/2))/(LN(2)/2)*BL178*BO178*VLOOKUP('Données projet'!$B$11,Paramètres!$A$1:$I$89,3,0)*0.475*44/12</f>
        <v>1.4765707942858634E-21</v>
      </c>
      <c r="BS178" s="24">
        <f t="shared" si="169"/>
        <v>0.37006482542493124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-1.7053025658242404E-13</v>
      </c>
      <c r="BZ178" s="14">
        <f>BY178*VLOOKUP('Données projet'!$B$12,Paramètres!$A$1:$I$89,3,0)*VLOOKUP('Données projet'!$B$12,Paramètres!$A$1:$I$89,5,0)</f>
        <v>-1.250327841262333E-13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216.97968518094325</v>
      </c>
      <c r="CE178" s="60">
        <f t="shared" si="148"/>
        <v>248.38190023108666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-3.813056537183002E-14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199.36703853638392</v>
      </c>
      <c r="CZ178" s="60">
        <f t="shared" si="150"/>
        <v>145.15653612907363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8">
        <f t="shared" si="110"/>
        <v>481.3076290270003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314.4389771131751</v>
      </c>
      <c r="T179" s="60">
        <f t="shared" si="142"/>
        <v>176.7239677722049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361.06925636707814</v>
      </c>
      <c r="AO179" s="60">
        <f t="shared" si="144"/>
        <v>201.44775212076888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6.3550942286383367E-14</v>
      </c>
      <c r="BF179" s="14">
        <f t="shared" si="167"/>
        <v>1.0064464192543978E-12</v>
      </c>
      <c r="BG179" s="22">
        <f t="shared" si="168"/>
        <v>1.8635787380168604E-12</v>
      </c>
      <c r="BH179" s="60">
        <f t="shared" si="116"/>
        <v>293.33333333333519</v>
      </c>
      <c r="BI179" s="60">
        <f ca="1">AVERAGE(OFFSET($BH$3,0,0,'Données projet'!$E$11+1,1))-AVERAGE(OFFSET($H$3,0,0,'Données projet'!$E$11+1,1))</f>
        <v>253.63061102077421</v>
      </c>
      <c r="BJ179" s="60">
        <f t="shared" si="146"/>
        <v>230.98056275369652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0.35994538331282311</v>
      </c>
      <c r="BR179" s="23">
        <f>EXP(-LN(2)/2)*BR178+(1-EXP(-LN(2)/2))/(LN(2)/2)*BL179*BO179*VLOOKUP('Données projet'!$B$11,Paramètres!$A$1:$I$89,3,0)*0.475*44/12</f>
        <v>1.0440932215415407E-21</v>
      </c>
      <c r="BS179" s="24">
        <f t="shared" si="169"/>
        <v>0.35994538331282311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-1.7053025658242404E-13</v>
      </c>
      <c r="BZ179" s="14">
        <f>BY179*VLOOKUP('Données projet'!$B$12,Paramètres!$A$1:$I$89,3,0)*VLOOKUP('Données projet'!$B$12,Paramètres!$A$1:$I$89,5,0)</f>
        <v>-1.250327841262333E-13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216.97968518094325</v>
      </c>
      <c r="CE179" s="60">
        <f t="shared" si="148"/>
        <v>248.38190023108666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-3.813056537183002E-14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199.36703853638392</v>
      </c>
      <c r="CZ179" s="60">
        <f t="shared" si="150"/>
        <v>145.15653612907363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8">
        <f t="shared" si="110"/>
        <v>482.34879141635599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314.4389771131751</v>
      </c>
      <c r="T180" s="60">
        <f t="shared" si="142"/>
        <v>176.7239677722049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361.06925636707814</v>
      </c>
      <c r="AO180" s="60">
        <f t="shared" si="144"/>
        <v>201.44775212076888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6.3550942286383367E-14</v>
      </c>
      <c r="BF180" s="14">
        <f t="shared" si="167"/>
        <v>1.0064464192543978E-12</v>
      </c>
      <c r="BG180" s="22">
        <f t="shared" si="168"/>
        <v>1.8635787380168604E-12</v>
      </c>
      <c r="BH180" s="60">
        <f t="shared" si="116"/>
        <v>293.33333333333519</v>
      </c>
      <c r="BI180" s="60">
        <f ca="1">AVERAGE(OFFSET($BH$3,0,0,'Données projet'!$E$11+1,1))-AVERAGE(OFFSET($H$3,0,0,'Données projet'!$E$11+1,1))</f>
        <v>253.63061102077421</v>
      </c>
      <c r="BJ180" s="60">
        <f t="shared" si="146"/>
        <v>230.98056275369652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0.35010265787742889</v>
      </c>
      <c r="BR180" s="23">
        <f>EXP(-LN(2)/2)*BR179+(1-EXP(-LN(2)/2))/(LN(2)/2)*BL180*BO180*VLOOKUP('Données projet'!$B$11,Paramètres!$A$1:$I$89,3,0)*0.475*44/12</f>
        <v>7.3828539714293169E-22</v>
      </c>
      <c r="BS180" s="24">
        <f t="shared" si="169"/>
        <v>0.35010265787742889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-1.7053025658242404E-13</v>
      </c>
      <c r="BZ180" s="14">
        <f>BY180*VLOOKUP('Données projet'!$B$12,Paramètres!$A$1:$I$89,3,0)*VLOOKUP('Données projet'!$B$12,Paramètres!$A$1:$I$89,5,0)</f>
        <v>-1.250327841262333E-13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216.97968518094325</v>
      </c>
      <c r="CE180" s="60">
        <f t="shared" si="148"/>
        <v>248.38190023108666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-3.813056537183002E-14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199.36703853638392</v>
      </c>
      <c r="CZ180" s="60">
        <f t="shared" si="150"/>
        <v>145.15653612907363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8">
        <f t="shared" si="110"/>
        <v>483.38982007395271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314.4389771131751</v>
      </c>
      <c r="T181" s="60">
        <f t="shared" si="142"/>
        <v>176.7239677722049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361.06925636707814</v>
      </c>
      <c r="AO181" s="60">
        <f t="shared" si="144"/>
        <v>201.44775212076888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6.3550942286383367E-14</v>
      </c>
      <c r="BF181" s="14">
        <f t="shared" si="167"/>
        <v>1.0064464192543978E-12</v>
      </c>
      <c r="BG181" s="22">
        <f t="shared" si="168"/>
        <v>1.8635787380168604E-12</v>
      </c>
      <c r="BH181" s="60">
        <f t="shared" si="116"/>
        <v>293.33333333333519</v>
      </c>
      <c r="BI181" s="60">
        <f ca="1">AVERAGE(OFFSET($BH$3,0,0,'Données projet'!$E$11+1,1))-AVERAGE(OFFSET($H$3,0,0,'Données projet'!$E$11+1,1))</f>
        <v>253.63061102077421</v>
      </c>
      <c r="BJ181" s="60">
        <f t="shared" si="146"/>
        <v>230.98056275369652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0.340529082286672</v>
      </c>
      <c r="BR181" s="23">
        <f>EXP(-LN(2)/2)*BR180+(1-EXP(-LN(2)/2))/(LN(2)/2)*BL181*BO181*VLOOKUP('Données projet'!$B$11,Paramètres!$A$1:$I$89,3,0)*0.475*44/12</f>
        <v>5.2204661077077033E-22</v>
      </c>
      <c r="BS181" s="24">
        <f t="shared" si="169"/>
        <v>0.340529082286672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-1.7053025658242404E-13</v>
      </c>
      <c r="BZ181" s="14">
        <f>BY181*VLOOKUP('Données projet'!$B$12,Paramètres!$A$1:$I$89,3,0)*VLOOKUP('Données projet'!$B$12,Paramètres!$A$1:$I$89,5,0)</f>
        <v>-1.250327841262333E-13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216.97968518094325</v>
      </c>
      <c r="CE181" s="60">
        <f t="shared" si="148"/>
        <v>248.38190023108666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-3.813056537183002E-14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199.36703853638392</v>
      </c>
      <c r="CZ181" s="60">
        <f t="shared" si="150"/>
        <v>145.15653612907363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8">
        <f t="shared" si="110"/>
        <v>484.43071583827873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314.4389771131751</v>
      </c>
      <c r="T182" s="60">
        <f t="shared" si="142"/>
        <v>176.7239677722049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361.06925636707814</v>
      </c>
      <c r="AO182" s="60">
        <f t="shared" si="144"/>
        <v>201.44775212076888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6.3550942286383367E-14</v>
      </c>
      <c r="BF182" s="14">
        <f t="shared" si="167"/>
        <v>1.0064464192543978E-12</v>
      </c>
      <c r="BG182" s="22">
        <f t="shared" si="168"/>
        <v>1.8635787380168604E-12</v>
      </c>
      <c r="BH182" s="60">
        <f t="shared" si="116"/>
        <v>293.33333333333519</v>
      </c>
      <c r="BI182" s="60">
        <f ca="1">AVERAGE(OFFSET($BH$3,0,0,'Données projet'!$E$11+1,1))-AVERAGE(OFFSET($H$3,0,0,'Données projet'!$E$11+1,1))</f>
        <v>253.63061102077421</v>
      </c>
      <c r="BJ182" s="60">
        <f t="shared" si="146"/>
        <v>230.98056275369652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0.33121729662389682</v>
      </c>
      <c r="BR182" s="23">
        <f>EXP(-LN(2)/2)*BR181+(1-EXP(-LN(2)/2))/(LN(2)/2)*BL182*BO182*VLOOKUP('Données projet'!$B$11,Paramètres!$A$1:$I$89,3,0)*0.475*44/12</f>
        <v>3.6914269857146585E-22</v>
      </c>
      <c r="BS182" s="24">
        <f t="shared" si="169"/>
        <v>0.33121729662389682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-1.7053025658242404E-13</v>
      </c>
      <c r="BZ182" s="14">
        <f>BY182*VLOOKUP('Données projet'!$B$12,Paramètres!$A$1:$I$89,3,0)*VLOOKUP('Données projet'!$B$12,Paramètres!$A$1:$I$89,5,0)</f>
        <v>-1.250327841262333E-13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216.97968518094325</v>
      </c>
      <c r="CE182" s="60">
        <f t="shared" si="148"/>
        <v>248.38190023108666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-3.813056537183002E-14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199.36703853638392</v>
      </c>
      <c r="CZ182" s="60">
        <f t="shared" si="150"/>
        <v>145.15653612907363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8">
        <f t="shared" si="110"/>
        <v>485.47147953791148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314.4389771131751</v>
      </c>
      <c r="T183" s="60">
        <f t="shared" si="142"/>
        <v>176.7239677722049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361.06925636707814</v>
      </c>
      <c r="AO183" s="60">
        <f t="shared" si="144"/>
        <v>201.44775212076888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6.3550942286383367E-14</v>
      </c>
      <c r="BF183" s="14">
        <f t="shared" si="167"/>
        <v>1.0064464192543978E-12</v>
      </c>
      <c r="BG183" s="22">
        <f t="shared" si="168"/>
        <v>1.8635787380168604E-12</v>
      </c>
      <c r="BH183" s="60">
        <f t="shared" si="116"/>
        <v>293.33333333333519</v>
      </c>
      <c r="BI183" s="60">
        <f ca="1">AVERAGE(OFFSET($BH$3,0,0,'Données projet'!$E$11+1,1))-AVERAGE(OFFSET($H$3,0,0,'Données projet'!$E$11+1,1))</f>
        <v>253.63061102077421</v>
      </c>
      <c r="BJ183" s="60">
        <f t="shared" si="146"/>
        <v>230.98056275369652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0.32216014222975575</v>
      </c>
      <c r="BR183" s="23">
        <f>EXP(-LN(2)/2)*BR182+(1-EXP(-LN(2)/2))/(LN(2)/2)*BL183*BO183*VLOOKUP('Données projet'!$B$11,Paramètres!$A$1:$I$89,3,0)*0.475*44/12</f>
        <v>2.6102330538538517E-22</v>
      </c>
      <c r="BS183" s="24">
        <f t="shared" si="169"/>
        <v>0.32216014222975575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-1.7053025658242404E-13</v>
      </c>
      <c r="BZ183" s="14">
        <f>BY183*VLOOKUP('Données projet'!$B$12,Paramètres!$A$1:$I$89,3,0)*VLOOKUP('Données projet'!$B$12,Paramètres!$A$1:$I$89,5,0)</f>
        <v>-1.250327841262333E-13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216.97968518094325</v>
      </c>
      <c r="CE183" s="60">
        <f t="shared" si="148"/>
        <v>248.38190023108666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-3.813056537183002E-14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199.36703853638392</v>
      </c>
      <c r="CZ183" s="60">
        <f t="shared" si="150"/>
        <v>145.15653612907363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8">
        <f t="shared" si="110"/>
        <v>486.51211199168915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314.4389771131751</v>
      </c>
      <c r="T184" s="60">
        <f t="shared" si="142"/>
        <v>176.7239677722049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361.06925636707814</v>
      </c>
      <c r="AO184" s="60">
        <f t="shared" si="144"/>
        <v>201.44775212076888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6.3550942286383367E-14</v>
      </c>
      <c r="BF184" s="14">
        <f t="shared" si="167"/>
        <v>1.0064464192543978E-12</v>
      </c>
      <c r="BG184" s="22">
        <f t="shared" si="168"/>
        <v>1.8635787380168604E-12</v>
      </c>
      <c r="BH184" s="60">
        <f t="shared" si="116"/>
        <v>293.33333333333519</v>
      </c>
      <c r="BI184" s="60">
        <f ca="1">AVERAGE(OFFSET($BH$3,0,0,'Données projet'!$E$11+1,1))-AVERAGE(OFFSET($H$3,0,0,'Données projet'!$E$11+1,1))</f>
        <v>253.63061102077421</v>
      </c>
      <c r="BJ184" s="60">
        <f t="shared" si="146"/>
        <v>230.98056275369652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0.31335065619881752</v>
      </c>
      <c r="BR184" s="23">
        <f>EXP(-LN(2)/2)*BR183+(1-EXP(-LN(2)/2))/(LN(2)/2)*BL184*BO184*VLOOKUP('Données projet'!$B$11,Paramètres!$A$1:$I$89,3,0)*0.475*44/12</f>
        <v>1.8457134928573292E-22</v>
      </c>
      <c r="BS184" s="24">
        <f t="shared" si="169"/>
        <v>0.31335065619881752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-1.7053025658242404E-13</v>
      </c>
      <c r="BZ184" s="14">
        <f>BY184*VLOOKUP('Données projet'!$B$12,Paramètres!$A$1:$I$89,3,0)*VLOOKUP('Données projet'!$B$12,Paramètres!$A$1:$I$89,5,0)</f>
        <v>-1.250327841262333E-13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216.97968518094325</v>
      </c>
      <c r="CE184" s="60">
        <f t="shared" si="148"/>
        <v>248.38190023108666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-3.813056537183002E-14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199.36703853638392</v>
      </c>
      <c r="CZ184" s="60">
        <f t="shared" si="150"/>
        <v>145.15653612907363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8">
        <f t="shared" si="110"/>
        <v>487.55261400887855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314.4389771131751</v>
      </c>
      <c r="T185" s="60">
        <f t="shared" si="142"/>
        <v>176.7239677722049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361.06925636707814</v>
      </c>
      <c r="AO185" s="60">
        <f t="shared" si="144"/>
        <v>201.44775212076888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6.3550942286383367E-14</v>
      </c>
      <c r="BF185" s="14">
        <f t="shared" si="167"/>
        <v>1.0064464192543978E-12</v>
      </c>
      <c r="BG185" s="22">
        <f t="shared" si="168"/>
        <v>1.8635787380168604E-12</v>
      </c>
      <c r="BH185" s="60">
        <f t="shared" si="116"/>
        <v>293.33333333333519</v>
      </c>
      <c r="BI185" s="60">
        <f ca="1">AVERAGE(OFFSET($BH$3,0,0,'Données projet'!$E$11+1,1))-AVERAGE(OFFSET($H$3,0,0,'Données projet'!$E$11+1,1))</f>
        <v>253.63061102077421</v>
      </c>
      <c r="BJ185" s="60">
        <f t="shared" si="146"/>
        <v>230.98056275369652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0.30478206602666602</v>
      </c>
      <c r="BR185" s="23">
        <f>EXP(-LN(2)/2)*BR184+(1-EXP(-LN(2)/2))/(LN(2)/2)*BL185*BO185*VLOOKUP('Données projet'!$B$11,Paramètres!$A$1:$I$89,3,0)*0.475*44/12</f>
        <v>1.3051165269269258E-22</v>
      </c>
      <c r="BS185" s="24">
        <f t="shared" si="169"/>
        <v>0.30478206602666602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-1.7053025658242404E-13</v>
      </c>
      <c r="BZ185" s="14">
        <f>BY185*VLOOKUP('Données projet'!$B$12,Paramètres!$A$1:$I$89,3,0)*VLOOKUP('Données projet'!$B$12,Paramètres!$A$1:$I$89,5,0)</f>
        <v>-1.250327841262333E-13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216.97968518094325</v>
      </c>
      <c r="CE185" s="60">
        <f t="shared" si="148"/>
        <v>248.38190023108666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-3.813056537183002E-14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199.36703853638392</v>
      </c>
      <c r="CZ185" s="60">
        <f t="shared" si="150"/>
        <v>145.15653612907363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8">
        <f t="shared" si="110"/>
        <v>488.59298638933842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314.4389771131751</v>
      </c>
      <c r="T186" s="60">
        <f t="shared" si="142"/>
        <v>176.7239677722049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361.06925636707814</v>
      </c>
      <c r="AO186" s="60">
        <f t="shared" si="144"/>
        <v>201.44775212076888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6.3550942286383367E-14</v>
      </c>
      <c r="BF186" s="14">
        <f t="shared" si="167"/>
        <v>1.0064464192543978E-12</v>
      </c>
      <c r="BG186" s="22">
        <f t="shared" si="168"/>
        <v>1.8635787380168604E-12</v>
      </c>
      <c r="BH186" s="60">
        <f t="shared" si="116"/>
        <v>293.33333333333519</v>
      </c>
      <c r="BI186" s="60">
        <f ca="1">AVERAGE(OFFSET($BH$3,0,0,'Données projet'!$E$11+1,1))-AVERAGE(OFFSET($H$3,0,0,'Données projet'!$E$11+1,1))</f>
        <v>253.63061102077421</v>
      </c>
      <c r="BJ186" s="60">
        <f t="shared" si="146"/>
        <v>230.98056275369652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0.29644778440337455</v>
      </c>
      <c r="BR186" s="23">
        <f>EXP(-LN(2)/2)*BR185+(1-EXP(-LN(2)/2))/(LN(2)/2)*BL186*BO186*VLOOKUP('Données projet'!$B$11,Paramètres!$A$1:$I$89,3,0)*0.475*44/12</f>
        <v>9.2285674642866462E-23</v>
      </c>
      <c r="BS186" s="24">
        <f t="shared" si="169"/>
        <v>0.29644778440337455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-1.7053025658242404E-13</v>
      </c>
      <c r="BZ186" s="14">
        <f>BY186*VLOOKUP('Données projet'!$B$12,Paramètres!$A$1:$I$89,3,0)*VLOOKUP('Données projet'!$B$12,Paramètres!$A$1:$I$89,5,0)</f>
        <v>-1.250327841262333E-13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216.97968518094325</v>
      </c>
      <c r="CE186" s="60">
        <f t="shared" si="148"/>
        <v>248.38190023108666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-3.813056537183002E-14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199.36703853638392</v>
      </c>
      <c r="CZ186" s="60">
        <f t="shared" si="150"/>
        <v>145.15653612907363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8">
        <f t="shared" si="110"/>
        <v>489.63322992368012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314.4389771131751</v>
      </c>
      <c r="T187" s="60">
        <f t="shared" si="142"/>
        <v>176.7239677722049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361.06925636707814</v>
      </c>
      <c r="AO187" s="60">
        <f t="shared" si="144"/>
        <v>201.44775212076888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6.3550942286383367E-14</v>
      </c>
      <c r="BF187" s="14">
        <f t="shared" si="167"/>
        <v>1.0064464192543978E-12</v>
      </c>
      <c r="BG187" s="22">
        <f t="shared" si="168"/>
        <v>1.8635787380168604E-12</v>
      </c>
      <c r="BH187" s="60">
        <f t="shared" si="116"/>
        <v>293.33333333333519</v>
      </c>
      <c r="BI187" s="60">
        <f ca="1">AVERAGE(OFFSET($BH$3,0,0,'Données projet'!$E$11+1,1))-AVERAGE(OFFSET($H$3,0,0,'Données projet'!$E$11+1,1))</f>
        <v>253.63061102077421</v>
      </c>
      <c r="BJ187" s="60">
        <f t="shared" si="146"/>
        <v>230.98056275369652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0.28834140414935283</v>
      </c>
      <c r="BR187" s="23">
        <f>EXP(-LN(2)/2)*BR186+(1-EXP(-LN(2)/2))/(LN(2)/2)*BL187*BO187*VLOOKUP('Données projet'!$B$11,Paramètres!$A$1:$I$89,3,0)*0.475*44/12</f>
        <v>6.5255826346346292E-23</v>
      </c>
      <c r="BS187" s="24">
        <f t="shared" si="169"/>
        <v>0.28834140414935283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-1.7053025658242404E-13</v>
      </c>
      <c r="BZ187" s="14">
        <f>BY187*VLOOKUP('Données projet'!$B$12,Paramètres!$A$1:$I$89,3,0)*VLOOKUP('Données projet'!$B$12,Paramètres!$A$1:$I$89,5,0)</f>
        <v>-1.250327841262333E-13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216.97968518094325</v>
      </c>
      <c r="CE187" s="60">
        <f t="shared" si="148"/>
        <v>248.38190023108666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-3.813056537183002E-14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199.36703853638392</v>
      </c>
      <c r="CZ187" s="60">
        <f t="shared" si="150"/>
        <v>145.15653612907363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8">
        <f t="shared" si="110"/>
        <v>490.67334539342403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314.4389771131751</v>
      </c>
      <c r="T188" s="60">
        <f t="shared" si="142"/>
        <v>176.7239677722049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361.06925636707814</v>
      </c>
      <c r="AO188" s="60">
        <f t="shared" si="144"/>
        <v>201.44775212076888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6.3550942286383367E-14</v>
      </c>
      <c r="BF188" s="14">
        <f t="shared" si="167"/>
        <v>1.0064464192543978E-12</v>
      </c>
      <c r="BG188" s="22">
        <f t="shared" si="168"/>
        <v>1.8635787380168604E-12</v>
      </c>
      <c r="BH188" s="60">
        <f t="shared" si="116"/>
        <v>293.33333333333519</v>
      </c>
      <c r="BI188" s="60">
        <f ca="1">AVERAGE(OFFSET($BH$3,0,0,'Données projet'!$E$11+1,1))-AVERAGE(OFFSET($H$3,0,0,'Données projet'!$E$11+1,1))</f>
        <v>253.63061102077421</v>
      </c>
      <c r="BJ188" s="60">
        <f t="shared" si="146"/>
        <v>230.98056275369652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0.28045669328967332</v>
      </c>
      <c r="BR188" s="23">
        <f>EXP(-LN(2)/2)*BR187+(1-EXP(-LN(2)/2))/(LN(2)/2)*BL188*BO188*VLOOKUP('Données projet'!$B$11,Paramètres!$A$1:$I$89,3,0)*0.475*44/12</f>
        <v>4.6142837321433231E-23</v>
      </c>
      <c r="BS188" s="24">
        <f t="shared" si="169"/>
        <v>0.28045669328967332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-1.7053025658242404E-13</v>
      </c>
      <c r="BZ188" s="14">
        <f>BY188*VLOOKUP('Données projet'!$B$12,Paramètres!$A$1:$I$89,3,0)*VLOOKUP('Données projet'!$B$12,Paramètres!$A$1:$I$89,5,0)</f>
        <v>-1.250327841262333E-13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216.97968518094325</v>
      </c>
      <c r="CE188" s="60">
        <f t="shared" si="148"/>
        <v>248.38190023108666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-3.813056537183002E-14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199.36703853638392</v>
      </c>
      <c r="CZ188" s="60">
        <f t="shared" si="150"/>
        <v>145.15653612907363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8">
        <f t="shared" si="110"/>
        <v>491.71333357115242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314.4389771131751</v>
      </c>
      <c r="T189" s="60">
        <f t="shared" si="142"/>
        <v>176.7239677722049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361.06925636707814</v>
      </c>
      <c r="AO189" s="60">
        <f t="shared" si="144"/>
        <v>201.44775212076888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6.3550942286383367E-14</v>
      </c>
      <c r="BF189" s="14">
        <f t="shared" si="167"/>
        <v>1.0064464192543978E-12</v>
      </c>
      <c r="BG189" s="22">
        <f t="shared" si="168"/>
        <v>1.8635787380168604E-12</v>
      </c>
      <c r="BH189" s="60">
        <f t="shared" si="116"/>
        <v>293.33333333333519</v>
      </c>
      <c r="BI189" s="60">
        <f ca="1">AVERAGE(OFFSET($BH$3,0,0,'Données projet'!$E$11+1,1))-AVERAGE(OFFSET($H$3,0,0,'Données projet'!$E$11+1,1))</f>
        <v>253.63061102077421</v>
      </c>
      <c r="BJ189" s="60">
        <f t="shared" si="146"/>
        <v>230.98056275369652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0.27278759026309068</v>
      </c>
      <c r="BR189" s="23">
        <f>EXP(-LN(2)/2)*BR188+(1-EXP(-LN(2)/2))/(LN(2)/2)*BL189*BO189*VLOOKUP('Données projet'!$B$11,Paramètres!$A$1:$I$89,3,0)*0.475*44/12</f>
        <v>3.2627913173173146E-23</v>
      </c>
      <c r="BS189" s="24">
        <f t="shared" si="169"/>
        <v>0.27278759026309068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-1.7053025658242404E-13</v>
      </c>
      <c r="BZ189" s="14">
        <f>BY189*VLOOKUP('Données projet'!$B$12,Paramètres!$A$1:$I$89,3,0)*VLOOKUP('Données projet'!$B$12,Paramètres!$A$1:$I$89,5,0)</f>
        <v>-1.250327841262333E-13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216.97968518094325</v>
      </c>
      <c r="CE189" s="60">
        <f t="shared" si="148"/>
        <v>248.38190023108666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-3.813056537183002E-14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199.36703853638392</v>
      </c>
      <c r="CZ189" s="60">
        <f t="shared" si="150"/>
        <v>145.15653612907363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8">
        <f t="shared" si="110"/>
        <v>492.75319522065962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314.4389771131751</v>
      </c>
      <c r="T190" s="60">
        <f t="shared" si="142"/>
        <v>176.7239677722049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361.06925636707814</v>
      </c>
      <c r="AO190" s="60">
        <f t="shared" si="144"/>
        <v>201.44775212076888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6.3550942286383367E-14</v>
      </c>
      <c r="BF190" s="14">
        <f t="shared" si="167"/>
        <v>1.0064464192543978E-12</v>
      </c>
      <c r="BG190" s="22">
        <f t="shared" si="168"/>
        <v>1.8635787380168604E-12</v>
      </c>
      <c r="BH190" s="60">
        <f t="shared" si="116"/>
        <v>293.33333333333519</v>
      </c>
      <c r="BI190" s="60">
        <f ca="1">AVERAGE(OFFSET($BH$3,0,0,'Données projet'!$E$11+1,1))-AVERAGE(OFFSET($H$3,0,0,'Données projet'!$E$11+1,1))</f>
        <v>253.63061102077421</v>
      </c>
      <c r="BJ190" s="60">
        <f t="shared" si="146"/>
        <v>230.98056275369652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0.26532819926207057</v>
      </c>
      <c r="BR190" s="23">
        <f>EXP(-LN(2)/2)*BR189+(1-EXP(-LN(2)/2))/(LN(2)/2)*BL190*BO190*VLOOKUP('Données projet'!$B$11,Paramètres!$A$1:$I$89,3,0)*0.475*44/12</f>
        <v>2.3071418660716615E-23</v>
      </c>
      <c r="BS190" s="24">
        <f t="shared" si="169"/>
        <v>0.26532819926207057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-1.7053025658242404E-13</v>
      </c>
      <c r="BZ190" s="14">
        <f>BY190*VLOOKUP('Données projet'!$B$12,Paramètres!$A$1:$I$89,3,0)*VLOOKUP('Données projet'!$B$12,Paramètres!$A$1:$I$89,5,0)</f>
        <v>-1.250327841262333E-13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216.97968518094325</v>
      </c>
      <c r="CE190" s="60">
        <f t="shared" si="148"/>
        <v>248.38190023108666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-3.813056537183002E-14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199.36703853638392</v>
      </c>
      <c r="CZ190" s="60">
        <f t="shared" si="150"/>
        <v>145.15653612907363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8">
        <f t="shared" si="110"/>
        <v>493.79293109709795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314.4389771131751</v>
      </c>
      <c r="T191" s="60">
        <f t="shared" si="142"/>
        <v>176.7239677722049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361.06925636707814</v>
      </c>
      <c r="AO191" s="60">
        <f t="shared" si="144"/>
        <v>201.44775212076888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6.3550942286383367E-14</v>
      </c>
      <c r="BF191" s="14">
        <f t="shared" si="167"/>
        <v>1.0064464192543978E-12</v>
      </c>
      <c r="BG191" s="22">
        <f t="shared" si="168"/>
        <v>1.8635787380168604E-12</v>
      </c>
      <c r="BH191" s="60">
        <f t="shared" si="116"/>
        <v>293.33333333333519</v>
      </c>
      <c r="BI191" s="60">
        <f ca="1">AVERAGE(OFFSET($BH$3,0,0,'Données projet'!$E$11+1,1))-AVERAGE(OFFSET($H$3,0,0,'Données projet'!$E$11+1,1))</f>
        <v>253.63061102077421</v>
      </c>
      <c r="BJ191" s="60">
        <f t="shared" si="146"/>
        <v>230.98056275369652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0.25807278570024567</v>
      </c>
      <c r="BR191" s="23">
        <f>EXP(-LN(2)/2)*BR190+(1-EXP(-LN(2)/2))/(LN(2)/2)*BL191*BO191*VLOOKUP('Données projet'!$B$11,Paramètres!$A$1:$I$89,3,0)*0.475*44/12</f>
        <v>1.6313956586586573E-23</v>
      </c>
      <c r="BS191" s="24">
        <f t="shared" si="169"/>
        <v>0.25807278570024567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-1.7053025658242404E-13</v>
      </c>
      <c r="BZ191" s="14">
        <f>BY191*VLOOKUP('Données projet'!$B$12,Paramètres!$A$1:$I$89,3,0)*VLOOKUP('Données projet'!$B$12,Paramètres!$A$1:$I$89,5,0)</f>
        <v>-1.250327841262333E-13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216.97968518094325</v>
      </c>
      <c r="CE191" s="60">
        <f t="shared" si="148"/>
        <v>248.38190023108666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-3.813056537183002E-14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199.36703853638392</v>
      </c>
      <c r="CZ191" s="60">
        <f t="shared" si="150"/>
        <v>145.15653612907363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8">
        <f t="shared" si="110"/>
        <v>494.83254194712129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314.4389771131751</v>
      </c>
      <c r="T192" s="60">
        <f t="shared" si="142"/>
        <v>176.7239677722049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361.06925636707814</v>
      </c>
      <c r="AO192" s="60">
        <f t="shared" si="144"/>
        <v>201.44775212076888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6.3550942286383367E-14</v>
      </c>
      <c r="BF192" s="14">
        <f t="shared" si="167"/>
        <v>1.0064464192543978E-12</v>
      </c>
      <c r="BG192" s="22">
        <f t="shared" si="168"/>
        <v>1.8635787380168604E-12</v>
      </c>
      <c r="BH192" s="60">
        <f t="shared" si="116"/>
        <v>293.33333333333519</v>
      </c>
      <c r="BI192" s="60">
        <f ca="1">AVERAGE(OFFSET($BH$3,0,0,'Données projet'!$E$11+1,1))-AVERAGE(OFFSET($H$3,0,0,'Données projet'!$E$11+1,1))</f>
        <v>253.63061102077421</v>
      </c>
      <c r="BJ192" s="60">
        <f t="shared" si="146"/>
        <v>230.98056275369652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0.25101577180381446</v>
      </c>
      <c r="BR192" s="23">
        <f>EXP(-LN(2)/2)*BR191+(1-EXP(-LN(2)/2))/(LN(2)/2)*BL192*BO192*VLOOKUP('Données projet'!$B$11,Paramètres!$A$1:$I$89,3,0)*0.475*44/12</f>
        <v>1.1535709330358308E-23</v>
      </c>
      <c r="BS192" s="24">
        <f t="shared" si="169"/>
        <v>0.25101577180381446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-1.7053025658242404E-13</v>
      </c>
      <c r="BZ192" s="14">
        <f>BY192*VLOOKUP('Données projet'!$B$12,Paramètres!$A$1:$I$89,3,0)*VLOOKUP('Données projet'!$B$12,Paramètres!$A$1:$I$89,5,0)</f>
        <v>-1.250327841262333E-13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216.97968518094325</v>
      </c>
      <c r="CE192" s="60">
        <f t="shared" si="148"/>
        <v>248.38190023108666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-3.813056537183002E-14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199.36703853638392</v>
      </c>
      <c r="CZ192" s="60">
        <f t="shared" si="150"/>
        <v>145.15653612907363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8">
        <f t="shared" si="110"/>
        <v>495.87202850902497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314.4389771131751</v>
      </c>
      <c r="T193" s="60">
        <f t="shared" si="142"/>
        <v>176.7239677722049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361.06925636707814</v>
      </c>
      <c r="AO193" s="60">
        <f t="shared" si="144"/>
        <v>201.44775212076888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6.3550942286383367E-14</v>
      </c>
      <c r="BF193" s="14">
        <f t="shared" si="167"/>
        <v>1.0064464192543978E-12</v>
      </c>
      <c r="BG193" s="22">
        <f t="shared" si="168"/>
        <v>1.8635787380168604E-12</v>
      </c>
      <c r="BH193" s="60">
        <f t="shared" si="116"/>
        <v>293.33333333333519</v>
      </c>
      <c r="BI193" s="60">
        <f ca="1">AVERAGE(OFFSET($BH$3,0,0,'Données projet'!$E$11+1,1))-AVERAGE(OFFSET($H$3,0,0,'Données projet'!$E$11+1,1))</f>
        <v>253.63061102077421</v>
      </c>
      <c r="BJ193" s="60">
        <f t="shared" si="146"/>
        <v>230.98056275369652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0.24415173232349341</v>
      </c>
      <c r="BR193" s="23">
        <f>EXP(-LN(2)/2)*BR192+(1-EXP(-LN(2)/2))/(LN(2)/2)*BL193*BO193*VLOOKUP('Données projet'!$B$11,Paramètres!$A$1:$I$89,3,0)*0.475*44/12</f>
        <v>8.1569782932932864E-24</v>
      </c>
      <c r="BS193" s="24">
        <f t="shared" si="169"/>
        <v>0.24415173232349341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-1.7053025658242404E-13</v>
      </c>
      <c r="BZ193" s="14">
        <f>BY193*VLOOKUP('Données projet'!$B$12,Paramètres!$A$1:$I$89,3,0)*VLOOKUP('Données projet'!$B$12,Paramètres!$A$1:$I$89,5,0)</f>
        <v>-1.250327841262333E-13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216.97968518094325</v>
      </c>
      <c r="CE193" s="60">
        <f t="shared" si="148"/>
        <v>248.38190023108666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-3.813056537183002E-14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199.36703853638392</v>
      </c>
      <c r="CZ193" s="60">
        <f t="shared" si="150"/>
        <v>145.15653612907363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8">
        <f t="shared" si="110"/>
        <v>496.91139151288291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314.4389771131751</v>
      </c>
      <c r="T194" s="60">
        <f t="shared" si="142"/>
        <v>176.7239677722049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361.06925636707814</v>
      </c>
      <c r="AO194" s="60">
        <f t="shared" si="144"/>
        <v>201.44775212076888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6.3550942286383367E-14</v>
      </c>
      <c r="BF194" s="14">
        <f t="shared" si="167"/>
        <v>1.0064464192543978E-12</v>
      </c>
      <c r="BG194" s="22">
        <f t="shared" si="168"/>
        <v>1.8635787380168604E-12</v>
      </c>
      <c r="BH194" s="60">
        <f t="shared" si="116"/>
        <v>293.33333333333519</v>
      </c>
      <c r="BI194" s="60">
        <f ca="1">AVERAGE(OFFSET($BH$3,0,0,'Données projet'!$E$11+1,1))-AVERAGE(OFFSET($H$3,0,0,'Données projet'!$E$11+1,1))</f>
        <v>253.63061102077421</v>
      </c>
      <c r="BJ194" s="60">
        <f t="shared" si="146"/>
        <v>230.98056275369652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0.23747539036372589</v>
      </c>
      <c r="BR194" s="23">
        <f>EXP(-LN(2)/2)*BR193+(1-EXP(-LN(2)/2))/(LN(2)/2)*BL194*BO194*VLOOKUP('Données projet'!$B$11,Paramètres!$A$1:$I$89,3,0)*0.475*44/12</f>
        <v>5.7678546651791539E-24</v>
      </c>
      <c r="BS194" s="24">
        <f t="shared" si="169"/>
        <v>0.23747539036372589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-1.7053025658242404E-13</v>
      </c>
      <c r="BZ194" s="14">
        <f>BY194*VLOOKUP('Données projet'!$B$12,Paramètres!$A$1:$I$89,3,0)*VLOOKUP('Données projet'!$B$12,Paramètres!$A$1:$I$89,5,0)</f>
        <v>-1.250327841262333E-13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216.97968518094325</v>
      </c>
      <c r="CE194" s="60">
        <f t="shared" si="148"/>
        <v>248.38190023108666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-3.813056537183002E-14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199.36703853638392</v>
      </c>
      <c r="CZ194" s="60">
        <f t="shared" si="150"/>
        <v>145.15653612907363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8">
        <f t="shared" si="110"/>
        <v>497.95063168068179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314.4389771131751</v>
      </c>
      <c r="T195" s="60">
        <f t="shared" si="142"/>
        <v>176.7239677722049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361.06925636707814</v>
      </c>
      <c r="AO195" s="60">
        <f t="shared" si="144"/>
        <v>201.44775212076888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6.3550942286383367E-14</v>
      </c>
      <c r="BF195" s="14">
        <f t="shared" si="167"/>
        <v>1.0064464192543978E-12</v>
      </c>
      <c r="BG195" s="22">
        <f t="shared" si="168"/>
        <v>1.8635787380168604E-12</v>
      </c>
      <c r="BH195" s="60">
        <f t="shared" si="116"/>
        <v>293.33333333333519</v>
      </c>
      <c r="BI195" s="60">
        <f ca="1">AVERAGE(OFFSET($BH$3,0,0,'Données projet'!$E$11+1,1))-AVERAGE(OFFSET($H$3,0,0,'Données projet'!$E$11+1,1))</f>
        <v>253.63061102077421</v>
      </c>
      <c r="BJ195" s="60">
        <f t="shared" si="146"/>
        <v>230.98056275369652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0.23098161332594178</v>
      </c>
      <c r="BR195" s="23">
        <f>EXP(-LN(2)/2)*BR194+(1-EXP(-LN(2)/2))/(LN(2)/2)*BL195*BO195*VLOOKUP('Données projet'!$B$11,Paramètres!$A$1:$I$89,3,0)*0.475*44/12</f>
        <v>4.0784891466466432E-24</v>
      </c>
      <c r="BS195" s="24">
        <f t="shared" si="169"/>
        <v>0.23098161332594178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-1.7053025658242404E-13</v>
      </c>
      <c r="BZ195" s="14">
        <f>BY195*VLOOKUP('Données projet'!$B$12,Paramètres!$A$1:$I$89,3,0)*VLOOKUP('Données projet'!$B$12,Paramètres!$A$1:$I$89,5,0)</f>
        <v>-1.250327841262333E-13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216.97968518094325</v>
      </c>
      <c r="CE195" s="60">
        <f t="shared" si="148"/>
        <v>248.38190023108666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-3.813056537183002E-14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199.36703853638392</v>
      </c>
      <c r="CZ195" s="60">
        <f t="shared" si="150"/>
        <v>145.15653612907363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8">
        <f t="shared" ref="H196:H203" si="192">(B196+E196+F196)*44/12+(C196+D196)*0.475*44/12</f>
        <v>498.98974972645203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314.4389771131751</v>
      </c>
      <c r="T196" s="60">
        <f t="shared" si="142"/>
        <v>176.7239677722049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361.06925636707814</v>
      </c>
      <c r="AO196" s="60">
        <f t="shared" si="144"/>
        <v>201.44775212076888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6.3550942286383367E-14</v>
      </c>
      <c r="BF196" s="14">
        <f t="shared" si="167"/>
        <v>1.0064464192543978E-12</v>
      </c>
      <c r="BG196" s="22">
        <f t="shared" si="168"/>
        <v>1.8635787380168604E-12</v>
      </c>
      <c r="BH196" s="60">
        <f t="shared" ref="BH196:BH203" si="194">BG196+(AY196+AZ196)*44/12</f>
        <v>293.33333333333519</v>
      </c>
      <c r="BI196" s="60">
        <f ca="1">AVERAGE(OFFSET($BH$3,0,0,'Données projet'!$E$11+1,1))-AVERAGE(OFFSET($H$3,0,0,'Données projet'!$E$11+1,1))</f>
        <v>253.63061102077421</v>
      </c>
      <c r="BJ196" s="60">
        <f t="shared" si="146"/>
        <v>230.98056275369652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0.22466540896274878</v>
      </c>
      <c r="BR196" s="23">
        <f>EXP(-LN(2)/2)*BR195+(1-EXP(-LN(2)/2))/(LN(2)/2)*BL196*BO196*VLOOKUP('Données projet'!$B$11,Paramètres!$A$1:$I$89,3,0)*0.475*44/12</f>
        <v>2.8839273325895769E-24</v>
      </c>
      <c r="BS196" s="24">
        <f t="shared" si="169"/>
        <v>0.22466540896274878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-1.7053025658242404E-13</v>
      </c>
      <c r="BZ196" s="14">
        <f>BY196*VLOOKUP('Données projet'!$B$12,Paramètres!$A$1:$I$89,3,0)*VLOOKUP('Données projet'!$B$12,Paramètres!$A$1:$I$89,5,0)</f>
        <v>-1.250327841262333E-13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216.97968518094325</v>
      </c>
      <c r="CE196" s="60">
        <f t="shared" si="148"/>
        <v>248.38190023108666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-3.813056537183002E-14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199.36703853638392</v>
      </c>
      <c r="CZ196" s="60">
        <f t="shared" si="150"/>
        <v>145.15653612907363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8">
        <f t="shared" si="192"/>
        <v>500.0287463563966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314.4389771131751</v>
      </c>
      <c r="T197" s="60">
        <f t="shared" ref="T197:T203" si="204">$T$3</f>
        <v>176.7239677722049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361.06925636707814</v>
      </c>
      <c r="AO197" s="60">
        <f t="shared" ref="AO197:AO203" si="205">$AO$3</f>
        <v>201.44775212076888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6.3550942286383367E-14</v>
      </c>
      <c r="BF197" s="14">
        <f t="shared" si="167"/>
        <v>1.0064464192543978E-12</v>
      </c>
      <c r="BG197" s="22">
        <f t="shared" si="168"/>
        <v>1.8635787380168604E-12</v>
      </c>
      <c r="BH197" s="60">
        <f t="shared" si="194"/>
        <v>293.33333333333519</v>
      </c>
      <c r="BI197" s="60">
        <f ca="1">AVERAGE(OFFSET($BH$3,0,0,'Données projet'!$E$11+1,1))-AVERAGE(OFFSET($H$3,0,0,'Données projet'!$E$11+1,1))</f>
        <v>253.63061102077421</v>
      </c>
      <c r="BJ197" s="60">
        <f t="shared" ref="BJ197:BJ203" si="206">$BJ$3</f>
        <v>230.98056275369652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0.21852192154002203</v>
      </c>
      <c r="BR197" s="23">
        <f>EXP(-LN(2)/2)*BR196+(1-EXP(-LN(2)/2))/(LN(2)/2)*BL197*BO197*VLOOKUP('Données projet'!$B$11,Paramètres!$A$1:$I$89,3,0)*0.475*44/12</f>
        <v>2.0392445733233216E-24</v>
      </c>
      <c r="BS197" s="24">
        <f t="shared" si="169"/>
        <v>0.21852192154002203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-1.7053025658242404E-13</v>
      </c>
      <c r="BZ197" s="14">
        <f>BY197*VLOOKUP('Données projet'!$B$12,Paramètres!$A$1:$I$89,3,0)*VLOOKUP('Données projet'!$B$12,Paramètres!$A$1:$I$89,5,0)</f>
        <v>-1.250327841262333E-13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216.97968518094325</v>
      </c>
      <c r="CE197" s="60">
        <f t="shared" ref="CE197:CE203" si="207">$CE$3</f>
        <v>248.38190023108666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-3.813056537183002E-14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199.36703853638392</v>
      </c>
      <c r="CZ197" s="60">
        <f t="shared" ref="CZ197:CZ203" si="208">$CZ$3</f>
        <v>145.15653612907363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8">
        <f t="shared" si="192"/>
        <v>501.06762226901623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314.4389771131751</v>
      </c>
      <c r="T198" s="60">
        <f t="shared" si="204"/>
        <v>176.7239677722049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361.06925636707814</v>
      </c>
      <c r="AO198" s="60">
        <f t="shared" si="205"/>
        <v>201.44775212076888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6.3550942286383367E-14</v>
      </c>
      <c r="BF198" s="14">
        <f t="shared" si="167"/>
        <v>1.0064464192543978E-12</v>
      </c>
      <c r="BG198" s="22">
        <f t="shared" si="168"/>
        <v>1.8635787380168604E-12</v>
      </c>
      <c r="BH198" s="60">
        <f t="shared" si="194"/>
        <v>293.33333333333519</v>
      </c>
      <c r="BI198" s="60">
        <f ca="1">AVERAGE(OFFSET($BH$3,0,0,'Données projet'!$E$11+1,1))-AVERAGE(OFFSET($H$3,0,0,'Données projet'!$E$11+1,1))</f>
        <v>253.63061102077421</v>
      </c>
      <c r="BJ198" s="60">
        <f t="shared" si="206"/>
        <v>230.98056275369652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0.21254642810394173</v>
      </c>
      <c r="BR198" s="23">
        <f>EXP(-LN(2)/2)*BR197+(1-EXP(-LN(2)/2))/(LN(2)/2)*BL198*BO198*VLOOKUP('Données projet'!$B$11,Paramètres!$A$1:$I$89,3,0)*0.475*44/12</f>
        <v>1.4419636662947885E-24</v>
      </c>
      <c r="BS198" s="24">
        <f t="shared" si="169"/>
        <v>0.21254642810394173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-1.7053025658242404E-13</v>
      </c>
      <c r="BZ198" s="14">
        <f>BY198*VLOOKUP('Données projet'!$B$12,Paramètres!$A$1:$I$89,3,0)*VLOOKUP('Données projet'!$B$12,Paramètres!$A$1:$I$89,5,0)</f>
        <v>-1.250327841262333E-13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216.97968518094325</v>
      </c>
      <c r="CE198" s="60">
        <f t="shared" si="207"/>
        <v>248.38190023108666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-3.813056537183002E-14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199.36703853638392</v>
      </c>
      <c r="CZ198" s="60">
        <f t="shared" si="208"/>
        <v>145.15653612907363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8">
        <f t="shared" si="192"/>
        <v>502.10637815523307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314.4389771131751</v>
      </c>
      <c r="T199" s="60">
        <f t="shared" si="204"/>
        <v>176.7239677722049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361.06925636707814</v>
      </c>
      <c r="AO199" s="60">
        <f t="shared" si="205"/>
        <v>201.44775212076888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6.3550942286383367E-14</v>
      </c>
      <c r="BF199" s="14">
        <f t="shared" si="167"/>
        <v>1.0064464192543978E-12</v>
      </c>
      <c r="BG199" s="22">
        <f t="shared" si="168"/>
        <v>1.8635787380168604E-12</v>
      </c>
      <c r="BH199" s="60">
        <f t="shared" si="194"/>
        <v>293.33333333333519</v>
      </c>
      <c r="BI199" s="60">
        <f ca="1">AVERAGE(OFFSET($BH$3,0,0,'Données projet'!$E$11+1,1))-AVERAGE(OFFSET($H$3,0,0,'Données projet'!$E$11+1,1))</f>
        <v>253.63061102077421</v>
      </c>
      <c r="BJ199" s="60">
        <f t="shared" si="206"/>
        <v>230.98056275369652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0.20673433485010856</v>
      </c>
      <c r="BR199" s="23">
        <f>EXP(-LN(2)/2)*BR198+(1-EXP(-LN(2)/2))/(LN(2)/2)*BL199*BO199*VLOOKUP('Données projet'!$B$11,Paramètres!$A$1:$I$89,3,0)*0.475*44/12</f>
        <v>1.0196222866616608E-24</v>
      </c>
      <c r="BS199" s="24">
        <f t="shared" si="169"/>
        <v>0.20673433485010856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-1.7053025658242404E-13</v>
      </c>
      <c r="BZ199" s="14">
        <f>BY199*VLOOKUP('Données projet'!$B$12,Paramètres!$A$1:$I$89,3,0)*VLOOKUP('Données projet'!$B$12,Paramètres!$A$1:$I$89,5,0)</f>
        <v>-1.250327841262333E-13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216.97968518094325</v>
      </c>
      <c r="CE199" s="60">
        <f t="shared" si="207"/>
        <v>248.38190023108666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-3.813056537183002E-14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199.36703853638392</v>
      </c>
      <c r="CZ199" s="60">
        <f t="shared" si="208"/>
        <v>145.15653612907363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8">
        <f t="shared" si="192"/>
        <v>503.14501469851064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314.4389771131751</v>
      </c>
      <c r="T200" s="60">
        <f t="shared" si="204"/>
        <v>176.7239677722049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361.06925636707814</v>
      </c>
      <c r="AO200" s="60">
        <f t="shared" si="205"/>
        <v>201.44775212076888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6.3550942286383367E-14</v>
      </c>
      <c r="BF200" s="14">
        <f t="shared" si="167"/>
        <v>1.0064464192543978E-12</v>
      </c>
      <c r="BG200" s="22">
        <f t="shared" si="168"/>
        <v>1.8635787380168604E-12</v>
      </c>
      <c r="BH200" s="60">
        <f t="shared" si="194"/>
        <v>293.33333333333519</v>
      </c>
      <c r="BI200" s="60">
        <f ca="1">AVERAGE(OFFSET($BH$3,0,0,'Données projet'!$E$11+1,1))-AVERAGE(OFFSET($H$3,0,0,'Données projet'!$E$11+1,1))</f>
        <v>253.63061102077421</v>
      </c>
      <c r="BJ200" s="60">
        <f t="shared" si="206"/>
        <v>230.98056275369652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0.20108117359194616</v>
      </c>
      <c r="BR200" s="23">
        <f>EXP(-LN(2)/2)*BR199+(1-EXP(-LN(2)/2))/(LN(2)/2)*BL200*BO200*VLOOKUP('Données projet'!$B$11,Paramètres!$A$1:$I$89,3,0)*0.475*44/12</f>
        <v>7.2098183314739423E-25</v>
      </c>
      <c r="BS200" s="24">
        <f t="shared" si="169"/>
        <v>0.20108117359194616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-1.7053025658242404E-13</v>
      </c>
      <c r="BZ200" s="14">
        <f>BY200*VLOOKUP('Données projet'!$B$12,Paramètres!$A$1:$I$89,3,0)*VLOOKUP('Données projet'!$B$12,Paramètres!$A$1:$I$89,5,0)</f>
        <v>-1.250327841262333E-13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216.97968518094325</v>
      </c>
      <c r="CE200" s="60">
        <f t="shared" si="207"/>
        <v>248.38190023108666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-3.813056537183002E-14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199.36703853638392</v>
      </c>
      <c r="CZ200" s="60">
        <f t="shared" si="208"/>
        <v>145.15653612907363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8">
        <f t="shared" si="192"/>
        <v>504.18353257497199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314.4389771131751</v>
      </c>
      <c r="T201" s="60">
        <f t="shared" si="204"/>
        <v>176.7239677722049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361.06925636707814</v>
      </c>
      <c r="AO201" s="60">
        <f t="shared" si="205"/>
        <v>201.44775212076888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6.3550942286383367E-14</v>
      </c>
      <c r="BF201" s="14">
        <f t="shared" si="167"/>
        <v>1.0064464192543978E-12</v>
      </c>
      <c r="BG201" s="22">
        <f t="shared" si="168"/>
        <v>1.8635787380168604E-12</v>
      </c>
      <c r="BH201" s="60">
        <f t="shared" si="194"/>
        <v>293.33333333333519</v>
      </c>
      <c r="BI201" s="60">
        <f ca="1">AVERAGE(OFFSET($BH$3,0,0,'Données projet'!$E$11+1,1))-AVERAGE(OFFSET($H$3,0,0,'Données projet'!$E$11+1,1))</f>
        <v>253.63061102077421</v>
      </c>
      <c r="BJ201" s="60">
        <f t="shared" si="206"/>
        <v>230.98056275369652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0.19558259832567504</v>
      </c>
      <c r="BR201" s="23">
        <f>EXP(-LN(2)/2)*BR200+(1-EXP(-LN(2)/2))/(LN(2)/2)*BL201*BO201*VLOOKUP('Données projet'!$B$11,Paramètres!$A$1:$I$89,3,0)*0.475*44/12</f>
        <v>5.098111433308304E-25</v>
      </c>
      <c r="BS201" s="24">
        <f t="shared" si="169"/>
        <v>0.19558259832567504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-1.7053025658242404E-13</v>
      </c>
      <c r="BZ201" s="14">
        <f>BY201*VLOOKUP('Données projet'!$B$12,Paramètres!$A$1:$I$89,3,0)*VLOOKUP('Données projet'!$B$12,Paramètres!$A$1:$I$89,5,0)</f>
        <v>-1.250327841262333E-13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216.97968518094325</v>
      </c>
      <c r="CE201" s="60">
        <f t="shared" si="207"/>
        <v>248.38190023108666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-3.813056537183002E-14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199.36703853638392</v>
      </c>
      <c r="CZ201" s="60">
        <f t="shared" si="208"/>
        <v>145.15653612907363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8">
        <f t="shared" si="192"/>
        <v>505.22193245351531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314.4389771131751</v>
      </c>
      <c r="T202" s="60">
        <f t="shared" si="204"/>
        <v>176.7239677722049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361.06925636707814</v>
      </c>
      <c r="AO202" s="60">
        <f t="shared" si="205"/>
        <v>201.44775212076888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6.3550942286383367E-14</v>
      </c>
      <c r="BF202" s="14">
        <f t="shared" si="167"/>
        <v>1.0064464192543978E-12</v>
      </c>
      <c r="BG202" s="22">
        <f t="shared" si="168"/>
        <v>1.8635787380168604E-12</v>
      </c>
      <c r="BH202" s="60">
        <f t="shared" si="194"/>
        <v>293.33333333333519</v>
      </c>
      <c r="BI202" s="60">
        <f ca="1">AVERAGE(OFFSET($BH$3,0,0,'Données projet'!$E$11+1,1))-AVERAGE(OFFSET($H$3,0,0,'Données projet'!$E$11+1,1))</f>
        <v>253.63061102077421</v>
      </c>
      <c r="BJ202" s="60">
        <f t="shared" si="206"/>
        <v>230.98056275369652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0.19023438188921762</v>
      </c>
      <c r="BR202" s="23">
        <f>EXP(-LN(2)/2)*BR201+(1-EXP(-LN(2)/2))/(LN(2)/2)*BL202*BO202*VLOOKUP('Données projet'!$B$11,Paramètres!$A$1:$I$89,3,0)*0.475*44/12</f>
        <v>3.6049091657369712E-25</v>
      </c>
      <c r="BS202" s="24">
        <f t="shared" si="169"/>
        <v>0.19023438188921762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-1.7053025658242404E-13</v>
      </c>
      <c r="BZ202" s="14">
        <f>BY202*VLOOKUP('Données projet'!$B$12,Paramètres!$A$1:$I$89,3,0)*VLOOKUP('Données projet'!$B$12,Paramètres!$A$1:$I$89,5,0)</f>
        <v>-1.250327841262333E-13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216.97968518094325</v>
      </c>
      <c r="CE202" s="60">
        <f t="shared" si="207"/>
        <v>248.38190023108666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-3.813056537183002E-14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199.36703853638392</v>
      </c>
      <c r="CZ202" s="60">
        <f t="shared" si="208"/>
        <v>145.15653612907363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8">
        <f t="shared" si="192"/>
        <v>506.26021499592679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314.4389771131751</v>
      </c>
      <c r="T203" s="60">
        <f t="shared" si="204"/>
        <v>176.7239677722049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361.06925636707814</v>
      </c>
      <c r="AO203" s="60">
        <f t="shared" si="205"/>
        <v>201.44775212076888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6.3550942286383367E-14</v>
      </c>
      <c r="BF203" s="14">
        <f t="shared" si="167"/>
        <v>1.0064464192543978E-12</v>
      </c>
      <c r="BG203" s="22">
        <f t="shared" si="168"/>
        <v>1.8635787380168604E-12</v>
      </c>
      <c r="BH203" s="60">
        <f t="shared" si="194"/>
        <v>293.33333333333519</v>
      </c>
      <c r="BI203" s="60">
        <f ca="1">AVERAGE(OFFSET($BH$3,0,0,'Données projet'!$E$11+1,1))-AVERAGE(OFFSET($H$3,0,0,'Données projet'!$E$11+1,1))</f>
        <v>253.63061102077421</v>
      </c>
      <c r="BJ203" s="60">
        <f t="shared" si="206"/>
        <v>230.98056275369652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0.18503241271246562</v>
      </c>
      <c r="BR203" s="23">
        <f>EXP(-LN(2)/2)*BR202+(1-EXP(-LN(2)/2))/(LN(2)/2)*BL203*BO203*VLOOKUP('Données projet'!$B$11,Paramètres!$A$1:$I$89,3,0)*0.475*44/12</f>
        <v>2.549055716654152E-25</v>
      </c>
      <c r="BS203" s="24">
        <f t="shared" si="169"/>
        <v>0.18503241271246562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-1.7053025658242404E-13</v>
      </c>
      <c r="BZ203" s="14">
        <f>BY203*VLOOKUP('Données projet'!$B$12,Paramètres!$A$1:$I$89,3,0)*VLOOKUP('Données projet'!$B$12,Paramètres!$A$1:$I$89,5,0)</f>
        <v>-1.250327841262333E-13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216.97968518094325</v>
      </c>
      <c r="CE203" s="60">
        <f t="shared" si="207"/>
        <v>248.38190023108666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-3.813056537183002E-14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199.36703853638392</v>
      </c>
      <c r="CZ203" s="60">
        <f t="shared" si="208"/>
        <v>145.15653612907363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1.2805631431945952</v>
      </c>
      <c r="BV205" s="86">
        <f>EXP(LN('Données projet'!B114)/'Données projet'!A114)</f>
        <v>1.2721747796233518</v>
      </c>
      <c r="CQ205" s="86">
        <f>EXP(LN('Données projet'!B140)/'Données projet'!A140)</f>
        <v>1.2822890014514785</v>
      </c>
      <c r="DL205" s="86" t="e">
        <f>EXP(LN('Données projet'!B166)/'Données projet'!A166)</f>
        <v>#NUM!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D17" sqref="D1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sessile</v>
      </c>
      <c r="B6" s="153">
        <f>'Données projet'!D9</f>
        <v>1.7</v>
      </c>
      <c r="C6" s="154">
        <f ca="1">IF(OR('Données projet'!B9="",'Données projet'!C9="",'Données projet'!C9=0%),0,Calculateur!S3)</f>
        <v>314.4389771131751</v>
      </c>
      <c r="D6" s="154">
        <f>IF(OR('Données projet'!B9="",'Données projet'!C9="",'Données projet'!C9=0%),0,Calculateur!T3)</f>
        <v>176.7239677722049</v>
      </c>
      <c r="E6" s="154">
        <f ca="1">MIN(C6,D6)</f>
        <v>176.7239677722049</v>
      </c>
      <c r="F6" s="154">
        <f ca="1">E6*B6</f>
        <v>300.43074521274832</v>
      </c>
      <c r="G6" s="154">
        <f ca="1">F6*(100%-'Données projet'!$C$24)*(100%-'Données projet'!$C$25)*(100%-'Données projet'!$C$26)*(100%-'Données projet'!$C$27)</f>
        <v>270.38767069147349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12.324999999999999</v>
      </c>
      <c r="K6" s="158">
        <f>J6*(100%-'Données projet'!$C$24)*(100%-'Données projet'!$C$25)*(100%-'Données projet'!$C$26)*(100%-'Données projet'!$C$27)</f>
        <v>11.092499999999999</v>
      </c>
      <c r="L6" s="159">
        <f ca="1">G6+I6+K6</f>
        <v>281.48017069147346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pubescent</v>
      </c>
      <c r="B7" s="161">
        <f>'Données projet'!D10</f>
        <v>0.4</v>
      </c>
      <c r="C7" s="154">
        <f ca="1">IF(OR('Données projet'!B10="",'Données projet'!C10="",'Données projet'!C10=0%),0,Calculateur!AN3)</f>
        <v>361.06925636707814</v>
      </c>
      <c r="D7" s="154">
        <f>IF(OR('Données projet'!B10="",'Données projet'!C10="",'Données projet'!C10=0%),0,Calculateur!AO3)</f>
        <v>201.44775212076888</v>
      </c>
      <c r="E7" s="154">
        <f t="shared" ref="E7:E15" ca="1" si="0">MIN(C7,D7)</f>
        <v>201.44775212076888</v>
      </c>
      <c r="F7" s="154">
        <f t="shared" ref="F7:F15" ca="1" si="1">E7*B7</f>
        <v>80.579100848307561</v>
      </c>
      <c r="G7" s="154">
        <f ca="1">F7*(100%-'Données projet'!$C$24)*(100%-'Données projet'!$C$25)*(100%-'Données projet'!$C$26)*(100%-'Données projet'!$C$27)</f>
        <v>72.52119076347681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2.9000000000000004</v>
      </c>
      <c r="K7" s="158">
        <f>J7*(100%-'Données projet'!$C$24)*(100%-'Données projet'!$C$25)*(100%-'Données projet'!$C$26)*(100%-'Données projet'!$C$27)</f>
        <v>2.6100000000000003</v>
      </c>
      <c r="L7" s="159">
        <f t="shared" ref="L7:L15" ca="1" si="2">G7+I7+K7</f>
        <v>75.131190763476809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Douglas</v>
      </c>
      <c r="B8" s="161">
        <f>'Données projet'!D11</f>
        <v>1.4</v>
      </c>
      <c r="C8" s="154">
        <f ca="1">IF(OR('Données projet'!B11="",'Données projet'!C11="",'Données projet'!C11=0%),0,Calculateur!BI3)</f>
        <v>253.63061102077421</v>
      </c>
      <c r="D8" s="154">
        <f>IF(OR('Données projet'!B11="",'Données projet'!C11="",'Données projet'!C11=0%),0,Calculateur!BJ3)</f>
        <v>230.98056275369652</v>
      </c>
      <c r="E8" s="154">
        <f t="shared" ca="1" si="0"/>
        <v>230.98056275369652</v>
      </c>
      <c r="F8" s="154">
        <f t="shared" ca="1" si="1"/>
        <v>323.37278785517509</v>
      </c>
      <c r="G8" s="154">
        <f ca="1">F8*(100%-'Données projet'!$C$24)*(100%-'Données projet'!$C$25)*(100%-'Données projet'!$C$26)*(100%-'Données projet'!$C$27)</f>
        <v>291.03550906965756</v>
      </c>
      <c r="H8" s="162">
        <f>IF(OR('Données projet'!B11="",'Données projet'!C11="",'Données projet'!C11=0%),0,AVERAGE(Calculateur!$BS$3:$BS$33)*B8)</f>
        <v>11.179417124435831</v>
      </c>
      <c r="I8" s="156">
        <f>H8*(100%-'Données projet'!$C$24)*(100%-'Données projet'!$C$25)*(100%-'Données projet'!$C$26)*(100%-'Données projet'!$C$27)</f>
        <v>10.061475411992248</v>
      </c>
      <c r="J8" s="157">
        <f>IF(OR('Données projet'!B11="",'Données projet'!C11="",'Données projet'!C11=0%),0,SUM(Calculateur!$BL$3:$BL$33)*VLOOKUP('Données projet'!$B$11,Paramètres!$A$1:$I$89,9,0)*B8)</f>
        <v>71.086938461538452</v>
      </c>
      <c r="K8" s="158">
        <f>J8*(100%-'Données projet'!$C$24)*(100%-'Données projet'!$C$25)*(100%-'Données projet'!$C$26)*(100%-'Données projet'!$C$27)</f>
        <v>63.978244615384611</v>
      </c>
      <c r="L8" s="159">
        <f t="shared" ca="1" si="2"/>
        <v>365.07522909703442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Châtaignier</v>
      </c>
      <c r="B9" s="161">
        <f>'Données projet'!D12</f>
        <v>0.3</v>
      </c>
      <c r="C9" s="154">
        <f ca="1">IF(OR('Données projet'!B12="",'Données projet'!C12="",'Données projet'!C12=0%),0,Calculateur!CD3)</f>
        <v>216.97968518094325</v>
      </c>
      <c r="D9" s="154">
        <f>IF(OR('Données projet'!B12="",'Données projet'!C12="",'Données projet'!C12=0%),0,Calculateur!CE3)</f>
        <v>248.38190023108666</v>
      </c>
      <c r="E9" s="154">
        <f t="shared" ca="1" si="0"/>
        <v>216.97968518094325</v>
      </c>
      <c r="F9" s="154">
        <f t="shared" ca="1" si="1"/>
        <v>65.093905554282969</v>
      </c>
      <c r="G9" s="154">
        <f ca="1">F9*(100%-'Données projet'!$C$24)*(100%-'Données projet'!$C$25)*(100%-'Données projet'!$C$26)*(100%-'Données projet'!$C$27)</f>
        <v>58.584514998854672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7.4249999999999998</v>
      </c>
      <c r="K9" s="158">
        <f>J9*(100%-'Données projet'!$C$24)*(100%-'Données projet'!$C$25)*(100%-'Données projet'!$C$26)*(100%-'Données projet'!$C$27)</f>
        <v>6.6825000000000001</v>
      </c>
      <c r="L9" s="159">
        <f t="shared" ca="1" si="2"/>
        <v>65.267014998854677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Tilleul</v>
      </c>
      <c r="B10" s="161">
        <f>'Données projet'!D13</f>
        <v>0.2</v>
      </c>
      <c r="C10" s="154">
        <f ca="1">IF(OR('Données projet'!B13="",'Données projet'!C13="",'Données projet'!C13=0%),0,Calculateur!CY3)</f>
        <v>199.36703853638392</v>
      </c>
      <c r="D10" s="154">
        <f>IF(OR('Données projet'!B13="",'Données projet'!C13="",'Données projet'!C13=0%),0,Calculateur!CZ3)</f>
        <v>145.15653612907363</v>
      </c>
      <c r="E10" s="154">
        <f t="shared" ca="1" si="0"/>
        <v>145.15653612907363</v>
      </c>
      <c r="F10" s="154">
        <f t="shared" ca="1" si="1"/>
        <v>29.031307225814729</v>
      </c>
      <c r="G10" s="154">
        <f ca="1">F10*(100%-'Données projet'!$C$24)*(100%-'Données projet'!$C$25)*(100%-'Données projet'!$C$26)*(100%-'Données projet'!$C$27)</f>
        <v>26.128176503233256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1.8269230769230771</v>
      </c>
      <c r="K10" s="158">
        <f>J10*(100%-'Données projet'!$C$24)*(100%-'Données projet'!$C$25)*(100%-'Données projet'!$C$26)*(100%-'Données projet'!$C$27)</f>
        <v>1.6442307692307694</v>
      </c>
      <c r="L10" s="159">
        <f t="shared" ca="1" si="2"/>
        <v>27.772407272464026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798.50784669632878</v>
      </c>
      <c r="G16" s="173">
        <f t="shared" ca="1" si="3"/>
        <v>718.65706202669583</v>
      </c>
      <c r="H16" s="174">
        <f t="shared" si="3"/>
        <v>11.179417124435831</v>
      </c>
      <c r="I16" s="174">
        <f t="shared" si="3"/>
        <v>10.061475411992248</v>
      </c>
      <c r="J16" s="175">
        <f t="shared" si="3"/>
        <v>95.563861538461524</v>
      </c>
      <c r="K16" s="175">
        <f t="shared" si="3"/>
        <v>86.00747538461539</v>
      </c>
      <c r="L16" s="176">
        <f t="shared" ca="1" si="3"/>
        <v>814.72601282330334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Douglas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Châtaignier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Tilleul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F22" zoomScale="80" zoomScaleNormal="80" workbookViewId="0">
      <selection activeCell="T22" sqref="T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5" t="s">
        <v>315</v>
      </c>
      <c r="I4" s="325"/>
      <c r="K4" s="322" t="s">
        <v>253</v>
      </c>
      <c r="L4" s="323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3" t="s">
        <v>310</v>
      </c>
      <c r="S7" s="334"/>
      <c r="T7" s="334"/>
      <c r="U7" s="334"/>
      <c r="V7" s="335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795.9366756344125</v>
      </c>
      <c r="U10" s="188">
        <f>'Données projet'!D9</f>
        <v>1.7</v>
      </c>
      <c r="V10" s="187">
        <f>U10*T10</f>
        <v>1353.0923485785013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pubescent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795.9366756344125</v>
      </c>
      <c r="U11" s="188">
        <f>'Données projet'!D10</f>
        <v>0.4</v>
      </c>
      <c r="V11" s="187">
        <f t="shared" ref="V11" si="0">U11*T11</f>
        <v>318.37467025376503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Douglas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4571.4729491830803</v>
      </c>
      <c r="U12" s="188">
        <f>'Données projet'!D11</f>
        <v>1.4</v>
      </c>
      <c r="V12" s="187">
        <f t="shared" ref="V12:V19" si="1">U12*T12</f>
        <v>6400.0621288563125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Châtaignier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1518.1122050713366</v>
      </c>
      <c r="U13" s="188">
        <f>'Données projet'!D12</f>
        <v>0.3</v>
      </c>
      <c r="V13" s="187">
        <f t="shared" si="1"/>
        <v>455.43366152140095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Tilleul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936.51209708414126</v>
      </c>
      <c r="U14" s="188">
        <f>'Données projet'!D13</f>
        <v>0.2</v>
      </c>
      <c r="V14" s="187">
        <f t="shared" si="1"/>
        <v>187.30241941682826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26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6"/>
      <c r="H16" s="201"/>
      <c r="I16" s="202"/>
      <c r="J16" s="214"/>
      <c r="K16" s="223"/>
      <c r="L16" s="322" t="s">
        <v>254</v>
      </c>
      <c r="M16" s="323"/>
      <c r="N16" s="2">
        <v>100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6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100.00000000000021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6"/>
      <c r="J18" s="214"/>
      <c r="K18" s="223"/>
      <c r="L18" s="293" t="s">
        <v>255</v>
      </c>
      <c r="M18" s="295"/>
      <c r="N18" s="203">
        <v>20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6"/>
      <c r="H19" s="230" t="s">
        <v>178</v>
      </c>
      <c r="I19" s="230" t="s">
        <v>287</v>
      </c>
      <c r="J19" s="258"/>
      <c r="K19" s="181"/>
      <c r="L19" s="322" t="s">
        <v>288</v>
      </c>
      <c r="M19" s="323"/>
      <c r="N19" s="189">
        <f>N17*N18</f>
        <v>2000.0000000000043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6"/>
      <c r="H20" s="201">
        <v>0</v>
      </c>
      <c r="I20" s="202">
        <v>12662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2">
        <v>0</v>
      </c>
      <c r="D23" s="192">
        <f>B23*C23</f>
        <v>0</v>
      </c>
      <c r="E23" s="204"/>
      <c r="F23" s="259"/>
      <c r="H23" s="201"/>
      <c r="I23" s="202"/>
      <c r="K23" s="223"/>
      <c r="L23" s="324" t="s">
        <v>260</v>
      </c>
      <c r="M23" s="324"/>
      <c r="N23" s="324"/>
      <c r="O23" s="25"/>
      <c r="P23" s="25"/>
      <c r="Q23" s="263"/>
      <c r="R23" s="25"/>
      <c r="S23" s="183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-41933.734771373194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0</v>
      </c>
      <c r="C24" s="204">
        <v>0</v>
      </c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98.053012764138018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29</v>
      </c>
      <c r="C25" s="204">
        <v>10</v>
      </c>
      <c r="D25" s="192">
        <f t="shared" si="2"/>
        <v>290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40">
        <f ca="1">T23-T24</f>
        <v>-42031.787784137334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0</v>
      </c>
      <c r="C26" s="204">
        <v>0</v>
      </c>
      <c r="D26" s="192">
        <f t="shared" si="2"/>
        <v>0</v>
      </c>
      <c r="E26" s="204"/>
      <c r="F26" s="262"/>
      <c r="G26" s="257"/>
      <c r="H26" s="201"/>
      <c r="I26" s="202"/>
      <c r="K26" s="223"/>
      <c r="L26" s="327" t="s">
        <v>258</v>
      </c>
      <c r="M26" s="328"/>
      <c r="N26" s="328"/>
      <c r="O26" s="328"/>
      <c r="P26" s="329"/>
      <c r="Q26" s="263"/>
      <c r="R26" s="25"/>
      <c r="S26" s="196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42</v>
      </c>
      <c r="C27" s="204">
        <v>10</v>
      </c>
      <c r="D27" s="192">
        <f t="shared" si="2"/>
        <v>420</v>
      </c>
      <c r="E27" s="204"/>
      <c r="F27" s="262"/>
      <c r="G27" s="257"/>
      <c r="H27" s="201"/>
      <c r="I27" s="202"/>
      <c r="K27" s="223"/>
      <c r="L27" s="330"/>
      <c r="M27" s="331"/>
      <c r="N27" s="331"/>
      <c r="O27" s="331"/>
      <c r="P27" s="332"/>
      <c r="Q27" s="263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0</v>
      </c>
      <c r="C28" s="204">
        <v>0</v>
      </c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42</v>
      </c>
      <c r="C29" s="204">
        <v>20</v>
      </c>
      <c r="D29" s="192">
        <f t="shared" si="2"/>
        <v>840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0</v>
      </c>
      <c r="C30" s="204">
        <v>0</v>
      </c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42</v>
      </c>
      <c r="C31" s="204">
        <v>30</v>
      </c>
      <c r="D31" s="192">
        <f t="shared" si="2"/>
        <v>1260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0</v>
      </c>
      <c r="C32" s="204">
        <v>0</v>
      </c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42</v>
      </c>
      <c r="C33" s="204">
        <v>40</v>
      </c>
      <c r="D33" s="192">
        <f t="shared" si="2"/>
        <v>1680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0</v>
      </c>
      <c r="C34" s="204">
        <v>0</v>
      </c>
      <c r="D34" s="192">
        <f t="shared" si="2"/>
        <v>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42</v>
      </c>
      <c r="C35" s="204">
        <v>70</v>
      </c>
      <c r="D35" s="192">
        <f t="shared" si="2"/>
        <v>2940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90</v>
      </c>
      <c r="B36" s="191">
        <f>'Données projet'!D49</f>
        <v>42</v>
      </c>
      <c r="C36" s="204">
        <v>100</v>
      </c>
      <c r="D36" s="192">
        <f t="shared" si="2"/>
        <v>4200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100</v>
      </c>
      <c r="B37" s="191">
        <f>'Données projet'!D50</f>
        <v>42</v>
      </c>
      <c r="C37" s="204">
        <v>110</v>
      </c>
      <c r="D37" s="192">
        <f t="shared" si="2"/>
        <v>4620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110</v>
      </c>
      <c r="B38" s="191">
        <f>'Données projet'!D51</f>
        <v>39</v>
      </c>
      <c r="C38" s="204">
        <v>120</v>
      </c>
      <c r="D38" s="192">
        <f t="shared" si="2"/>
        <v>4680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120</v>
      </c>
      <c r="B39" s="191">
        <f>'Données projet'!D52</f>
        <v>35</v>
      </c>
      <c r="C39" s="204">
        <v>130</v>
      </c>
      <c r="D39" s="192">
        <f t="shared" si="2"/>
        <v>4550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130</v>
      </c>
      <c r="B40" s="191">
        <f>'Données projet'!D53</f>
        <v>31</v>
      </c>
      <c r="C40" s="204">
        <v>140</v>
      </c>
      <c r="D40" s="192">
        <f t="shared" si="2"/>
        <v>4340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140</v>
      </c>
      <c r="B41" s="191">
        <f>'Données projet'!D54</f>
        <v>27</v>
      </c>
      <c r="C41" s="204">
        <v>160</v>
      </c>
      <c r="D41" s="192">
        <f t="shared" si="2"/>
        <v>4320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293</v>
      </c>
      <c r="C42" s="204">
        <v>200</v>
      </c>
      <c r="D42" s="192">
        <f t="shared" si="2"/>
        <v>58600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>
        <v>0</v>
      </c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4">
        <v>0</v>
      </c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4">
        <v>10</v>
      </c>
      <c r="D56" s="189">
        <f t="shared" si="4"/>
        <v>290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4">
        <v>0</v>
      </c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4">
        <v>10</v>
      </c>
      <c r="D58" s="189">
        <f t="shared" si="4"/>
        <v>420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4">
        <v>0</v>
      </c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4">
        <v>20</v>
      </c>
      <c r="D60" s="189">
        <f t="shared" si="4"/>
        <v>840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4">
        <v>0</v>
      </c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4">
        <v>30</v>
      </c>
      <c r="D62" s="189">
        <f t="shared" si="4"/>
        <v>1260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4">
        <v>0</v>
      </c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4">
        <v>40</v>
      </c>
      <c r="D64" s="189">
        <f t="shared" si="4"/>
        <v>1680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4">
        <v>0</v>
      </c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4">
        <v>70</v>
      </c>
      <c r="D66" s="189">
        <f t="shared" si="4"/>
        <v>2940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4">
        <v>100</v>
      </c>
      <c r="D67" s="189">
        <f t="shared" si="4"/>
        <v>4200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4">
        <v>110</v>
      </c>
      <c r="D68" s="189">
        <f t="shared" si="4"/>
        <v>4620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4">
        <v>120</v>
      </c>
      <c r="D69" s="189">
        <f t="shared" si="4"/>
        <v>4680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4">
        <v>130</v>
      </c>
      <c r="D70" s="189">
        <f t="shared" si="4"/>
        <v>4550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4">
        <v>140</v>
      </c>
      <c r="D71" s="189">
        <f t="shared" si="4"/>
        <v>4340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4">
        <v>160</v>
      </c>
      <c r="D72" s="189">
        <f t="shared" si="4"/>
        <v>4320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4">
        <v>200</v>
      </c>
      <c r="D73" s="189">
        <f t="shared" si="4"/>
        <v>58600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Douglas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21</v>
      </c>
      <c r="B85" s="191">
        <f>'Données projet'!D88</f>
        <v>61.169230769230765</v>
      </c>
      <c r="C85" s="202">
        <v>15</v>
      </c>
      <c r="D85" s="189">
        <f>B85*C85</f>
        <v>917.53846153846143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28</v>
      </c>
      <c r="B86" s="191">
        <f>'Données projet'!D89</f>
        <v>56.91538461538461</v>
      </c>
      <c r="C86" s="202">
        <v>20</v>
      </c>
      <c r="D86" s="189">
        <f t="shared" ref="D86:D104" si="6">B86*C86</f>
        <v>1138.3076923076922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35</v>
      </c>
      <c r="B87" s="191">
        <f>'Données projet'!D90</f>
        <v>70.5</v>
      </c>
      <c r="C87" s="202">
        <v>30</v>
      </c>
      <c r="D87" s="189">
        <f t="shared" si="6"/>
        <v>2115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42</v>
      </c>
      <c r="B88" s="191">
        <f>'Données projet'!D91</f>
        <v>80.669230769230765</v>
      </c>
      <c r="C88" s="202">
        <v>35</v>
      </c>
      <c r="D88" s="189">
        <f t="shared" si="6"/>
        <v>2823.4230769230767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49</v>
      </c>
      <c r="B89" s="191">
        <f>'Données projet'!D92</f>
        <v>90.453846153846158</v>
      </c>
      <c r="C89" s="202">
        <v>40</v>
      </c>
      <c r="D89" s="189">
        <f t="shared" si="6"/>
        <v>3618.1538461538462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56</v>
      </c>
      <c r="B90" s="191">
        <f>'Données projet'!D93</f>
        <v>75.869230769230768</v>
      </c>
      <c r="C90" s="202">
        <v>50</v>
      </c>
      <c r="D90" s="189">
        <f t="shared" si="6"/>
        <v>3793.4615384615386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63</v>
      </c>
      <c r="B91" s="191">
        <f>'Données projet'!D94</f>
        <v>79.723076923076917</v>
      </c>
      <c r="C91" s="202">
        <v>60</v>
      </c>
      <c r="D91" s="189">
        <f t="shared" si="6"/>
        <v>4783.3846153846152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70</v>
      </c>
      <c r="B92" s="191">
        <f>'Données projet'!D95</f>
        <v>469.06923076923073</v>
      </c>
      <c r="C92" s="202">
        <v>90</v>
      </c>
      <c r="D92" s="189">
        <f t="shared" si="6"/>
        <v>42216.230769230766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0</v>
      </c>
      <c r="B93" s="191">
        <f>'Données projet'!D96</f>
        <v>0</v>
      </c>
      <c r="C93" s="204">
        <v>0</v>
      </c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0</v>
      </c>
      <c r="B94" s="191">
        <f>'Données projet'!D97</f>
        <v>0</v>
      </c>
      <c r="C94" s="204">
        <v>0</v>
      </c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0</v>
      </c>
      <c r="B95" s="191">
        <f>'Données projet'!D98</f>
        <v>0</v>
      </c>
      <c r="C95" s="204">
        <v>0</v>
      </c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4">
        <v>0</v>
      </c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4">
        <v>0</v>
      </c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4">
        <v>0</v>
      </c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4">
        <v>0</v>
      </c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4">
        <v>0</v>
      </c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4">
        <v>0</v>
      </c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4">
        <v>0</v>
      </c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4">
        <v>0</v>
      </c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4">
        <v>0</v>
      </c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str">
        <f>IF(O103+1&lt;=MIN('Données projet'!$E$9:$E$18),O103+1,"STOP")</f>
        <v>STOP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Châtaignier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15</v>
      </c>
      <c r="B116" s="191">
        <f>'Données projet'!D114</f>
        <v>0</v>
      </c>
      <c r="C116" s="202">
        <v>0</v>
      </c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20</v>
      </c>
      <c r="B117" s="191">
        <f>'Données projet'!D115</f>
        <v>43</v>
      </c>
      <c r="C117" s="202">
        <v>10</v>
      </c>
      <c r="D117" s="189">
        <f t="shared" ref="D117:D135" si="8">B117*C117</f>
        <v>430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25</v>
      </c>
      <c r="B118" s="191">
        <f>'Données projet'!D116</f>
        <v>0</v>
      </c>
      <c r="C118" s="202">
        <v>0</v>
      </c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30</v>
      </c>
      <c r="B119" s="191">
        <f>'Données projet'!D117</f>
        <v>56</v>
      </c>
      <c r="C119" s="202">
        <v>15</v>
      </c>
      <c r="D119" s="189">
        <f t="shared" si="8"/>
        <v>840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35</v>
      </c>
      <c r="B120" s="191">
        <f>'Données projet'!D118</f>
        <v>0</v>
      </c>
      <c r="C120" s="202">
        <v>0</v>
      </c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40</v>
      </c>
      <c r="B121" s="191">
        <f>'Données projet'!D119</f>
        <v>56</v>
      </c>
      <c r="C121" s="202">
        <v>20</v>
      </c>
      <c r="D121" s="189">
        <f t="shared" si="8"/>
        <v>1120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45</v>
      </c>
      <c r="B122" s="191">
        <f>'Données projet'!D120</f>
        <v>0</v>
      </c>
      <c r="C122" s="202">
        <v>0</v>
      </c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50</v>
      </c>
      <c r="B123" s="191">
        <f>'Données projet'!D121</f>
        <v>39</v>
      </c>
      <c r="C123" s="202">
        <v>30</v>
      </c>
      <c r="D123" s="189">
        <f t="shared" si="8"/>
        <v>1170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55</v>
      </c>
      <c r="B124" s="191">
        <f>'Données projet'!D122</f>
        <v>0</v>
      </c>
      <c r="C124" s="202">
        <v>0</v>
      </c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60</v>
      </c>
      <c r="B125" s="191">
        <f>'Données projet'!D123</f>
        <v>25</v>
      </c>
      <c r="C125" s="202">
        <v>40</v>
      </c>
      <c r="D125" s="189">
        <f t="shared" si="8"/>
        <v>1000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65</v>
      </c>
      <c r="B126" s="191">
        <f>'Données projet'!D124</f>
        <v>0</v>
      </c>
      <c r="C126" s="202">
        <v>0</v>
      </c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70</v>
      </c>
      <c r="B127" s="191">
        <f>'Données projet'!D125</f>
        <v>21</v>
      </c>
      <c r="C127" s="202">
        <v>50</v>
      </c>
      <c r="D127" s="189">
        <f t="shared" si="8"/>
        <v>1050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75</v>
      </c>
      <c r="B128" s="191">
        <f>'Données projet'!D126</f>
        <v>0</v>
      </c>
      <c r="C128" s="202">
        <v>0</v>
      </c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80</v>
      </c>
      <c r="B129" s="191">
        <f>'Données projet'!D127</f>
        <v>285</v>
      </c>
      <c r="C129" s="202">
        <v>80</v>
      </c>
      <c r="D129" s="189">
        <f t="shared" si="8"/>
        <v>22800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>
        <v>0</v>
      </c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>
        <v>0</v>
      </c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>
        <v>0</v>
      </c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>
        <v>0</v>
      </c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>
        <v>0</v>
      </c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>
        <v>0</v>
      </c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Tilleul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0</v>
      </c>
      <c r="C147" s="204">
        <v>0</v>
      </c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0</v>
      </c>
      <c r="C148" s="204">
        <v>0</v>
      </c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36.53846153846154</v>
      </c>
      <c r="C149" s="204">
        <v>10</v>
      </c>
      <c r="D149" s="192">
        <f t="shared" si="10"/>
        <v>365.38461538461542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5">
        <f>'Données projet'!D143</f>
        <v>0</v>
      </c>
      <c r="C150" s="204">
        <v>0</v>
      </c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5">
        <f>'Données projet'!D144</f>
        <v>31.410256410256409</v>
      </c>
      <c r="C151" s="204">
        <v>20</v>
      </c>
      <c r="D151" s="192">
        <f t="shared" si="10"/>
        <v>628.20512820512818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5">
        <f>'Données projet'!D145</f>
        <v>0</v>
      </c>
      <c r="C152" s="204">
        <v>0</v>
      </c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5">
        <f>'Données projet'!D146</f>
        <v>31.410256410256409</v>
      </c>
      <c r="C153" s="204">
        <v>30</v>
      </c>
      <c r="D153" s="192">
        <f t="shared" si="10"/>
        <v>942.30769230769226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5">
        <f>'Données projet'!D147</f>
        <v>0</v>
      </c>
      <c r="C154" s="202">
        <v>0</v>
      </c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5">
        <f>'Données projet'!D148</f>
        <v>30.128205128205128</v>
      </c>
      <c r="C155" s="202">
        <v>40</v>
      </c>
      <c r="D155" s="192">
        <f t="shared" si="10"/>
        <v>1205.1282051282051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5">
        <f>'Données projet'!D149</f>
        <v>0</v>
      </c>
      <c r="C156" s="202">
        <v>0</v>
      </c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5">
        <f>'Données projet'!D150</f>
        <v>27.564102564102562</v>
      </c>
      <c r="C157" s="202">
        <v>50</v>
      </c>
      <c r="D157" s="192">
        <f t="shared" si="10"/>
        <v>1378.2051282051282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5">
        <f>'Données projet'!D151</f>
        <v>0</v>
      </c>
      <c r="C158" s="202">
        <v>0</v>
      </c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5">
        <f>'Données projet'!D152</f>
        <v>24.358974358974358</v>
      </c>
      <c r="C159" s="202">
        <v>60</v>
      </c>
      <c r="D159" s="192">
        <f t="shared" si="10"/>
        <v>1461.5384615384614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5">
        <f>'Données projet'!D153</f>
        <v>0</v>
      </c>
      <c r="C160" s="202">
        <v>0</v>
      </c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85</v>
      </c>
      <c r="B161" s="185">
        <f>'Données projet'!D154</f>
        <v>23.717948717948715</v>
      </c>
      <c r="C161" s="202">
        <v>70</v>
      </c>
      <c r="D161" s="192">
        <f t="shared" si="10"/>
        <v>1660.2564102564102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90</v>
      </c>
      <c r="B162" s="185">
        <f>'Données projet'!D155</f>
        <v>0</v>
      </c>
      <c r="C162" s="202">
        <v>0</v>
      </c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95</v>
      </c>
      <c r="B163" s="185">
        <f>'Données projet'!D156</f>
        <v>22.435897435897434</v>
      </c>
      <c r="C163" s="202">
        <v>80</v>
      </c>
      <c r="D163" s="192">
        <f t="shared" si="10"/>
        <v>1794.8717948717947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100</v>
      </c>
      <c r="B164" s="185">
        <f>'Données projet'!D157</f>
        <v>0</v>
      </c>
      <c r="C164" s="202">
        <v>0</v>
      </c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105</v>
      </c>
      <c r="B165" s="185">
        <f>'Données projet'!D158</f>
        <v>20.512820512820511</v>
      </c>
      <c r="C165" s="202">
        <v>90</v>
      </c>
      <c r="D165" s="192">
        <f t="shared" si="10"/>
        <v>1846.153846153846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110</v>
      </c>
      <c r="B166" s="185">
        <f>'Données projet'!D159</f>
        <v>285.89743589743591</v>
      </c>
      <c r="C166" s="202">
        <v>100</v>
      </c>
      <c r="D166" s="192">
        <f t="shared" si="10"/>
        <v>28589.74358974359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0</v>
      </c>
      <c r="B178" s="191">
        <f>'Données projet'!D166</f>
        <v>0</v>
      </c>
      <c r="C178" s="202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0</v>
      </c>
      <c r="B179" s="191">
        <f>'Données projet'!D167</f>
        <v>0</v>
      </c>
      <c r="C179" s="202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0</v>
      </c>
      <c r="B180" s="191">
        <f>'Données projet'!D168</f>
        <v>0</v>
      </c>
      <c r="C180" s="202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0</v>
      </c>
      <c r="B181" s="191">
        <f>'Données projet'!D169</f>
        <v>0</v>
      </c>
      <c r="C181" s="202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0</v>
      </c>
      <c r="B182" s="191">
        <f>'Données projet'!D170</f>
        <v>0</v>
      </c>
      <c r="C182" s="202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0</v>
      </c>
      <c r="B183" s="191">
        <f>'Données projet'!D171</f>
        <v>0</v>
      </c>
      <c r="C183" s="202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0</v>
      </c>
      <c r="B184" s="191">
        <f>'Données projet'!D172</f>
        <v>0</v>
      </c>
      <c r="C184" s="202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0</v>
      </c>
      <c r="B185" s="191">
        <f>'Données projet'!D173</f>
        <v>0</v>
      </c>
      <c r="C185" s="202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0</v>
      </c>
      <c r="B186" s="191">
        <f>'Données projet'!D174</f>
        <v>0</v>
      </c>
      <c r="C186" s="202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2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2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2024-12-20T11:40:18Z</dcterms:modified>
</cp:coreProperties>
</file>