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802539\Downloads\"/>
    </mc:Choice>
  </mc:AlternateContent>
  <xr:revisionPtr revIDLastSave="0" documentId="13_ncr:1_{E168A9D8-274B-4D2F-94F0-02EEF009EC7C}" xr6:coauthVersionLast="47" xr6:coauthVersionMax="47" xr10:uidLastSave="{00000000-0000-0000-0000-000000000000}"/>
  <bookViews>
    <workbookView xWindow="13305" yWindow="-16320" windowWidth="29040" windowHeight="15840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" i="5" l="1"/>
  <c r="D138" i="5"/>
  <c r="C138" i="5"/>
  <c r="E126" i="5"/>
  <c r="D126" i="5"/>
  <c r="C126" i="5"/>
  <c r="E125" i="5"/>
  <c r="D125" i="5"/>
  <c r="C125" i="5"/>
  <c r="E124" i="5"/>
  <c r="D124" i="5"/>
  <c r="C124" i="5"/>
  <c r="E123" i="5"/>
  <c r="D123" i="5"/>
  <c r="C123" i="5"/>
  <c r="E122" i="5"/>
  <c r="D122" i="5"/>
  <c r="C122" i="5"/>
  <c r="E121" i="5"/>
  <c r="D121" i="5"/>
  <c r="C121" i="5"/>
  <c r="E117" i="5"/>
  <c r="D117" i="5"/>
  <c r="C117" i="5"/>
  <c r="E116" i="5"/>
  <c r="D116" i="5"/>
  <c r="C116" i="5"/>
  <c r="E111" i="5"/>
  <c r="D111" i="5"/>
  <c r="C111" i="5"/>
  <c r="E99" i="5"/>
  <c r="D99" i="5"/>
  <c r="C99" i="5"/>
  <c r="E98" i="5"/>
  <c r="D98" i="5"/>
  <c r="C98" i="5"/>
  <c r="E97" i="5"/>
  <c r="D97" i="5"/>
  <c r="C97" i="5"/>
  <c r="E96" i="5"/>
  <c r="D96" i="5"/>
  <c r="C96" i="5"/>
  <c r="E94" i="5"/>
  <c r="D94" i="5"/>
  <c r="C94" i="5"/>
  <c r="E90" i="5"/>
  <c r="D90" i="5"/>
  <c r="C90" i="5"/>
  <c r="E89" i="5"/>
  <c r="D89" i="5"/>
  <c r="C89" i="5"/>
  <c r="E84" i="5"/>
  <c r="D84" i="5"/>
  <c r="C84" i="5"/>
  <c r="E83" i="5"/>
  <c r="D83" i="5"/>
  <c r="C83" i="5"/>
  <c r="E81" i="5"/>
  <c r="D81" i="5"/>
  <c r="C81" i="5"/>
  <c r="E72" i="5"/>
  <c r="D72" i="5"/>
  <c r="C72" i="5"/>
  <c r="E71" i="5"/>
  <c r="D71" i="5"/>
  <c r="C71" i="5"/>
  <c r="E70" i="5"/>
  <c r="D70" i="5"/>
  <c r="C70" i="5"/>
  <c r="E69" i="5"/>
  <c r="D69" i="5"/>
  <c r="C69" i="5"/>
  <c r="E67" i="5"/>
  <c r="D67" i="5"/>
  <c r="C67" i="5"/>
  <c r="E63" i="5"/>
  <c r="D63" i="5"/>
  <c r="C63" i="5"/>
  <c r="E62" i="5"/>
  <c r="D62" i="5"/>
  <c r="C62" i="5"/>
  <c r="E57" i="5"/>
  <c r="D57" i="5"/>
  <c r="C57" i="5"/>
  <c r="E56" i="5"/>
  <c r="D56" i="5"/>
  <c r="C56" i="5"/>
  <c r="E54" i="5"/>
  <c r="D54" i="5"/>
  <c r="C54" i="5"/>
  <c r="E45" i="5"/>
  <c r="D45" i="5"/>
  <c r="C45" i="5"/>
  <c r="E44" i="5"/>
  <c r="D44" i="5"/>
  <c r="C44" i="5"/>
  <c r="E43" i="5"/>
  <c r="D43" i="5"/>
  <c r="C43" i="5"/>
  <c r="E42" i="5"/>
  <c r="D42" i="5"/>
  <c r="C42" i="5"/>
  <c r="E40" i="5"/>
  <c r="D40" i="5"/>
  <c r="C40" i="5"/>
  <c r="E36" i="5"/>
  <c r="D36" i="5"/>
  <c r="C36" i="5"/>
  <c r="E35" i="5"/>
  <c r="D35" i="5"/>
  <c r="C35" i="5"/>
  <c r="E30" i="5"/>
  <c r="D30" i="5"/>
  <c r="C30" i="5"/>
  <c r="E29" i="5"/>
  <c r="D29" i="5"/>
  <c r="C29" i="5"/>
  <c r="E27" i="5"/>
  <c r="D27" i="5"/>
  <c r="C27" i="5"/>
  <c r="E18" i="5"/>
  <c r="D18" i="5"/>
  <c r="C18" i="5"/>
  <c r="E17" i="5"/>
  <c r="D17" i="5"/>
  <c r="C17" i="5"/>
  <c r="E16" i="5"/>
  <c r="D16" i="5"/>
  <c r="C16" i="5"/>
  <c r="E15" i="5"/>
  <c r="D15" i="5"/>
  <c r="C15" i="5"/>
  <c r="E13" i="5"/>
  <c r="D13" i="5"/>
  <c r="C13" i="5"/>
  <c r="C17" i="2"/>
  <c r="B17" i="2"/>
  <c r="D11" i="2"/>
  <c r="C11" i="2"/>
  <c r="B11" i="2"/>
  <c r="D9" i="2"/>
  <c r="C9" i="2"/>
  <c r="B9" i="2"/>
  <c r="L22" i="2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F25" i="9" l="1"/>
  <c r="G25" i="9"/>
  <c r="H25" i="9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40" i="5" l="1"/>
  <c r="G59" i="5"/>
  <c r="F86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D25" i="9" l="1"/>
  <c r="E25" i="9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D73" i="5" l="1"/>
  <c r="D76" i="5" s="1"/>
  <c r="D87" i="5" s="1"/>
  <c r="E46" i="5"/>
  <c r="E49" i="5" s="1"/>
  <c r="E60" i="5" s="1"/>
  <c r="K100" i="5"/>
  <c r="K103" i="5" s="1"/>
  <c r="K114" i="5" s="1"/>
  <c r="E73" i="5"/>
  <c r="E76" i="5" s="1"/>
  <c r="E87" i="5" s="1"/>
  <c r="F46" i="5"/>
  <c r="F49" i="5" s="1"/>
  <c r="F60" i="5" s="1"/>
  <c r="D100" i="5"/>
  <c r="D103" i="5" s="1"/>
  <c r="D114" i="5" s="1"/>
  <c r="F73" i="5"/>
  <c r="F76" i="5" s="1"/>
  <c r="F87" i="5" s="1"/>
  <c r="G46" i="5"/>
  <c r="G49" i="5" s="1"/>
  <c r="G60" i="5" s="1"/>
  <c r="C46" i="5"/>
  <c r="C49" i="5" s="1"/>
  <c r="C60" i="5" s="1"/>
  <c r="D127" i="5"/>
  <c r="D130" i="5" s="1"/>
  <c r="D141" i="5" s="1"/>
  <c r="E100" i="5"/>
  <c r="E103" i="5" s="1"/>
  <c r="E114" i="5" s="1"/>
  <c r="G73" i="5"/>
  <c r="G76" i="5" s="1"/>
  <c r="G87" i="5" s="1"/>
  <c r="H46" i="5"/>
  <c r="H49" i="5" s="1"/>
  <c r="H60" i="5" s="1"/>
  <c r="E127" i="5"/>
  <c r="E130" i="5" s="1"/>
  <c r="E141" i="5" s="1"/>
  <c r="F100" i="5"/>
  <c r="F103" i="5" s="1"/>
  <c r="F114" i="5" s="1"/>
  <c r="H73" i="5"/>
  <c r="H76" i="5" s="1"/>
  <c r="H87" i="5" s="1"/>
  <c r="C73" i="5"/>
  <c r="C76" i="5" s="1"/>
  <c r="C87" i="5" s="1"/>
  <c r="I46" i="5"/>
  <c r="I49" i="5" s="1"/>
  <c r="I60" i="5" s="1"/>
  <c r="F127" i="5"/>
  <c r="F130" i="5" s="1"/>
  <c r="F141" i="5" s="1"/>
  <c r="G100" i="5"/>
  <c r="G103" i="5" s="1"/>
  <c r="G114" i="5" s="1"/>
  <c r="C100" i="5"/>
  <c r="C103" i="5" s="1"/>
  <c r="C114" i="5" s="1"/>
  <c r="I73" i="5"/>
  <c r="I76" i="5" s="1"/>
  <c r="I87" i="5" s="1"/>
  <c r="J46" i="5"/>
  <c r="J49" i="5" s="1"/>
  <c r="J60" i="5" s="1"/>
  <c r="D46" i="5"/>
  <c r="D49" i="5" s="1"/>
  <c r="D60" i="5" s="1"/>
  <c r="G127" i="5"/>
  <c r="G130" i="5" s="1"/>
  <c r="G141" i="5" s="1"/>
  <c r="H100" i="5"/>
  <c r="H103" i="5" s="1"/>
  <c r="H114" i="5" s="1"/>
  <c r="J73" i="5"/>
  <c r="J76" i="5" s="1"/>
  <c r="J87" i="5" s="1"/>
  <c r="K46" i="5"/>
  <c r="K49" i="5" s="1"/>
  <c r="K60" i="5" s="1"/>
  <c r="J127" i="5"/>
  <c r="J130" i="5" s="1"/>
  <c r="J141" i="5" s="1"/>
  <c r="H127" i="5"/>
  <c r="H130" i="5" s="1"/>
  <c r="H141" i="5" s="1"/>
  <c r="C127" i="5"/>
  <c r="C130" i="5" s="1"/>
  <c r="C141" i="5" s="1"/>
  <c r="I100" i="5"/>
  <c r="I103" i="5" s="1"/>
  <c r="I114" i="5" s="1"/>
  <c r="K73" i="5"/>
  <c r="K76" i="5" s="1"/>
  <c r="K87" i="5" s="1"/>
  <c r="L46" i="5"/>
  <c r="L49" i="5" s="1"/>
  <c r="L60" i="5" s="1"/>
  <c r="I127" i="5"/>
  <c r="I130" i="5" s="1"/>
  <c r="I141" i="5" s="1"/>
  <c r="J100" i="5"/>
  <c r="J103" i="5" s="1"/>
  <c r="J114" i="5" s="1"/>
  <c r="L73" i="5"/>
  <c r="L76" i="5" s="1"/>
  <c r="L87" i="5" s="1"/>
  <c r="K127" i="5"/>
  <c r="K130" i="5" s="1"/>
  <c r="K141" i="5" s="1"/>
  <c r="L100" i="5"/>
  <c r="L103" i="5" s="1"/>
  <c r="L114" i="5" s="1"/>
  <c r="L127" i="5"/>
  <c r="L130" i="5" s="1"/>
  <c r="L141" i="5" s="1"/>
  <c r="I19" i="5"/>
  <c r="I22" i="5" s="1"/>
  <c r="I33" i="5" s="1"/>
  <c r="J19" i="5"/>
  <c r="J22" i="5" s="1"/>
  <c r="J33" i="5" s="1"/>
  <c r="K19" i="5"/>
  <c r="K22" i="5" s="1"/>
  <c r="K33" i="5" s="1"/>
  <c r="H19" i="5"/>
  <c r="H22" i="5" s="1"/>
  <c r="H33" i="5" s="1"/>
  <c r="L19" i="5"/>
  <c r="L22" i="5" s="1"/>
  <c r="L33" i="5" s="1"/>
  <c r="D19" i="5"/>
  <c r="D22" i="5" s="1"/>
  <c r="D33" i="5" s="1"/>
  <c r="E19" i="5"/>
  <c r="E22" i="5" s="1"/>
  <c r="E33" i="5" s="1"/>
  <c r="F19" i="5"/>
  <c r="F22" i="5" s="1"/>
  <c r="F33" i="5" s="1"/>
  <c r="G19" i="5"/>
  <c r="G22" i="5" s="1"/>
  <c r="G33" i="5" s="1"/>
  <c r="C19" i="5"/>
  <c r="C22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<sst xmlns="http://schemas.openxmlformats.org/spreadsheetml/2006/main" count="900" uniqueCount="353">
  <si>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</si>
  <si>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</si>
  <si>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</si>
  <si>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</si>
  <si>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</si>
  <si>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</si>
  <si>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</si>
  <si>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</si>
  <si>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</si>
  <si>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</si>
  <si>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</si>
  <si>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</si>
  <si>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</si>
  <si>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</si>
  <si>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</si>
  <si>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</si>
  <si>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</si>
  <si>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</si>
  <si>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</si>
  <si>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</si>
  <si>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</si>
  <si>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</si>
  <si>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</si>
  <si>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</si>
  <si>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</si>
  <si>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</si>
  <si>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</si>
  <si>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</si>
  <si>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</si>
  <si>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</si>
  <si>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</si>
  <si>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</si>
  <si>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</si>
  <si>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</si>
  <si>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</si>
  <si>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</si>
  <si>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</si>
  <si>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</si>
  <si>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</si>
  <si>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</si>
  <si>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</si>
  <si>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</si>
  <si>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</si>
  <si>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</si>
  <si>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</si>
  <si>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</si>
  <si>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</si>
  <si>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</si>
  <si>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</si>
  <si>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</si>
  <si>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</si>
  <si>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</si>
  <si>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</si>
  <si>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</si>
  <si>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</si>
  <si>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</si>
  <si>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</si>
  <si>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</si>
  <si>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</si>
  <si>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</si>
  <si>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</si>
  <si>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</si>
  <si>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</si>
  <si>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</si>
  <si>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</si>
  <si>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</si>
  <si>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</si>
  <si>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</si>
  <si>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</si>
  <si>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</si>
  <si>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</si>
  <si>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</si>
  <si>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</si>
  <si>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</si>
  <si>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</si>
  <si>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</si>
  <si>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</si>
  <si>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</si>
  <si>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</si>
  <si>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</si>
  <si>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</si>
  <si>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</si>
  <si>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</si>
  <si>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</si>
  <si>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</si>
  <si>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</si>
  <si>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</si>
  <si>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</si>
  <si>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</si>
  <si>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</si>
  <si>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</si>
  <si>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</si>
  <si>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</si>
  <si>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</si>
  <si>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</si>
  <si>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</si>
  <si>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</si>
  <si>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</si>
  <si>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</si>
  <si>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</si>
  <si>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</si>
  <si>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</si>
  <si>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</si>
  <si>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</si>
  <si>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</si>
  <si>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</si>
  <si>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</si>
  <si>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</si>
  <si>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</si>
  <si>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</si>
  <si>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</si>
  <si>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</si>
  <si>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</si>
  <si>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</si>
  <si>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</si>
  <si>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</si>
  <si>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</si>
  <si>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</si>
  <si>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</si>
  <si>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</si>
  <si>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</si>
  <si>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</si>
  <si>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</si>
  <si>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</si>
  <si>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</si>
  <si>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</si>
  <si>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</si>
  <si>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</si>
  <si>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</si>
  <si>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</si>
  <si>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</si>
  <si>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</si>
  <si>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</si>
  <si>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</si>
  <si>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</si>
  <si>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</si>
  <si>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</si>
  <si>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</si>
  <si>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</si>
  <si>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</si>
  <si>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</si>
  <si>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</si>
  <si>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</si>
  <si>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</si>
  <si>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</si>
  <si>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</si>
  <si>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</si>
  <si>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</si>
  <si>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</si>
  <si>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</si>
  <si>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</si>
  <si>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</si>
  <si>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</si>
  <si>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</si>
  <si>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</si>
  <si>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</si>
  <si>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</si>
  <si>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</si>
  <si>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</si>
  <si>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</si>
  <si>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</si>
  <si>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</si>
  <si>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</si>
  <si>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</si>
  <si>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</si>
  <si>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</si>
  <si>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</si>
  <si>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</si>
  <si>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</si>
  <si>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</si>
  <si>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</si>
  <si>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</si>
  <si>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</si>
  <si>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</si>
  <si>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</si>
  <si>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</si>
  <si>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</si>
  <si>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</si>
  <si>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</si>
  <si>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</si>
  <si>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</si>
  <si>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</si>
  <si>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</si>
  <si>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</si>
  <si>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</si>
  <si>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</si>
  <si>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</si>
  <si>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</si>
  <si>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</si>
  <si>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</si>
  <si>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</si>
  <si>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</si>
  <si>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</si>
  <si>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</si>
  <si>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</si>
  <si>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</si>
  <si>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</si>
  <si>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</si>
  <si>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</si>
  <si>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</si>
  <si>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</si>
  <si>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</si>
  <si>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</si>
  <si>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</si>
  <si>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</si>
  <si>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</si>
  <si>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</si>
  <si>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</si>
  <si>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</si>
  <si>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</si>
  <si>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</si>
  <si>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</si>
  <si>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</si>
  <si>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</si>
  <si>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</si>
  <si>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</si>
  <si>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</si>
  <si>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</si>
  <si>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</si>
  <si>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</si>
  <si>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</si>
  <si>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</si>
  <si>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</si>
  <si>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</si>
  <si>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</si>
  <si>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</si>
  <si>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</si>
  <si>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</si>
  <si>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</si>
  <si>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</si>
  <si>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</si>
  <si>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</si>
  <si>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</si>
  <si>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</si>
  <si>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</si>
  <si>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</si>
  <si>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</si>
  <si>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</si>
  <si>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</si>
  <si>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</si>
  <si>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</si>
  <si>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</si>
  <si>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</si>
  <si>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</si>
  <si>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</si>
  <si>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</si>
  <si>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</si>
  <si>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</si>
  <si>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</si>
  <si>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</si>
  <si>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</si>
  <si>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</si>
  <si>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</si>
  <si>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</si>
  <si>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</si>
  <si>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</si>
  <si>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</si>
  <si>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</si>
  <si>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</si>
  <si>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</si>
  <si>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</si>
  <si>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</si>
  <si>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</si>
  <si>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</si>
  <si>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</si>
  <si>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</si>
  <si>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</si>
  <si>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</si>
  <si>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</si>
  <si>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</si>
  <si>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</si>
  <si>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</si>
  <si>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</si>
  <si>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</si>
  <si>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</si>
  <si>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</si>
  <si>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</si>
  <si>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</si>
  <si>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</si>
  <si>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</si>
  <si>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</si>
  <si>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</si>
  <si>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</si>
  <si>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</si>
  <si>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</si>
  <si>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</si>
  <si>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</si>
  <si>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</si>
  <si>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</si>
  <si>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</si>
  <si>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</si>
  <si>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</si>
  <si>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</si>
  <si>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</si>
  <si>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</si>
  <si>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</si>
  <si>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</si>
  <si>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</si>
  <si>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</si>
  <si>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</si>
  <si>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</si>
  <si>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</si>
  <si>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</si>
  <si>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</si>
  <si>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</si>
  <si>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</si>
  <si>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</si>
  <si>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</si>
  <si>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</si>
  <si>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</si>
  <si>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</si>
  <si>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</si>
  <si>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</si>
  <si>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</si>
  <si>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</si>
  <si>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</si>
  <si>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</si>
  <si>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</si>
  <si>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</si>
  <si>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</si>
  <si>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</si>
  <si>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</si>
  <si>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</si>
  <si>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</si>
  <si>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</si>
  <si>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</si>
  <si>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</si>
  <si>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</si>
  <si>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</si>
  <si>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</si>
  <si>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</si>
  <si>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</si>
  <si>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</si>
  <si>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</si>
  <si>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</si>
  <si>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</si>
  <si>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</si>
  <si>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</si>
  <si>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</si>
  <si>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</si>
  <si>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</si>
  <si>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</si>
  <si>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</si>
  <si>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</si>
  <si>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</si>
  <si>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</si>
  <si>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</si>
  <si>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</si>
  <si>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</si>
  <si>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</si>
  <si>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</si>
  <si>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GRANDPUITS BAIILY CARROIS</t>
  </si>
  <si>
    <t>GRANDPUITS BAILLY CARROIS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</si>
</sst>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24" fillId="11" borderId="23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 applyProtection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invivogroup.sharepoint.com/sites/Carbon_Co_Arbo_hors_CDA/Documents%20partages/General/Dossier_labellisation_2023/PLANTATION%20DE%20VERGERS%202021/&#224;%20d&#233;poser%20Vincent%20LINSTRUMELLE/Document_0_Ter_Guideline_Methode_LBC_Verger_Arbo_BOUVRAIN.xlsx?F788C490" TargetMode="External"/><Relationship Id="rId1" Type="http://schemas.openxmlformats.org/officeDocument/2006/relationships/externalLinkPath" Target="file:///\\F788C490\Document_0_Ter_Guideline_Methode_LBC_Verger_Arbo_BOUVRA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ice document"/>
      <sheetName val="Onglet 1"/>
      <sheetName val="Onglet 2"/>
      <sheetName val="Onglet 3"/>
      <sheetName val="Onglet 4"/>
      <sheetName val="Onglet 4 bis "/>
      <sheetName val="Onglet 5"/>
      <sheetName val="Onglet 6"/>
      <sheetName val="Listes"/>
    </sheetNames>
    <sheetDataSet>
      <sheetData sheetId="0" refreshError="1"/>
      <sheetData sheetId="1" refreshError="1"/>
      <sheetData sheetId="2" refreshError="1">
        <row r="7">
          <cell r="B7">
            <v>16.5</v>
          </cell>
        </row>
        <row r="14">
          <cell r="B14" t="str">
            <v>Noisetier</v>
          </cell>
          <cell r="C14" t="str">
            <v>Noisetier</v>
          </cell>
          <cell r="D14" t="str">
            <v>Noisetier</v>
          </cell>
        </row>
        <row r="15">
          <cell r="B15" t="str">
            <v>Gobelet</v>
          </cell>
          <cell r="C15" t="str">
            <v>Gobelet</v>
          </cell>
          <cell r="D15" t="str">
            <v>Gobelet</v>
          </cell>
        </row>
        <row r="21">
          <cell r="B21" t="str">
            <v>Blé tendre, conventionnel – Moyenne nationale (France)</v>
          </cell>
          <cell r="C21" t="str">
            <v>Blé tendre, conventionnel – Moyenne nationale (France)</v>
          </cell>
        </row>
      </sheetData>
      <sheetData sheetId="3" refreshError="1"/>
      <sheetData sheetId="4" refreshError="1">
        <row r="7">
          <cell r="C7">
            <v>9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7">
          <cell r="C67">
            <v>0</v>
          </cell>
          <cell r="D67">
            <v>0</v>
          </cell>
          <cell r="E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100</v>
          </cell>
          <cell r="D96">
            <v>100</v>
          </cell>
          <cell r="E96">
            <v>100</v>
          </cell>
        </row>
        <row r="97">
          <cell r="C97">
            <v>0</v>
          </cell>
          <cell r="D97">
            <v>0</v>
          </cell>
          <cell r="E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109" t="s">
        <v>311</v>
      </c>
      <c r="L3" s="109"/>
      <c r="M3" s="109"/>
      <c r="N3" s="109"/>
      <c r="O3" s="109"/>
      <c r="P3" s="109"/>
    </row>
    <row r="4" spans="2:16" x14ac:dyDescent="0.3">
      <c r="K4" s="109"/>
      <c r="L4" s="109"/>
      <c r="M4" s="109"/>
      <c r="N4" s="109"/>
      <c r="O4" s="109"/>
      <c r="P4" s="109"/>
    </row>
    <row r="5" spans="2:16" x14ac:dyDescent="0.3">
      <c r="K5" s="109"/>
      <c r="L5" s="109"/>
      <c r="M5" s="109"/>
      <c r="N5" s="109"/>
      <c r="O5" s="109"/>
      <c r="P5" s="109"/>
    </row>
    <row r="7" spans="2:16" ht="15" customHeight="1" x14ac:dyDescent="0.3">
      <c r="B7" s="110" t="s">
        <v>310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2:16" ht="15" customHeight="1" x14ac:dyDescent="0.3"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</row>
    <row r="9" spans="2:16" ht="15" customHeight="1" x14ac:dyDescent="0.3"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1" spans="2:16" ht="15" customHeight="1" x14ac:dyDescent="0.3">
      <c r="B11" s="111" t="s">
        <v>335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3"/>
    </row>
    <row r="12" spans="2:16" ht="15" customHeight="1" x14ac:dyDescent="0.3">
      <c r="B12" s="114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6"/>
    </row>
    <row r="13" spans="2:16" ht="15" customHeight="1" x14ac:dyDescent="0.3">
      <c r="B13" s="114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6"/>
    </row>
    <row r="14" spans="2:16" ht="15" customHeight="1" x14ac:dyDescent="0.3">
      <c r="B14" s="11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</row>
    <row r="15" spans="2:16" ht="15" customHeight="1" x14ac:dyDescent="0.3">
      <c r="B15" s="11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6"/>
    </row>
    <row r="16" spans="2:16" ht="15" customHeight="1" x14ac:dyDescent="0.3"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6"/>
    </row>
    <row r="17" spans="2:16" ht="15" customHeight="1" x14ac:dyDescent="0.3">
      <c r="B17" s="11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</row>
    <row r="18" spans="2:16" ht="15" customHeight="1" x14ac:dyDescent="0.3">
      <c r="B18" s="11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6"/>
    </row>
    <row r="19" spans="2:16" ht="15" customHeight="1" x14ac:dyDescent="0.3">
      <c r="B19" s="11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6"/>
    </row>
    <row r="20" spans="2:16" ht="15" customHeight="1" x14ac:dyDescent="0.3">
      <c r="B20" s="11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6"/>
    </row>
    <row r="21" spans="2:16" ht="15" customHeight="1" x14ac:dyDescent="0.3">
      <c r="B21" s="11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6"/>
    </row>
    <row r="22" spans="2:16" ht="15" customHeight="1" x14ac:dyDescent="0.3">
      <c r="B22" s="11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6"/>
    </row>
    <row r="23" spans="2:16" ht="15" customHeight="1" x14ac:dyDescent="0.3">
      <c r="B23" s="11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6"/>
    </row>
    <row r="24" spans="2:16" ht="15" customHeight="1" x14ac:dyDescent="0.3">
      <c r="B24" s="11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6"/>
    </row>
    <row r="25" spans="2:16" ht="15.75" customHeight="1" x14ac:dyDescent="0.3">
      <c r="B25" s="11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6"/>
    </row>
    <row r="26" spans="2:16" ht="15.75" customHeight="1" x14ac:dyDescent="0.3">
      <c r="B26" s="11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6"/>
    </row>
    <row r="27" spans="2:16" ht="15.75" customHeight="1" x14ac:dyDescent="0.3">
      <c r="B27" s="11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6"/>
    </row>
    <row r="28" spans="2:16" ht="15.75" customHeight="1" x14ac:dyDescent="0.3">
      <c r="B28" s="114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6"/>
    </row>
    <row r="29" spans="2:16" ht="15.75" customHeight="1" x14ac:dyDescent="0.3">
      <c r="B29" s="114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6"/>
    </row>
    <row r="30" spans="2:16" ht="15.75" customHeight="1" x14ac:dyDescent="0.3"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9"/>
    </row>
    <row r="32" spans="2:16" ht="22.5" customHeight="1" x14ac:dyDescent="0.3">
      <c r="B32" s="110" t="s">
        <v>340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</row>
    <row r="33" spans="2:16" x14ac:dyDescent="0.3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</row>
    <row r="34" spans="2:16" x14ac:dyDescent="0.3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287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347</v>
      </c>
    </row>
    <row r="38" spans="6:6" x14ac:dyDescent="0.3">
      <c r="F38" s="8" t="s">
        <v>107</v>
      </c>
    </row>
    <row r="39" spans="6:6" x14ac:dyDescent="0.3">
      <c r="F39" s="8" t="s">
        <v>108</v>
      </c>
    </row>
    <row r="40" spans="6:6" x14ac:dyDescent="0.3">
      <c r="F40" s="8" t="s">
        <v>109</v>
      </c>
    </row>
    <row r="41" spans="6:6" x14ac:dyDescent="0.3">
      <c r="F41" s="8" t="s">
        <v>110</v>
      </c>
    </row>
    <row r="42" spans="6:6" x14ac:dyDescent="0.3">
      <c r="F42" s="8" t="s">
        <v>111</v>
      </c>
    </row>
    <row r="43" spans="6:6" x14ac:dyDescent="0.3">
      <c r="F43" s="8" t="s">
        <v>112</v>
      </c>
    </row>
    <row r="44" spans="6:6" x14ac:dyDescent="0.3">
      <c r="F44" s="8" t="s">
        <v>113</v>
      </c>
    </row>
    <row r="45" spans="6:6" x14ac:dyDescent="0.3">
      <c r="F45" s="8" t="s">
        <v>114</v>
      </c>
    </row>
    <row r="46" spans="6:6" x14ac:dyDescent="0.3">
      <c r="F46" s="8" t="s">
        <v>115</v>
      </c>
    </row>
    <row r="47" spans="6:6" x14ac:dyDescent="0.3">
      <c r="F47" s="8" t="s">
        <v>116</v>
      </c>
    </row>
    <row r="48" spans="6:6" x14ac:dyDescent="0.3">
      <c r="F48" s="8" t="s">
        <v>117</v>
      </c>
    </row>
    <row r="49" spans="6:6" x14ac:dyDescent="0.3">
      <c r="F49" s="8" t="s">
        <v>118</v>
      </c>
    </row>
    <row r="50" spans="6:6" x14ac:dyDescent="0.3">
      <c r="F50" s="8" t="s">
        <v>119</v>
      </c>
    </row>
    <row r="51" spans="6:6" x14ac:dyDescent="0.3">
      <c r="F51" s="8" t="s">
        <v>120</v>
      </c>
    </row>
    <row r="52" spans="6:6" x14ac:dyDescent="0.3">
      <c r="F52" s="8" t="s">
        <v>121</v>
      </c>
    </row>
    <row r="53" spans="6:6" x14ac:dyDescent="0.3">
      <c r="F53" s="8" t="s">
        <v>122</v>
      </c>
    </row>
    <row r="54" spans="6:6" x14ac:dyDescent="0.3">
      <c r="F54" s="8" t="s">
        <v>123</v>
      </c>
    </row>
    <row r="55" spans="6:6" x14ac:dyDescent="0.3">
      <c r="F55" s="8" t="s">
        <v>124</v>
      </c>
    </row>
    <row r="56" spans="6:6" x14ac:dyDescent="0.3">
      <c r="F56" s="8" t="s">
        <v>125</v>
      </c>
    </row>
    <row r="57" spans="6:6" x14ac:dyDescent="0.3">
      <c r="F57" s="8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zoomScale="70" zoomScaleNormal="70" workbookViewId="0">
      <selection activeCell="B22" sqref="B22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23" t="s">
        <v>339</v>
      </c>
      <c r="B2" s="124"/>
      <c r="C2" s="32" t="s">
        <v>337</v>
      </c>
      <c r="D2" s="8"/>
      <c r="E2" s="8"/>
      <c r="F2" s="8"/>
      <c r="G2" s="8"/>
      <c r="H2" s="8"/>
      <c r="I2" s="8"/>
      <c r="J2" s="8"/>
      <c r="K2" s="8"/>
      <c r="AG2" s="2" t="s">
        <v>338</v>
      </c>
    </row>
    <row r="3" spans="1:52" x14ac:dyDescent="0.3">
      <c r="A3" s="2"/>
      <c r="AG3" s="2" t="s">
        <v>337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20" t="s">
        <v>331</v>
      </c>
      <c r="B5" s="121"/>
      <c r="C5" s="121"/>
      <c r="D5" s="121"/>
      <c r="E5" s="121"/>
      <c r="F5" s="121"/>
      <c r="G5" s="121"/>
      <c r="H5" s="121"/>
      <c r="I5" s="121"/>
      <c r="J5" s="121"/>
      <c r="K5" s="12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341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288</v>
      </c>
      <c r="B7" s="1" t="s">
        <v>351</v>
      </c>
      <c r="C7" s="1" t="s">
        <v>352</v>
      </c>
      <c r="D7" s="1" t="s">
        <v>352</v>
      </c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6">
        <v>4.1100000000000003</v>
      </c>
      <c r="C8" s="26">
        <v>0.71399999999999997</v>
      </c>
      <c r="D8" s="26">
        <v>3.464</v>
      </c>
      <c r="E8" s="26"/>
      <c r="F8" s="26"/>
      <c r="G8" s="26"/>
      <c r="H8" s="26"/>
      <c r="I8" s="26"/>
      <c r="J8" s="26"/>
      <c r="K8" s="26"/>
      <c r="L8" s="103">
        <f>SUM(B8:K8)</f>
        <v>8.2880000000000003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309</v>
      </c>
      <c r="B9" s="1" t="str">
        <f>'[1]Onglet 2'!B14</f>
        <v>Noisetier</v>
      </c>
      <c r="C9" s="1" t="str">
        <f>'[1]Onglet 2'!C14</f>
        <v>Noisetier</v>
      </c>
      <c r="D9" s="1" t="str">
        <f>'[1]Onglet 2'!D14</f>
        <v>Noisetier</v>
      </c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tr">
        <f>'[1]Onglet 2'!$B$15</f>
        <v>Gobelet</v>
      </c>
      <c r="C11" s="1" t="str">
        <f>'[1]Onglet 2'!$C$15</f>
        <v>Gobelet</v>
      </c>
      <c r="D11" s="1" t="str">
        <f>'[1]Onglet 2'!$D$15</f>
        <v>Gobelet</v>
      </c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290</v>
      </c>
      <c r="B12" s="1">
        <v>360</v>
      </c>
      <c r="C12" s="1">
        <v>360</v>
      </c>
      <c r="D12" s="1">
        <v>360</v>
      </c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6</v>
      </c>
      <c r="C13" s="27" t="s">
        <v>6</v>
      </c>
      <c r="D13" s="27" t="s">
        <v>6</v>
      </c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291</v>
      </c>
      <c r="B14" s="1">
        <v>20</v>
      </c>
      <c r="C14" s="1">
        <v>20</v>
      </c>
      <c r="D14" s="1">
        <v>20</v>
      </c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0.92</v>
      </c>
      <c r="C15" s="29">
        <v>0.92</v>
      </c>
      <c r="D15" s="29">
        <v>0.92</v>
      </c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ht="31.2" x14ac:dyDescent="0.3">
      <c r="A16" s="3" t="s">
        <v>8</v>
      </c>
      <c r="B16" s="1" t="s">
        <v>0</v>
      </c>
      <c r="C16" s="1" t="s">
        <v>0</v>
      </c>
      <c r="D16" s="1" t="s">
        <v>0</v>
      </c>
      <c r="E16" s="1"/>
      <c r="F16" s="1"/>
      <c r="G16" s="1"/>
      <c r="H16" s="1"/>
      <c r="I16" s="1"/>
      <c r="J16" s="1"/>
      <c r="K16" s="1"/>
      <c r="L16" s="104" t="s">
        <v>346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7.6" x14ac:dyDescent="0.3">
      <c r="A17" s="4" t="s">
        <v>343</v>
      </c>
      <c r="B17" s="1" t="str">
        <f>'[1]Onglet 2'!B21</f>
        <v>Blé tendre, conventionnel – Moyenne nationale (France)</v>
      </c>
      <c r="C17" s="1" t="str">
        <f>'[1]Onglet 2'!C21</f>
        <v>Blé tendre, conventionnel – Moyenne nationale (France)</v>
      </c>
      <c r="D17" s="1" t="s">
        <v>76</v>
      </c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7.6" x14ac:dyDescent="0.3">
      <c r="A18" s="4" t="s">
        <v>344</v>
      </c>
      <c r="B18" s="1" t="s">
        <v>100</v>
      </c>
      <c r="C18" s="1" t="s">
        <v>100</v>
      </c>
      <c r="D18" s="1" t="s">
        <v>100</v>
      </c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7.6" x14ac:dyDescent="0.3">
      <c r="A19" s="4" t="s">
        <v>345</v>
      </c>
      <c r="B19" s="1" t="s">
        <v>107</v>
      </c>
      <c r="C19" s="1" t="s">
        <v>107</v>
      </c>
      <c r="D19" s="1" t="s">
        <v>107</v>
      </c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>
        <v>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v>8.2899999999999991</v>
      </c>
      <c r="C21" s="17"/>
      <c r="D21" s="17"/>
      <c r="E21" s="17"/>
      <c r="F21" s="17"/>
      <c r="G21" s="17"/>
      <c r="H21" s="17"/>
      <c r="I21" s="17"/>
      <c r="J21" s="17"/>
      <c r="K21" s="17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6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86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86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86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86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86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86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86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86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86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86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86" t="str">
        <f>IF(AND($B$8&gt;0,$B20=""),"Il manque des données ligne 20","")</f>
        <v/>
      </c>
      <c r="M22" s="86" t="str">
        <f>IF(AND($B$8&gt;0,$B21=""),"Il manque des données ligne 21","")</f>
        <v/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20" t="s">
        <v>308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2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 t="shared" ref="B26:K26" si="0">CONCATENATE(B9," - ",B11)</f>
        <v>Noisetier - Gobelet</v>
      </c>
      <c r="C26" s="11" t="str">
        <f t="shared" si="0"/>
        <v>Noisetier - Gobelet</v>
      </c>
      <c r="D26" s="11" t="str">
        <f t="shared" si="0"/>
        <v>Noisetier - Gobelet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>
        <f>IF(B12="","",VLOOKUP(B26,'(ne pas modifier) BDD_REF'!$C$21:$D$42,2,FALSE))</f>
        <v>250</v>
      </c>
      <c r="C27" s="12">
        <f>IF(C12="","",VLOOKUP(C26,'(ne pas modifier) BDD_REF'!$C$21:$D$42,2,FALSE))</f>
        <v>250</v>
      </c>
      <c r="D27" s="12">
        <f>IF(D12="","",VLOOKUP(D26,'(ne pas modifier) BDD_REF'!$C$21:$D$42,2,FALSE))</f>
        <v>250</v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289</v>
      </c>
      <c r="B28" s="13" t="str">
        <f t="shared" ref="B28:K28" si="1">IF(B12="","",IF(B12&gt;=B27,"OUI","NON"))</f>
        <v>OUI</v>
      </c>
      <c r="C28" s="13" t="str">
        <f t="shared" si="1"/>
        <v>OUI</v>
      </c>
      <c r="D28" s="13" t="str">
        <f t="shared" si="1"/>
        <v>OUI</v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idden="1" x14ac:dyDescent="0.3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>Hors climat Mediterranéen - Grandes cultures</v>
      </c>
      <c r="D34" s="46" t="str">
        <f>CONCATENATE(Eligibilité_projet!D13," - ",Eligibilité_projet!D16)</f>
        <v>Hors climat Mediterranéen - Grandes cultures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idden="1" x14ac:dyDescent="0.3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>20 - Grandes cultures-Hors climat Mediterranéen</v>
      </c>
      <c r="D35" s="46" t="str">
        <f>CONCATENATE(Eligibilité_projet!D14," - ",Eligibilité_projet!D16,"-",Eligibilité_projet!D13)</f>
        <v>20 - Grandes cultures-Hors climat Mediterranéen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302</v>
      </c>
      <c r="B36" s="47">
        <f>RECant_sol!C9</f>
        <v>60.521120000000003</v>
      </c>
      <c r="C36" s="47">
        <f>RECant_sol!D9</f>
        <v>10.513888</v>
      </c>
      <c r="D36" s="47">
        <f>RECant_sol!E9</f>
        <v>51.008554666666669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122.04356266666667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303</v>
      </c>
      <c r="B37" s="48">
        <f>RECant_biom!C28</f>
        <v>168.56871428571432</v>
      </c>
      <c r="C37" s="48">
        <f>RECant_biom!D28</f>
        <v>29.284199999999998</v>
      </c>
      <c r="D37" s="47">
        <f>RECant_biom!E28</f>
        <v>142.07348571428574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339.92640000000006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226</v>
      </c>
      <c r="B38" s="48">
        <f t="shared" ref="B38:K38" si="3">IF(B36="","",B36+B37)</f>
        <v>229.08983428571432</v>
      </c>
      <c r="C38" s="48">
        <f t="shared" si="3"/>
        <v>39.798088</v>
      </c>
      <c r="D38" s="47">
        <f t="shared" si="3"/>
        <v>193.08204038095241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461.96996266666667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>OUI</v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>OUI</v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ht="45.75" customHeight="1" x14ac:dyDescent="0.3">
      <c r="A46" s="7" t="s">
        <v>61</v>
      </c>
      <c r="B46" s="108" t="str">
        <f>IF(B13="","",IF(AND(B13="Hors climat Mediterranéen",B16="Prairies "),"Parcelle non éligible", "OUI"))</f>
        <v>OUI</v>
      </c>
      <c r="C46" s="108" t="str">
        <f t="shared" ref="C46:K46" si="6">IF(C13="","",IF(AND(C13="Hors climat Mediterranéen",C16="Prairies "),"Parcelle non éligible", "OUI"))</f>
        <v>OUI</v>
      </c>
      <c r="D46" s="108" t="str">
        <f t="shared" si="6"/>
        <v>OUI</v>
      </c>
      <c r="E46" s="13" t="str">
        <f t="shared" si="6"/>
        <v/>
      </c>
      <c r="F46" s="13" t="str">
        <f t="shared" si="6"/>
        <v/>
      </c>
      <c r="G46" s="13" t="str">
        <f t="shared" si="6"/>
        <v/>
      </c>
      <c r="H46" s="13" t="str">
        <f t="shared" si="6"/>
        <v/>
      </c>
      <c r="I46" s="13" t="str">
        <f t="shared" si="6"/>
        <v/>
      </c>
      <c r="J46" s="13" t="str">
        <f t="shared" si="6"/>
        <v/>
      </c>
      <c r="K46" s="13" t="str">
        <f t="shared" si="6"/>
        <v/>
      </c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7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151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2.3627624050936333</v>
      </c>
      <c r="C5" s="16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2.3627624050936333</v>
      </c>
      <c r="D5" s="16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2.6463821617547665</v>
      </c>
      <c r="E5" s="16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6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6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6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6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6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6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6">
        <f>SUM(B5:K5)</f>
        <v>7.3719069719420336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BDD_REF'!$A$195:$B$204,2,FALSE)/1000)</f>
        <v>0</v>
      </c>
      <c r="C6" s="16">
        <f>IF(Eligibilité_projet!C10="",0,VLOOKUP(Eligibilité_projet!C10,'(ne pas modifier) BDD_REF'!$A$195:$B$204,2,FALSE)/1000)</f>
        <v>0</v>
      </c>
      <c r="D6" s="16">
        <f>IF(Eligibilité_projet!D10="",0,VLOOKUP(Eligibilité_projet!D10,'(ne pas modifier) BDD_REF'!$A$195:$B$204,2,FALSE)/1000)</f>
        <v>0</v>
      </c>
      <c r="E6" s="16">
        <f>IF(Eligibilité_projet!E10="",0,VLOOKUP(Eligibilité_projet!E10,'(ne pas modifier) BDD_REF'!$A$195:$B$204,2,FALSE)/1000)</f>
        <v>0</v>
      </c>
      <c r="F6" s="16">
        <f>IF(Eligibilité_projet!F10="",0,VLOOKUP(Eligibilité_projet!F10,'(ne pas modifier) BDD_REF'!$A$195:$B$204,2,FALSE)/1000)</f>
        <v>0</v>
      </c>
      <c r="G6" s="16">
        <f>IF(Eligibilité_projet!G10="",0,VLOOKUP(Eligibilité_projet!G10,'(ne pas modifier) BDD_REF'!$A$195:$B$204,2,FALSE)/1000)</f>
        <v>0</v>
      </c>
      <c r="H6" s="16">
        <f>IF(Eligibilité_projet!H10="",0,VLOOKUP(Eligibilité_projet!H10,'(ne pas modifier) BDD_REF'!$A$195:$B$204,2,FALSE)/1000)</f>
        <v>0</v>
      </c>
      <c r="I6" s="16">
        <f>IF(Eligibilité_projet!I10="",0,VLOOKUP(Eligibilité_projet!I10,'(ne pas modifier) BDD_REF'!$A$195:$B$204,2,FALSE)/1000)</f>
        <v>0</v>
      </c>
      <c r="J6" s="16">
        <f>IF(Eligibilité_projet!J10="",0,VLOOKUP(Eligibilité_projet!J10,'(ne pas modifier) BDD_REF'!$A$195:$B$204,2,FALSE)/1000)</f>
        <v>0</v>
      </c>
      <c r="K6" s="16">
        <f>IF(Eligibilité_projet!K10="",0,VLOOKUP(Eligibilité_projet!K10,'(ne pas modifier) BDD_REF'!$A$195:$B$204,2,FALSE)/1000)</f>
        <v>0</v>
      </c>
      <c r="L6" s="16">
        <f>SUM(B6:K6)</f>
        <v>0</v>
      </c>
      <c r="M6" s="2"/>
      <c r="N6" s="2"/>
    </row>
    <row r="7" spans="1:14" x14ac:dyDescent="0.3">
      <c r="A7" s="3" t="s">
        <v>223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-48.554767424674168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-8.4350617861842707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-45.835339041592555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-102.82516825245099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87" zoomScale="70" zoomScaleNormal="70" workbookViewId="0">
      <selection activeCell="T116" sqref="T116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28" t="s">
        <v>336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</row>
    <row r="5" spans="1:15" s="8" customFormat="1" x14ac:dyDescent="0.3">
      <c r="A5" s="18"/>
      <c r="B5" s="3" t="s">
        <v>145</v>
      </c>
      <c r="C5" s="42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2.3627624050936333</v>
      </c>
      <c r="D5" s="42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2.3627624050936333</v>
      </c>
      <c r="E5" s="42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2.6463821617547665</v>
      </c>
      <c r="F5" s="42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42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42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42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42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42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42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42">
        <f>SUM(C5:L5)</f>
        <v>7.3719069719420336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146</v>
      </c>
      <c r="B7" s="7" t="s">
        <v>312</v>
      </c>
      <c r="C7" s="93">
        <v>15</v>
      </c>
      <c r="D7" s="93">
        <v>15</v>
      </c>
      <c r="E7" s="93">
        <v>15</v>
      </c>
      <c r="F7" s="93"/>
      <c r="G7" s="93"/>
      <c r="H7" s="93"/>
      <c r="I7" s="93"/>
      <c r="J7" s="93"/>
      <c r="K7" s="93"/>
      <c r="L7" s="93"/>
      <c r="M7" s="42">
        <f t="shared" ref="M7:M38" si="0">SUM(C7:L7)</f>
        <v>45</v>
      </c>
    </row>
    <row r="8" spans="1:15" x14ac:dyDescent="0.3">
      <c r="B8" s="7" t="s">
        <v>313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42">
        <f t="shared" si="0"/>
        <v>0</v>
      </c>
    </row>
    <row r="9" spans="1:15" x14ac:dyDescent="0.3">
      <c r="B9" s="7" t="s">
        <v>314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42">
        <f t="shared" si="0"/>
        <v>0</v>
      </c>
    </row>
    <row r="10" spans="1:15" x14ac:dyDescent="0.3">
      <c r="B10" s="20" t="s">
        <v>328</v>
      </c>
      <c r="C10" s="42">
        <f>C7*'(ne pas modifier) BDD_REF'!$B$207 + (C8+C9)*'(ne pas modifier) BDD_REF'!$B$208</f>
        <v>0.24</v>
      </c>
      <c r="D10" s="42">
        <f>D7*'(ne pas modifier) BDD_REF'!$B$207 + (D8+D9)*'(ne pas modifier) BDD_REF'!$B$208</f>
        <v>0.24</v>
      </c>
      <c r="E10" s="42">
        <f>E7*'(ne pas modifier) BDD_REF'!$B$207 + (E8+E9)*'(ne pas modifier) BDD_REF'!$B$208</f>
        <v>0.24</v>
      </c>
      <c r="F10" s="42">
        <f>F7*'(ne pas modifier) BDD_REF'!$B$207 + (F8+F9)*'(ne pas modifier) BDD_REF'!$B$208</f>
        <v>0</v>
      </c>
      <c r="G10" s="42">
        <f>G7*'(ne pas modifier) BDD_REF'!$B$207 + (G8+G9)*'(ne pas modifier) BDD_REF'!$B$208</f>
        <v>0</v>
      </c>
      <c r="H10" s="42">
        <f>H7*'(ne pas modifier) BDD_REF'!$B$207 + (H8+H9)*'(ne pas modifier) BDD_REF'!$B$208</f>
        <v>0</v>
      </c>
      <c r="I10" s="42">
        <f>I7*'(ne pas modifier) BDD_REF'!$B$207 + (I8+I9)*'(ne pas modifier) BDD_REF'!$B$208</f>
        <v>0</v>
      </c>
      <c r="J10" s="42">
        <f>J7*'(ne pas modifier) BDD_REF'!$B$207 + (J8+J9)*'(ne pas modifier) BDD_REF'!$B$208</f>
        <v>0</v>
      </c>
      <c r="K10" s="42">
        <f>K7*'(ne pas modifier) BDD_REF'!$B$207 + (K8+K9)*'(ne pas modifier) BDD_REF'!$B$208</f>
        <v>0</v>
      </c>
      <c r="L10" s="42">
        <f>L7*'(ne pas modifier) BDD_REF'!$B$207 + (L8+L9)*'(ne pas modifier) BDD_REF'!$B$208</f>
        <v>0</v>
      </c>
      <c r="M10" s="42">
        <f t="shared" si="0"/>
        <v>0.72</v>
      </c>
    </row>
    <row r="11" spans="1:15" x14ac:dyDescent="0.3">
      <c r="B11" s="20" t="s">
        <v>329</v>
      </c>
      <c r="C11" s="42">
        <f>((C7*'(ne pas modifier) BDD_REF'!$B$220)+('RECeff + REIamont (2)'!C8+'RECeff + REIamont (2)'!C9)*'(ne pas modifier) BDD_REF'!$B$221)*'(ne pas modifier) BDD_REF'!$B$209</f>
        <v>1.6500000000000001E-2</v>
      </c>
      <c r="D11" s="42">
        <f>((D7*'(ne pas modifier) BDD_REF'!$B$220)+('RECeff + REIamont (2)'!D8+'RECeff + REIamont (2)'!D9)*'(ne pas modifier) BDD_REF'!$B$221)*'(ne pas modifier) BDD_REF'!$B$209</f>
        <v>1.6500000000000001E-2</v>
      </c>
      <c r="E11" s="42">
        <f>((E7*'(ne pas modifier) BDD_REF'!$B$220)+('RECeff + REIamont (2)'!E8+'RECeff + REIamont (2)'!E9)*'(ne pas modifier) BDD_REF'!$B$221)*'(ne pas modifier) BDD_REF'!$B$209</f>
        <v>1.6500000000000001E-2</v>
      </c>
      <c r="F11" s="42">
        <f>((F7*'(ne pas modifier) BDD_REF'!$B$220)+('RECeff + REIamont (2)'!F8+'RECeff + REIamont (2)'!F9)*'(ne pas modifier) BDD_REF'!$B$221)*'(ne pas modifier) BDD_REF'!$B$209</f>
        <v>0</v>
      </c>
      <c r="G11" s="42">
        <f>((G7*'(ne pas modifier) BDD_REF'!$B$220)+('RECeff + REIamont (2)'!G8+'RECeff + REIamont (2)'!G9)*'(ne pas modifier) BDD_REF'!$B$221)*'(ne pas modifier) BDD_REF'!$B$209</f>
        <v>0</v>
      </c>
      <c r="H11" s="42">
        <f>((H7*'(ne pas modifier) BDD_REF'!$B$220)+('RECeff + REIamont (2)'!H8+'RECeff + REIamont (2)'!H9)*'(ne pas modifier) BDD_REF'!$B$221)*'(ne pas modifier) BDD_REF'!$B$209</f>
        <v>0</v>
      </c>
      <c r="I11" s="42">
        <f>((I7*'(ne pas modifier) BDD_REF'!$B$220)+('RECeff + REIamont (2)'!I8+'RECeff + REIamont (2)'!I9)*'(ne pas modifier) BDD_REF'!$B$221)*'(ne pas modifier) BDD_REF'!$B$209</f>
        <v>0</v>
      </c>
      <c r="J11" s="42">
        <f>((J7*'(ne pas modifier) BDD_REF'!$B$220)+('RECeff + REIamont (2)'!J8+'RECeff + REIamont (2)'!J9)*'(ne pas modifier) BDD_REF'!$B$221)*'(ne pas modifier) BDD_REF'!$B$209</f>
        <v>0</v>
      </c>
      <c r="K11" s="42">
        <f>((K7*'(ne pas modifier) BDD_REF'!$B$220)+('RECeff + REIamont (2)'!K8+'RECeff + REIamont (2)'!K9)*'(ne pas modifier) BDD_REF'!$B$221)*'(ne pas modifier) BDD_REF'!$B$209</f>
        <v>0</v>
      </c>
      <c r="L11" s="42">
        <f>((L7*'(ne pas modifier) BDD_REF'!$B$220)+('RECeff + REIamont (2)'!L8+'RECeff + REIamont (2)'!L9)*'(ne pas modifier) BDD_REF'!$B$221)*'(ne pas modifier) BDD_REF'!$B$209</f>
        <v>0</v>
      </c>
      <c r="M11" s="42">
        <f t="shared" si="0"/>
        <v>4.9500000000000002E-2</v>
      </c>
    </row>
    <row r="12" spans="1:15" x14ac:dyDescent="0.3">
      <c r="B12" s="20" t="s">
        <v>330</v>
      </c>
      <c r="C12" s="42">
        <f>(C7+C8+C9)*'(ne pas modifier) BDD_REF'!$B$222*'(ne pas modifier) BDD_REF'!$B$210</f>
        <v>3.9599999999999996E-2</v>
      </c>
      <c r="D12" s="42">
        <f>(D7+D8+D9)*'(ne pas modifier) BDD_REF'!$B$222*'(ne pas modifier) BDD_REF'!$B$210</f>
        <v>3.9599999999999996E-2</v>
      </c>
      <c r="E12" s="42">
        <f>(E7+E8+E9)*'(ne pas modifier) BDD_REF'!$B$222*'(ne pas modifier) BDD_REF'!$B$210</f>
        <v>3.9599999999999996E-2</v>
      </c>
      <c r="F12" s="42">
        <f>(F7+F8+F9)*'(ne pas modifier) BDD_REF'!$B$222*'(ne pas modifier) BDD_REF'!$B$210</f>
        <v>0</v>
      </c>
      <c r="G12" s="42">
        <f>(G7+G8+G9)*'(ne pas modifier) BDD_REF'!$B$222*'(ne pas modifier) BDD_REF'!$B$210</f>
        <v>0</v>
      </c>
      <c r="H12" s="42">
        <f>(H7+H8+H9)*'(ne pas modifier) BDD_REF'!$B$222*'(ne pas modifier) BDD_REF'!$B$210</f>
        <v>0</v>
      </c>
      <c r="I12" s="42">
        <f>(I7+I8+I9)*'(ne pas modifier) BDD_REF'!$B$222*'(ne pas modifier) BDD_REF'!$B$210</f>
        <v>0</v>
      </c>
      <c r="J12" s="42">
        <f>(J7+J8+J9)*'(ne pas modifier) BDD_REF'!$B$222*'(ne pas modifier) BDD_REF'!$B$210</f>
        <v>0</v>
      </c>
      <c r="K12" s="42">
        <f>(K7+K8+K9)*'(ne pas modifier) BDD_REF'!$B$222*'(ne pas modifier) BDD_REF'!$B$210</f>
        <v>0</v>
      </c>
      <c r="L12" s="42">
        <f>(L7+L8+L9)*'(ne pas modifier) BDD_REF'!$B$222*'(ne pas modifier) BDD_REF'!$B$210</f>
        <v>0</v>
      </c>
      <c r="M12" s="42">
        <f t="shared" si="0"/>
        <v>0.11879999999999999</v>
      </c>
    </row>
    <row r="13" spans="1:15" x14ac:dyDescent="0.3">
      <c r="B13" s="7" t="s">
        <v>315</v>
      </c>
      <c r="C13" s="93">
        <f>'[1]Onglet 4'!C11</f>
        <v>0</v>
      </c>
      <c r="D13" s="93">
        <f>'[1]Onglet 4'!D11</f>
        <v>0</v>
      </c>
      <c r="E13" s="93">
        <f>'[1]Onglet 4'!E11</f>
        <v>0</v>
      </c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3">
      <c r="B14" s="7" t="s">
        <v>316</v>
      </c>
      <c r="C14" s="93">
        <v>75</v>
      </c>
      <c r="D14" s="93">
        <v>75</v>
      </c>
      <c r="E14" s="93">
        <v>75</v>
      </c>
      <c r="F14" s="93"/>
      <c r="G14" s="93"/>
      <c r="H14" s="93"/>
      <c r="I14" s="93"/>
      <c r="J14" s="93"/>
      <c r="K14" s="93"/>
      <c r="L14" s="93"/>
      <c r="M14" s="42">
        <f t="shared" si="0"/>
        <v>225</v>
      </c>
    </row>
    <row r="15" spans="1:15" x14ac:dyDescent="0.3">
      <c r="B15" s="7" t="s">
        <v>317</v>
      </c>
      <c r="C15" s="93">
        <f>'[1]Onglet 4'!C13</f>
        <v>0</v>
      </c>
      <c r="D15" s="93">
        <f>'[1]Onglet 4'!D13</f>
        <v>0</v>
      </c>
      <c r="E15" s="93">
        <f>'[1]Onglet 4'!E13</f>
        <v>0</v>
      </c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3">
      <c r="B16" s="7" t="s">
        <v>318</v>
      </c>
      <c r="C16" s="93">
        <f>'[1]Onglet 4'!C14</f>
        <v>0</v>
      </c>
      <c r="D16" s="93">
        <f>'[1]Onglet 4'!D14</f>
        <v>0</v>
      </c>
      <c r="E16" s="93">
        <f>'[1]Onglet 4'!E14</f>
        <v>0</v>
      </c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319</v>
      </c>
      <c r="C17" s="93">
        <f>'[1]Onglet 4'!C15</f>
        <v>0</v>
      </c>
      <c r="D17" s="93">
        <f>'[1]Onglet 4'!D15</f>
        <v>0</v>
      </c>
      <c r="E17" s="93">
        <f>'[1]Onglet 4'!E15</f>
        <v>0</v>
      </c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320</v>
      </c>
      <c r="C18" s="93">
        <f>'[1]Onglet 4'!C16</f>
        <v>0</v>
      </c>
      <c r="D18" s="93">
        <f>'[1]Onglet 4'!D16</f>
        <v>0</v>
      </c>
      <c r="E18" s="93">
        <f>'[1]Onglet 4'!E16</f>
        <v>0</v>
      </c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173</v>
      </c>
      <c r="C19" s="42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0.230325</v>
      </c>
      <c r="D19" s="42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0.230325</v>
      </c>
      <c r="E19" s="42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0.230325</v>
      </c>
      <c r="F19" s="42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42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42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42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42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42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42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42">
        <f t="shared" si="0"/>
        <v>0.69097500000000001</v>
      </c>
    </row>
    <row r="20" spans="1:108" x14ac:dyDescent="0.3">
      <c r="B20" s="7" t="s">
        <v>321</v>
      </c>
      <c r="C20" s="93">
        <v>650</v>
      </c>
      <c r="D20" s="93">
        <v>650</v>
      </c>
      <c r="E20" s="93">
        <v>650</v>
      </c>
      <c r="F20" s="93"/>
      <c r="G20" s="93"/>
      <c r="H20" s="93"/>
      <c r="I20" s="93"/>
      <c r="J20" s="93"/>
      <c r="K20" s="93"/>
      <c r="L20" s="93"/>
      <c r="M20" s="42">
        <f t="shared" si="0"/>
        <v>1950</v>
      </c>
    </row>
    <row r="21" spans="1:108" x14ac:dyDescent="0.3">
      <c r="B21" s="3" t="s">
        <v>184</v>
      </c>
      <c r="C21" s="42">
        <f>(C20*'(ne pas modifier) BDD_REF'!$B$211)/1000</f>
        <v>3.7050000000000007E-2</v>
      </c>
      <c r="D21" s="42">
        <f>(D20*'(ne pas modifier) BDD_REF'!$B$211)/1000</f>
        <v>3.7050000000000007E-2</v>
      </c>
      <c r="E21" s="42">
        <f>(E20*'(ne pas modifier) BDD_REF'!$B$211)/1000</f>
        <v>3.7050000000000007E-2</v>
      </c>
      <c r="F21" s="42">
        <f>(F20*'(ne pas modifier) BDD_REF'!$B$211)/1000</f>
        <v>0</v>
      </c>
      <c r="G21" s="42">
        <f>(G20*'(ne pas modifier) BDD_REF'!$B$211)/1000</f>
        <v>0</v>
      </c>
      <c r="H21" s="42">
        <f>(H20*'(ne pas modifier) BDD_REF'!$B$211)/1000</f>
        <v>0</v>
      </c>
      <c r="I21" s="42">
        <f>(I20*'(ne pas modifier) BDD_REF'!$B$211)/1000</f>
        <v>0</v>
      </c>
      <c r="J21" s="42">
        <f>(J20*'(ne pas modifier) BDD_REF'!$B$211)/1000</f>
        <v>0</v>
      </c>
      <c r="K21" s="42">
        <f>(K20*'(ne pas modifier) BDD_REF'!$B$211)/1000</f>
        <v>0</v>
      </c>
      <c r="L21" s="42">
        <f>(L20*'(ne pas modifier) BDD_REF'!$B$211)/1000</f>
        <v>0</v>
      </c>
      <c r="M21" s="42">
        <f t="shared" si="0"/>
        <v>0.11115000000000003</v>
      </c>
    </row>
    <row r="22" spans="1:108" s="17" customFormat="1" x14ac:dyDescent="0.3">
      <c r="A22" s="19"/>
      <c r="B22" s="20" t="s">
        <v>185</v>
      </c>
      <c r="C22" s="94">
        <f>C19+C21</f>
        <v>0.26737500000000003</v>
      </c>
      <c r="D22" s="94">
        <f t="shared" ref="D22:L22" si="1">D19+D21</f>
        <v>0.26737500000000003</v>
      </c>
      <c r="E22" s="94">
        <f t="shared" si="1"/>
        <v>0.26737500000000003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0.80212500000000009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322</v>
      </c>
      <c r="C23" s="93">
        <v>15</v>
      </c>
      <c r="D23" s="93">
        <v>15</v>
      </c>
      <c r="E23" s="93">
        <v>15</v>
      </c>
      <c r="F23" s="93"/>
      <c r="G23" s="93"/>
      <c r="H23" s="93"/>
      <c r="I23" s="93"/>
      <c r="J23" s="93"/>
      <c r="K23" s="93"/>
      <c r="L23" s="93"/>
      <c r="M23" s="42">
        <f t="shared" si="0"/>
        <v>45</v>
      </c>
    </row>
    <row r="24" spans="1:108" x14ac:dyDescent="0.3">
      <c r="B24" s="7" t="s">
        <v>323</v>
      </c>
      <c r="C24" s="93">
        <v>15</v>
      </c>
      <c r="D24" s="93">
        <v>15</v>
      </c>
      <c r="E24" s="93">
        <v>15</v>
      </c>
      <c r="F24" s="93"/>
      <c r="G24" s="93"/>
      <c r="H24" s="93"/>
      <c r="I24" s="93"/>
      <c r="J24" s="93"/>
      <c r="K24" s="93"/>
      <c r="L24" s="93"/>
      <c r="M24" s="42">
        <f t="shared" si="0"/>
        <v>45</v>
      </c>
    </row>
    <row r="25" spans="1:108" x14ac:dyDescent="0.3">
      <c r="B25" s="3" t="s">
        <v>292</v>
      </c>
      <c r="C25" s="42">
        <f>(C7*'(ne pas modifier) BDD_REF'!$B$212+'RECeff + REIamont (2)'!C23*'(ne pas modifier) BDD_REF'!$B$213+'RECeff + REIamont (2)'!C24*'(ne pas modifier) BDD_REF'!$B$214)/1000</f>
        <v>0.10004999999999999</v>
      </c>
      <c r="D25" s="42">
        <f>(D7*'(ne pas modifier) BDD_REF'!$B$212+'RECeff + REIamont (2)'!D23*'(ne pas modifier) BDD_REF'!$B$213+'RECeff + REIamont (2)'!D24*'(ne pas modifier) BDD_REF'!$B$214)/1000</f>
        <v>0.10004999999999999</v>
      </c>
      <c r="E25" s="42">
        <f>(E7*'(ne pas modifier) BDD_REF'!$B$212+'RECeff + REIamont (2)'!E23*'(ne pas modifier) BDD_REF'!$B$213+'RECeff + REIamont (2)'!E24*'(ne pas modifier) BDD_REF'!$B$214)/1000</f>
        <v>0.10004999999999999</v>
      </c>
      <c r="F25" s="42">
        <f>(F7*'(ne pas modifier) BDD_REF'!$B$212+'RECeff + REIamont (2)'!F23*'(ne pas modifier) BDD_REF'!$B$213+'RECeff + REIamont (2)'!F24*'(ne pas modifier) BDD_REF'!$B$214)/1000</f>
        <v>0</v>
      </c>
      <c r="G25" s="42">
        <f>(G7*'(ne pas modifier) BDD_REF'!$B$212+'RECeff + REIamont (2)'!G23*'(ne pas modifier) BDD_REF'!$B$213+'RECeff + REIamont (2)'!G24*'(ne pas modifier) BDD_REF'!$B$214)/1000</f>
        <v>0</v>
      </c>
      <c r="H25" s="42">
        <f>(H7*'(ne pas modifier) BDD_REF'!$B$212+'RECeff + REIamont (2)'!H23*'(ne pas modifier) BDD_REF'!$B$213+'RECeff + REIamont (2)'!H24*'(ne pas modifier) BDD_REF'!$B$214)/1000</f>
        <v>0</v>
      </c>
      <c r="I25" s="42">
        <f>(I7*'(ne pas modifier) BDD_REF'!$B$212+'RECeff + REIamont (2)'!I23*'(ne pas modifier) BDD_REF'!$B$213+'RECeff + REIamont (2)'!I24*'(ne pas modifier) BDD_REF'!$B$214)/1000</f>
        <v>0</v>
      </c>
      <c r="J25" s="42">
        <f>(J7*'(ne pas modifier) BDD_REF'!$B$212+'RECeff + REIamont (2)'!J23*'(ne pas modifier) BDD_REF'!$B$213+'RECeff + REIamont (2)'!J24*'(ne pas modifier) BDD_REF'!$B$214)/1000</f>
        <v>0</v>
      </c>
      <c r="K25" s="42">
        <f>(K7*'(ne pas modifier) BDD_REF'!$B$212+'RECeff + REIamont (2)'!K23*'(ne pas modifier) BDD_REF'!$B$213+'RECeff + REIamont (2)'!K24*'(ne pas modifier) BDD_REF'!$B$214)/1000</f>
        <v>0</v>
      </c>
      <c r="L25" s="42">
        <f>(L7*'(ne pas modifier) BDD_REF'!$B$212+'RECeff + REIamont (2)'!L23*'(ne pas modifier) BDD_REF'!$B$213+'RECeff + REIamont (2)'!L24*'(ne pas modifier) BDD_REF'!$B$214)/1000</f>
        <v>0</v>
      </c>
      <c r="M25" s="42">
        <f t="shared" si="0"/>
        <v>0.30014999999999997</v>
      </c>
    </row>
    <row r="26" spans="1:108" hidden="1" x14ac:dyDescent="0.3">
      <c r="B26" s="3" t="s">
        <v>175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293</v>
      </c>
      <c r="B27" s="7" t="s">
        <v>324</v>
      </c>
      <c r="C27" s="93">
        <f>'[1]Onglet 4'!C23</f>
        <v>0</v>
      </c>
      <c r="D27" s="93">
        <f>'[1]Onglet 4'!D23</f>
        <v>0</v>
      </c>
      <c r="E27" s="93">
        <f>'[1]Onglet 4'!E23</f>
        <v>0</v>
      </c>
      <c r="F27" s="93"/>
      <c r="G27" s="93"/>
      <c r="H27" s="93"/>
      <c r="I27" s="93"/>
      <c r="J27" s="93"/>
      <c r="K27" s="93"/>
      <c r="L27" s="93"/>
      <c r="M27" s="42">
        <f t="shared" si="0"/>
        <v>0</v>
      </c>
    </row>
    <row r="28" spans="1:108" x14ac:dyDescent="0.3">
      <c r="B28" s="7" t="s">
        <v>325</v>
      </c>
      <c r="C28" s="93">
        <v>1</v>
      </c>
      <c r="D28" s="93">
        <v>1</v>
      </c>
      <c r="E28" s="93">
        <v>1</v>
      </c>
      <c r="F28" s="93"/>
      <c r="G28" s="93"/>
      <c r="H28" s="93"/>
      <c r="I28" s="93"/>
      <c r="J28" s="93"/>
      <c r="K28" s="93"/>
      <c r="L28" s="93"/>
      <c r="M28" s="42">
        <f t="shared" si="0"/>
        <v>3</v>
      </c>
    </row>
    <row r="29" spans="1:108" x14ac:dyDescent="0.3">
      <c r="B29" s="7" t="s">
        <v>326</v>
      </c>
      <c r="C29" s="93">
        <f>'[1]Onglet 4'!C25</f>
        <v>0</v>
      </c>
      <c r="D29" s="93">
        <f>'[1]Onglet 4'!D25</f>
        <v>0</v>
      </c>
      <c r="E29" s="93">
        <f>'[1]Onglet 4'!E25</f>
        <v>0</v>
      </c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x14ac:dyDescent="0.3">
      <c r="B30" s="7" t="s">
        <v>327</v>
      </c>
      <c r="C30" s="93">
        <f>'[1]Onglet 4'!C26</f>
        <v>0</v>
      </c>
      <c r="D30" s="93">
        <f>'[1]Onglet 4'!D26</f>
        <v>0</v>
      </c>
      <c r="E30" s="93">
        <f>'[1]Onglet 4'!E26</f>
        <v>0</v>
      </c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294</v>
      </c>
      <c r="C31" s="42">
        <f>(C27*'(ne pas modifier) BDD_REF'!$B$215+'RECeff + REIamont (2)'!C28*'(ne pas modifier) BDD_REF'!$B$216+'RECeff + REIamont (2)'!C29*'(ne pas modifier) BDD_REF'!$B$217+'RECeff + REIamont (2)'!C30*'(ne pas modifier) BDD_REF'!$B$218)/1000</f>
        <v>8.9849999999999999E-3</v>
      </c>
      <c r="D31" s="42">
        <f>(D27*'(ne pas modifier) BDD_REF'!$B$215+'RECeff + REIamont (2)'!D28*'(ne pas modifier) BDD_REF'!$B$216+'RECeff + REIamont (2)'!D29*'(ne pas modifier) BDD_REF'!$B$217+'RECeff + REIamont (2)'!D30*'(ne pas modifier) BDD_REF'!$B$218)/1000</f>
        <v>8.9849999999999999E-3</v>
      </c>
      <c r="E31" s="42">
        <f>(E27*'(ne pas modifier) BDD_REF'!$B$215+'RECeff + REIamont (2)'!E28*'(ne pas modifier) BDD_REF'!$B$216+'RECeff + REIamont (2)'!E29*'(ne pas modifier) BDD_REF'!$B$217+'RECeff + REIamont (2)'!E30*'(ne pas modifier) BDD_REF'!$B$218)/1000</f>
        <v>8.9849999999999999E-3</v>
      </c>
      <c r="F31" s="42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42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42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42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42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42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42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42">
        <f t="shared" si="0"/>
        <v>2.6955E-2</v>
      </c>
    </row>
    <row r="32" spans="1:108" s="17" customFormat="1" x14ac:dyDescent="0.3">
      <c r="A32" s="19"/>
      <c r="B32" s="20" t="s">
        <v>186</v>
      </c>
      <c r="C32" s="94">
        <f>C25+C26+C31</f>
        <v>0.10903499999999999</v>
      </c>
      <c r="D32" s="94">
        <f t="shared" ref="D32:L32" si="2">D25+D26+D31</f>
        <v>0.10903499999999999</v>
      </c>
      <c r="E32" s="94">
        <f t="shared" si="2"/>
        <v>0.10903499999999999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0.32710499999999998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144</v>
      </c>
      <c r="C33" s="96">
        <f>((C10+C11+C12)/1000*44/28*'(ne pas modifier) BDD_REF'!$B$232)+'RECeff + REIamont (2)'!C22+'RECeff + REIamont (2)'!C32</f>
        <v>0.49971450000000006</v>
      </c>
      <c r="D33" s="96">
        <f>((D10+D11+D12)/1000*44/28*'(ne pas modifier) BDD_REF'!$B$232)+'RECeff + REIamont (2)'!D22+'RECeff + REIamont (2)'!D32</f>
        <v>0.49971450000000006</v>
      </c>
      <c r="E33" s="96">
        <f>((E10+E11+E12)/1000*44/28*'(ne pas modifier) BDD_REF'!$B$232)+'RECeff + REIamont (2)'!E22+'RECeff + REIamont (2)'!E32</f>
        <v>0.49971450000000006</v>
      </c>
      <c r="F33" s="96">
        <f>((F10+F11+F12)/1000*44/28*'(ne pas modifier) BDD_REF'!$B$232)+'RECeff + REIamont (2)'!F22+'RECeff + REIamont (2)'!F32</f>
        <v>0</v>
      </c>
      <c r="G33" s="96">
        <f>((G10+G11+G12)/1000*44/28*'(ne pas modifier) BDD_REF'!$B$232)+'RECeff + REIamont (2)'!G22+'RECeff + REIamont (2)'!G32</f>
        <v>0</v>
      </c>
      <c r="H33" s="96">
        <f>((H10+H11+H12)/1000*44/28*'(ne pas modifier) BDD_REF'!$B$232)+'RECeff + REIamont (2)'!H22+'RECeff + REIamont (2)'!H32</f>
        <v>0</v>
      </c>
      <c r="I33" s="96">
        <f>((I10+I11+I12)/1000*44/28*'(ne pas modifier) BDD_REF'!$B$232)+'RECeff + REIamont (2)'!I22+'RECeff + REIamont (2)'!I32</f>
        <v>0</v>
      </c>
      <c r="J33" s="96">
        <f>((J10+J11+J12)/1000*44/28*'(ne pas modifier) BDD_REF'!$B$232)+'RECeff + REIamont (2)'!J22+'RECeff + REIamont (2)'!J32</f>
        <v>0</v>
      </c>
      <c r="K33" s="96">
        <f>((K10+K11+K12)/1000*44/28*'(ne pas modifier) BDD_REF'!$B$232)+'RECeff + REIamont (2)'!K22+'RECeff + REIamont (2)'!K32</f>
        <v>0</v>
      </c>
      <c r="L33" s="96">
        <f>((L10+L11+L12)/1000*44/28*'(ne pas modifier) BDD_REF'!$B$232)+'RECeff + REIamont (2)'!L22+'RECeff + REIamont (2)'!L32</f>
        <v>0</v>
      </c>
      <c r="M33" s="96">
        <f t="shared" si="0"/>
        <v>1.4991435000000002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147</v>
      </c>
      <c r="B34" s="7" t="s">
        <v>312</v>
      </c>
      <c r="C34" s="93">
        <v>15</v>
      </c>
      <c r="D34" s="93">
        <v>15</v>
      </c>
      <c r="E34" s="93">
        <v>15</v>
      </c>
      <c r="F34" s="93"/>
      <c r="G34" s="93"/>
      <c r="H34" s="93"/>
      <c r="I34" s="93"/>
      <c r="J34" s="93"/>
      <c r="K34" s="93"/>
      <c r="L34" s="93"/>
      <c r="M34" s="42">
        <f t="shared" si="0"/>
        <v>45</v>
      </c>
    </row>
    <row r="35" spans="1:108" x14ac:dyDescent="0.3">
      <c r="B35" s="7" t="s">
        <v>313</v>
      </c>
      <c r="C35" s="93">
        <f>'[1]Onglet 4'!C29</f>
        <v>0</v>
      </c>
      <c r="D35" s="93">
        <f>'[1]Onglet 4'!D29</f>
        <v>0</v>
      </c>
      <c r="E35" s="93">
        <f>'[1]Onglet 4'!E29</f>
        <v>0</v>
      </c>
      <c r="F35" s="93"/>
      <c r="G35" s="93"/>
      <c r="H35" s="93"/>
      <c r="I35" s="93"/>
      <c r="J35" s="93"/>
      <c r="K35" s="93"/>
      <c r="L35" s="93"/>
      <c r="M35" s="42">
        <f t="shared" si="0"/>
        <v>0</v>
      </c>
    </row>
    <row r="36" spans="1:108" x14ac:dyDescent="0.3">
      <c r="B36" s="7" t="s">
        <v>314</v>
      </c>
      <c r="C36" s="93">
        <f>'[1]Onglet 4'!C30</f>
        <v>0</v>
      </c>
      <c r="D36" s="93">
        <f>'[1]Onglet 4'!D30</f>
        <v>0</v>
      </c>
      <c r="E36" s="93">
        <f>'[1]Onglet 4'!E30</f>
        <v>0</v>
      </c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3">
      <c r="B37" s="20" t="s">
        <v>328</v>
      </c>
      <c r="C37" s="42">
        <f>C34*'(ne pas modifier) BDD_REF'!$B$207 + (C35+C36)*'(ne pas modifier) BDD_REF'!$B$208</f>
        <v>0.24</v>
      </c>
      <c r="D37" s="42">
        <f>D34*'(ne pas modifier) BDD_REF'!$B$207 + (D35+D36)*'(ne pas modifier) BDD_REF'!$B$208</f>
        <v>0.24</v>
      </c>
      <c r="E37" s="42">
        <f>E34*'(ne pas modifier) BDD_REF'!$B$207 + (E35+E36)*'(ne pas modifier) BDD_REF'!$B$208</f>
        <v>0.24</v>
      </c>
      <c r="F37" s="42">
        <f>F34*'(ne pas modifier) BDD_REF'!$B$207 + (F35+F36)*'(ne pas modifier) BDD_REF'!$B$208</f>
        <v>0</v>
      </c>
      <c r="G37" s="42">
        <f>G34*'(ne pas modifier) BDD_REF'!$B$207 + (G35+G36)*'(ne pas modifier) BDD_REF'!$B$208</f>
        <v>0</v>
      </c>
      <c r="H37" s="42">
        <f>H34*'(ne pas modifier) BDD_REF'!$B$207 + (H35+H36)*'(ne pas modifier) BDD_REF'!$B$208</f>
        <v>0</v>
      </c>
      <c r="I37" s="42">
        <f>I34*'(ne pas modifier) BDD_REF'!$B$207 + (I35+I36)*'(ne pas modifier) BDD_REF'!$B$208</f>
        <v>0</v>
      </c>
      <c r="J37" s="42">
        <f>J34*'(ne pas modifier) BDD_REF'!$B$207 + (J35+J36)*'(ne pas modifier) BDD_REF'!$B$208</f>
        <v>0</v>
      </c>
      <c r="K37" s="42">
        <f>K34*'(ne pas modifier) BDD_REF'!$B$207 + (K35+K36)*'(ne pas modifier) BDD_REF'!$B$208</f>
        <v>0</v>
      </c>
      <c r="L37" s="42">
        <f>L34*'(ne pas modifier) BDD_REF'!$B$207 + (L35+L36)*'(ne pas modifier) BDD_REF'!$B$208</f>
        <v>0</v>
      </c>
      <c r="M37" s="42">
        <f t="shared" si="0"/>
        <v>0.72</v>
      </c>
    </row>
    <row r="38" spans="1:108" x14ac:dyDescent="0.3">
      <c r="B38" s="20" t="s">
        <v>329</v>
      </c>
      <c r="C38" s="42">
        <f>((C34*'(ne pas modifier) BDD_REF'!$B$220)+('RECeff + REIamont (2)'!C35+'RECeff + REIamont (2)'!C36)*'(ne pas modifier) BDD_REF'!$B$221)*'(ne pas modifier) BDD_REF'!$B$209</f>
        <v>1.6500000000000001E-2</v>
      </c>
      <c r="D38" s="42">
        <f>((D34*'(ne pas modifier) BDD_REF'!$B$220)+('RECeff + REIamont (2)'!D35+'RECeff + REIamont (2)'!D36)*'(ne pas modifier) BDD_REF'!$B$221)*'(ne pas modifier) BDD_REF'!$B$209</f>
        <v>1.6500000000000001E-2</v>
      </c>
      <c r="E38" s="42">
        <f>((E34*'(ne pas modifier) BDD_REF'!$B$220)+('RECeff + REIamont (2)'!E35+'RECeff + REIamont (2)'!E36)*'(ne pas modifier) BDD_REF'!$B$221)*'(ne pas modifier) BDD_REF'!$B$209</f>
        <v>1.6500000000000001E-2</v>
      </c>
      <c r="F38" s="42">
        <f>((F34*'(ne pas modifier) BDD_REF'!$B$220)+('RECeff + REIamont (2)'!F35+'RECeff + REIamont (2)'!F36)*'(ne pas modifier) BDD_REF'!$B$221)*'(ne pas modifier) BDD_REF'!$B$209</f>
        <v>0</v>
      </c>
      <c r="G38" s="42">
        <f>((G34*'(ne pas modifier) BDD_REF'!$B$220)+('RECeff + REIamont (2)'!G35+'RECeff + REIamont (2)'!G36)*'(ne pas modifier) BDD_REF'!$B$221)*'(ne pas modifier) BDD_REF'!$B$209</f>
        <v>0</v>
      </c>
      <c r="H38" s="42">
        <f>((H34*'(ne pas modifier) BDD_REF'!$B$220)+('RECeff + REIamont (2)'!H35+'RECeff + REIamont (2)'!H36)*'(ne pas modifier) BDD_REF'!$B$221)*'(ne pas modifier) BDD_REF'!$B$209</f>
        <v>0</v>
      </c>
      <c r="I38" s="42">
        <f>((I34*'(ne pas modifier) BDD_REF'!$B$220)+('RECeff + REIamont (2)'!I35+'RECeff + REIamont (2)'!I36)*'(ne pas modifier) BDD_REF'!$B$221)*'(ne pas modifier) BDD_REF'!$B$209</f>
        <v>0</v>
      </c>
      <c r="J38" s="42">
        <f>((J34*'(ne pas modifier) BDD_REF'!$B$220)+('RECeff + REIamont (2)'!J35+'RECeff + REIamont (2)'!J36)*'(ne pas modifier) BDD_REF'!$B$221)*'(ne pas modifier) BDD_REF'!$B$209</f>
        <v>0</v>
      </c>
      <c r="K38" s="42">
        <f>((K34*'(ne pas modifier) BDD_REF'!$B$220)+('RECeff + REIamont (2)'!K35+'RECeff + REIamont (2)'!K36)*'(ne pas modifier) BDD_REF'!$B$221)*'(ne pas modifier) BDD_REF'!$B$209</f>
        <v>0</v>
      </c>
      <c r="L38" s="42">
        <f>((L34*'(ne pas modifier) BDD_REF'!$B$220)+('RECeff + REIamont (2)'!L35+'RECeff + REIamont (2)'!L36)*'(ne pas modifier) BDD_REF'!$B$221)*'(ne pas modifier) BDD_REF'!$B$209</f>
        <v>0</v>
      </c>
      <c r="M38" s="42">
        <f t="shared" si="0"/>
        <v>4.9500000000000002E-2</v>
      </c>
    </row>
    <row r="39" spans="1:108" x14ac:dyDescent="0.3">
      <c r="B39" s="20" t="s">
        <v>330</v>
      </c>
      <c r="C39" s="42">
        <f>(C34+C35+C36)*'(ne pas modifier) BDD_REF'!$B$222*'(ne pas modifier) BDD_REF'!$B$210</f>
        <v>3.9599999999999996E-2</v>
      </c>
      <c r="D39" s="42">
        <f>(D34+D35+D36)*'(ne pas modifier) BDD_REF'!$B$222*'(ne pas modifier) BDD_REF'!$B$210</f>
        <v>3.9599999999999996E-2</v>
      </c>
      <c r="E39" s="42">
        <f>(E34+E35+E36)*'(ne pas modifier) BDD_REF'!$B$222*'(ne pas modifier) BDD_REF'!$B$210</f>
        <v>3.9599999999999996E-2</v>
      </c>
      <c r="F39" s="42">
        <f>(F34+F35+F36)*'(ne pas modifier) BDD_REF'!$B$222*'(ne pas modifier) BDD_REF'!$B$210</f>
        <v>0</v>
      </c>
      <c r="G39" s="42">
        <f>(G34+G35+G36)*'(ne pas modifier) BDD_REF'!$B$222*'(ne pas modifier) BDD_REF'!$B$210</f>
        <v>0</v>
      </c>
      <c r="H39" s="42">
        <f>(H34+H35+H36)*'(ne pas modifier) BDD_REF'!$B$222*'(ne pas modifier) BDD_REF'!$B$210</f>
        <v>0</v>
      </c>
      <c r="I39" s="42">
        <f>(I34+I35+I36)*'(ne pas modifier) BDD_REF'!$B$222*'(ne pas modifier) BDD_REF'!$B$210</f>
        <v>0</v>
      </c>
      <c r="J39" s="42">
        <f>(J34+J35+J36)*'(ne pas modifier) BDD_REF'!$B$222*'(ne pas modifier) BDD_REF'!$B$210</f>
        <v>0</v>
      </c>
      <c r="K39" s="42">
        <f>(K34+K35+K36)*'(ne pas modifier) BDD_REF'!$B$222*'(ne pas modifier) BDD_REF'!$B$210</f>
        <v>0</v>
      </c>
      <c r="L39" s="42">
        <f>(L34+L35+L36)*'(ne pas modifier) BDD_REF'!$B$222*'(ne pas modifier) BDD_REF'!$B$210</f>
        <v>0</v>
      </c>
      <c r="M39" s="42">
        <f t="shared" ref="M39:M70" si="3">SUM(C39:L39)</f>
        <v>0.11879999999999999</v>
      </c>
    </row>
    <row r="40" spans="1:108" x14ac:dyDescent="0.3">
      <c r="B40" s="7" t="s">
        <v>315</v>
      </c>
      <c r="C40" s="93">
        <f>'[1]Onglet 4'!C32</f>
        <v>0</v>
      </c>
      <c r="D40" s="93">
        <f>'[1]Onglet 4'!D32</f>
        <v>0</v>
      </c>
      <c r="E40" s="93">
        <f>'[1]Onglet 4'!E32</f>
        <v>0</v>
      </c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3">
      <c r="B41" s="7" t="s">
        <v>316</v>
      </c>
      <c r="C41" s="93">
        <v>50</v>
      </c>
      <c r="D41" s="93">
        <v>50</v>
      </c>
      <c r="E41" s="93">
        <v>50</v>
      </c>
      <c r="F41" s="93"/>
      <c r="G41" s="93"/>
      <c r="H41" s="93"/>
      <c r="I41" s="93"/>
      <c r="J41" s="93"/>
      <c r="K41" s="93"/>
      <c r="L41" s="93"/>
      <c r="M41" s="42">
        <f t="shared" si="3"/>
        <v>150</v>
      </c>
    </row>
    <row r="42" spans="1:108" x14ac:dyDescent="0.3">
      <c r="B42" s="7" t="s">
        <v>317</v>
      </c>
      <c r="C42" s="93">
        <f>'[1]Onglet 4'!C34</f>
        <v>0</v>
      </c>
      <c r="D42" s="93">
        <f>'[1]Onglet 4'!D34</f>
        <v>0</v>
      </c>
      <c r="E42" s="93">
        <f>'[1]Onglet 4'!E34</f>
        <v>0</v>
      </c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x14ac:dyDescent="0.3">
      <c r="B43" s="7" t="s">
        <v>318</v>
      </c>
      <c r="C43" s="93">
        <f>'[1]Onglet 4'!C35</f>
        <v>0</v>
      </c>
      <c r="D43" s="93">
        <f>'[1]Onglet 4'!D35</f>
        <v>0</v>
      </c>
      <c r="E43" s="93">
        <f>'[1]Onglet 4'!E35</f>
        <v>0</v>
      </c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319</v>
      </c>
      <c r="C44" s="93">
        <f>'[1]Onglet 4'!C36</f>
        <v>0</v>
      </c>
      <c r="D44" s="93">
        <f>'[1]Onglet 4'!D36</f>
        <v>0</v>
      </c>
      <c r="E44" s="93">
        <f>'[1]Onglet 4'!E36</f>
        <v>0</v>
      </c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320</v>
      </c>
      <c r="C45" s="93">
        <f>'[1]Onglet 4'!C37</f>
        <v>0</v>
      </c>
      <c r="D45" s="93">
        <f>'[1]Onglet 4'!D37</f>
        <v>0</v>
      </c>
      <c r="E45" s="93">
        <f>'[1]Onglet 4'!E37</f>
        <v>0</v>
      </c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173</v>
      </c>
      <c r="C46" s="42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0.15354999999999999</v>
      </c>
      <c r="D46" s="42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0.15354999999999999</v>
      </c>
      <c r="E46" s="42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0.15354999999999999</v>
      </c>
      <c r="F46" s="42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42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42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42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42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42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42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42">
        <f t="shared" si="3"/>
        <v>0.46065</v>
      </c>
    </row>
    <row r="47" spans="1:108" x14ac:dyDescent="0.3">
      <c r="B47" s="7" t="s">
        <v>321</v>
      </c>
      <c r="C47" s="93">
        <v>650</v>
      </c>
      <c r="D47" s="93">
        <v>650</v>
      </c>
      <c r="E47" s="93">
        <v>650</v>
      </c>
      <c r="F47" s="93"/>
      <c r="G47" s="93"/>
      <c r="H47" s="93"/>
      <c r="I47" s="93"/>
      <c r="J47" s="93"/>
      <c r="K47" s="93"/>
      <c r="L47" s="93"/>
      <c r="M47" s="42">
        <f t="shared" si="3"/>
        <v>1950</v>
      </c>
    </row>
    <row r="48" spans="1:108" x14ac:dyDescent="0.3">
      <c r="B48" s="3" t="s">
        <v>184</v>
      </c>
      <c r="C48" s="42">
        <f>(C47*'(ne pas modifier) BDD_REF'!$B$211)/1000</f>
        <v>3.7050000000000007E-2</v>
      </c>
      <c r="D48" s="42">
        <f>(D47*'(ne pas modifier) BDD_REF'!$B$211)/1000</f>
        <v>3.7050000000000007E-2</v>
      </c>
      <c r="E48" s="42">
        <f>(E47*'(ne pas modifier) BDD_REF'!$B$211)/1000</f>
        <v>3.7050000000000007E-2</v>
      </c>
      <c r="F48" s="42">
        <f>(F47*'(ne pas modifier) BDD_REF'!$B$211)/1000</f>
        <v>0</v>
      </c>
      <c r="G48" s="42">
        <f>(G47*'(ne pas modifier) BDD_REF'!$B$211)/1000</f>
        <v>0</v>
      </c>
      <c r="H48" s="42">
        <f>(H47*'(ne pas modifier) BDD_REF'!$B$211)/1000</f>
        <v>0</v>
      </c>
      <c r="I48" s="42">
        <f>(I47*'(ne pas modifier) BDD_REF'!$B$211)/1000</f>
        <v>0</v>
      </c>
      <c r="J48" s="42">
        <f>(J47*'(ne pas modifier) BDD_REF'!$B$211)/1000</f>
        <v>0</v>
      </c>
      <c r="K48" s="42">
        <f>(K47*'(ne pas modifier) BDD_REF'!$B$211)/1000</f>
        <v>0</v>
      </c>
      <c r="L48" s="42">
        <f>(L47*'(ne pas modifier) BDD_REF'!$B$211)/1000</f>
        <v>0</v>
      </c>
      <c r="M48" s="42">
        <f t="shared" si="3"/>
        <v>0.11115000000000003</v>
      </c>
    </row>
    <row r="49" spans="1:108" s="17" customFormat="1" x14ac:dyDescent="0.3">
      <c r="A49" s="19"/>
      <c r="B49" s="20" t="s">
        <v>185</v>
      </c>
      <c r="C49" s="94">
        <f>C46+C48</f>
        <v>0.19059999999999999</v>
      </c>
      <c r="D49" s="94">
        <f t="shared" ref="D49:L49" si="4">D46+D48</f>
        <v>0.19059999999999999</v>
      </c>
      <c r="E49" s="94">
        <f t="shared" si="4"/>
        <v>0.19059999999999999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0.57179999999999997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322</v>
      </c>
      <c r="C50" s="93">
        <v>15</v>
      </c>
      <c r="D50" s="93">
        <v>15</v>
      </c>
      <c r="E50" s="93">
        <v>15</v>
      </c>
      <c r="F50" s="93"/>
      <c r="G50" s="93"/>
      <c r="H50" s="93"/>
      <c r="I50" s="93"/>
      <c r="J50" s="93"/>
      <c r="K50" s="93"/>
      <c r="L50" s="93"/>
      <c r="M50" s="42">
        <f t="shared" si="3"/>
        <v>45</v>
      </c>
    </row>
    <row r="51" spans="1:108" x14ac:dyDescent="0.3">
      <c r="B51" s="7" t="s">
        <v>323</v>
      </c>
      <c r="C51" s="93">
        <v>15</v>
      </c>
      <c r="D51" s="93">
        <v>15</v>
      </c>
      <c r="E51" s="93">
        <v>15</v>
      </c>
      <c r="F51" s="93"/>
      <c r="G51" s="93"/>
      <c r="H51" s="93"/>
      <c r="I51" s="93"/>
      <c r="J51" s="93"/>
      <c r="K51" s="93"/>
      <c r="L51" s="93"/>
      <c r="M51" s="42">
        <f t="shared" si="3"/>
        <v>45</v>
      </c>
    </row>
    <row r="52" spans="1:108" x14ac:dyDescent="0.3">
      <c r="B52" s="3" t="s">
        <v>292</v>
      </c>
      <c r="C52" s="42">
        <f>(C34*'(ne pas modifier) BDD_REF'!$B$212+'RECeff + REIamont (2)'!C50*'(ne pas modifier) BDD_REF'!$B$213+'RECeff + REIamont (2)'!C51*'(ne pas modifier) BDD_REF'!$B$214)/1000</f>
        <v>0.10004999999999999</v>
      </c>
      <c r="D52" s="42">
        <f>(D34*'(ne pas modifier) BDD_REF'!$B$212+'RECeff + REIamont (2)'!D50*'(ne pas modifier) BDD_REF'!$B$213+'RECeff + REIamont (2)'!D51*'(ne pas modifier) BDD_REF'!$B$214)/1000</f>
        <v>0.10004999999999999</v>
      </c>
      <c r="E52" s="42">
        <f>(E34*'(ne pas modifier) BDD_REF'!$B$212+'RECeff + REIamont (2)'!E50*'(ne pas modifier) BDD_REF'!$B$213+'RECeff + REIamont (2)'!E51*'(ne pas modifier) BDD_REF'!$B$214)/1000</f>
        <v>0.10004999999999999</v>
      </c>
      <c r="F52" s="42">
        <f>(F34*'(ne pas modifier) BDD_REF'!$B$212+'RECeff + REIamont (2)'!F50*'(ne pas modifier) BDD_REF'!$B$213+'RECeff + REIamont (2)'!F51*'(ne pas modifier) BDD_REF'!$B$214)/1000</f>
        <v>0</v>
      </c>
      <c r="G52" s="42">
        <f>(G34*'(ne pas modifier) BDD_REF'!$B$212+'RECeff + REIamont (2)'!G50*'(ne pas modifier) BDD_REF'!$B$213+'RECeff + REIamont (2)'!G51*'(ne pas modifier) BDD_REF'!$B$214)/1000</f>
        <v>0</v>
      </c>
      <c r="H52" s="42">
        <f>(H34*'(ne pas modifier) BDD_REF'!$B$212+'RECeff + REIamont (2)'!H50*'(ne pas modifier) BDD_REF'!$B$213+'RECeff + REIamont (2)'!H51*'(ne pas modifier) BDD_REF'!$B$214)/1000</f>
        <v>0</v>
      </c>
      <c r="I52" s="42">
        <f>(I34*'(ne pas modifier) BDD_REF'!$B$212+'RECeff + REIamont (2)'!I50*'(ne pas modifier) BDD_REF'!$B$213+'RECeff + REIamont (2)'!I51*'(ne pas modifier) BDD_REF'!$B$214)/1000</f>
        <v>0</v>
      </c>
      <c r="J52" s="42">
        <f>(J34*'(ne pas modifier) BDD_REF'!$B$212+'RECeff + REIamont (2)'!J50*'(ne pas modifier) BDD_REF'!$B$213+'RECeff + REIamont (2)'!J51*'(ne pas modifier) BDD_REF'!$B$214)/1000</f>
        <v>0</v>
      </c>
      <c r="K52" s="42">
        <f>(K34*'(ne pas modifier) BDD_REF'!$B$212+'RECeff + REIamont (2)'!K50*'(ne pas modifier) BDD_REF'!$B$213+'RECeff + REIamont (2)'!K51*'(ne pas modifier) BDD_REF'!$B$214)/1000</f>
        <v>0</v>
      </c>
      <c r="L52" s="42">
        <f>(L34*'(ne pas modifier) BDD_REF'!$B$212+'RECeff + REIamont (2)'!L50*'(ne pas modifier) BDD_REF'!$B$213+'RECeff + REIamont (2)'!L51*'(ne pas modifier) BDD_REF'!$B$214)/1000</f>
        <v>0</v>
      </c>
      <c r="M52" s="42">
        <f t="shared" si="3"/>
        <v>0.30014999999999997</v>
      </c>
    </row>
    <row r="53" spans="1:108" hidden="1" x14ac:dyDescent="0.3">
      <c r="A53" s="18" t="s">
        <v>179</v>
      </c>
      <c r="B53" s="3" t="s">
        <v>175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324</v>
      </c>
      <c r="C54" s="93">
        <f>'[1]Onglet 4'!C44</f>
        <v>0</v>
      </c>
      <c r="D54" s="93">
        <f>'[1]Onglet 4'!D44</f>
        <v>0</v>
      </c>
      <c r="E54" s="93">
        <f>'[1]Onglet 4'!E44</f>
        <v>0</v>
      </c>
      <c r="F54" s="93"/>
      <c r="G54" s="93"/>
      <c r="H54" s="93"/>
      <c r="I54" s="93"/>
      <c r="J54" s="93"/>
      <c r="K54" s="93"/>
      <c r="L54" s="93"/>
      <c r="M54" s="42">
        <f t="shared" si="3"/>
        <v>0</v>
      </c>
    </row>
    <row r="55" spans="1:108" x14ac:dyDescent="0.3">
      <c r="B55" s="7" t="s">
        <v>325</v>
      </c>
      <c r="C55" s="93">
        <v>1</v>
      </c>
      <c r="D55" s="93">
        <v>1</v>
      </c>
      <c r="E55" s="93">
        <v>1</v>
      </c>
      <c r="F55" s="93"/>
      <c r="G55" s="93"/>
      <c r="H55" s="93"/>
      <c r="I55" s="93"/>
      <c r="J55" s="93"/>
      <c r="K55" s="93"/>
      <c r="L55" s="93"/>
      <c r="M55" s="42">
        <f t="shared" si="3"/>
        <v>3</v>
      </c>
    </row>
    <row r="56" spans="1:108" x14ac:dyDescent="0.3">
      <c r="B56" s="7" t="s">
        <v>326</v>
      </c>
      <c r="C56" s="93">
        <f>'[1]Onglet 4'!C46</f>
        <v>0</v>
      </c>
      <c r="D56" s="93">
        <f>'[1]Onglet 4'!D46</f>
        <v>0</v>
      </c>
      <c r="E56" s="93">
        <f>'[1]Onglet 4'!E46</f>
        <v>0</v>
      </c>
      <c r="F56" s="93"/>
      <c r="G56" s="93"/>
      <c r="H56" s="93"/>
      <c r="I56" s="93"/>
      <c r="J56" s="93"/>
      <c r="K56" s="93"/>
      <c r="L56" s="93"/>
      <c r="M56" s="42">
        <f t="shared" si="3"/>
        <v>0</v>
      </c>
    </row>
    <row r="57" spans="1:108" x14ac:dyDescent="0.3">
      <c r="B57" s="7" t="s">
        <v>327</v>
      </c>
      <c r="C57" s="93">
        <f>'[1]Onglet 4'!C47</f>
        <v>0</v>
      </c>
      <c r="D57" s="93">
        <f>'[1]Onglet 4'!D47</f>
        <v>0</v>
      </c>
      <c r="E57" s="93">
        <f>'[1]Onglet 4'!E47</f>
        <v>0</v>
      </c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3">
      <c r="B58" s="3" t="s">
        <v>294</v>
      </c>
      <c r="C58" s="42">
        <f>(C54*'(ne pas modifier) BDD_REF'!$B$215+'RECeff + REIamont (2)'!C55*'(ne pas modifier) BDD_REF'!$B$216+'RECeff + REIamont (2)'!C56*'(ne pas modifier) BDD_REF'!$B$217+'RECeff + REIamont (2)'!C57*'(ne pas modifier) BDD_REF'!$B$218)/1000</f>
        <v>8.9849999999999999E-3</v>
      </c>
      <c r="D58" s="42">
        <f>(D54*'(ne pas modifier) BDD_REF'!$B$215+'RECeff + REIamont (2)'!D55*'(ne pas modifier) BDD_REF'!$B$216+'RECeff + REIamont (2)'!D56*'(ne pas modifier) BDD_REF'!$B$217+'RECeff + REIamont (2)'!D57*'(ne pas modifier) BDD_REF'!$B$218)/1000</f>
        <v>8.9849999999999999E-3</v>
      </c>
      <c r="E58" s="42">
        <f>(E54*'(ne pas modifier) BDD_REF'!$B$215+'RECeff + REIamont (2)'!E55*'(ne pas modifier) BDD_REF'!$B$216+'RECeff + REIamont (2)'!E56*'(ne pas modifier) BDD_REF'!$B$217+'RECeff + REIamont (2)'!E57*'(ne pas modifier) BDD_REF'!$B$218)/1000</f>
        <v>8.9849999999999999E-3</v>
      </c>
      <c r="F58" s="42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42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42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42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42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42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42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42">
        <f t="shared" si="3"/>
        <v>2.6955E-2</v>
      </c>
    </row>
    <row r="59" spans="1:108" s="17" customFormat="1" x14ac:dyDescent="0.3">
      <c r="A59" s="19"/>
      <c r="B59" s="20" t="s">
        <v>186</v>
      </c>
      <c r="C59" s="94">
        <f>C52+C53+C58</f>
        <v>0.10903499999999999</v>
      </c>
      <c r="D59" s="94">
        <f t="shared" ref="D59:L59" si="5">D52+D53+D58</f>
        <v>0.10903499999999999</v>
      </c>
      <c r="E59" s="94">
        <f t="shared" si="5"/>
        <v>0.10903499999999999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0.32710499999999998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144</v>
      </c>
      <c r="C60" s="96">
        <f>((C37+C38+C39)/1000*44/28*'(ne pas modifier) BDD_REF'!$B$232)+'RECeff + REIamont (2)'!C49+'RECeff + REIamont (2)'!C59</f>
        <v>0.42293950000000002</v>
      </c>
      <c r="D60" s="96">
        <f>((D37+D38+D39)/1000*44/28*'(ne pas modifier) BDD_REF'!$B$232)+'RECeff + REIamont (2)'!D49+'RECeff + REIamont (2)'!D59</f>
        <v>0.42293950000000002</v>
      </c>
      <c r="E60" s="96">
        <f>((E37+E38+E39)/1000*44/28*'(ne pas modifier) BDD_REF'!$B$232)+'RECeff + REIamont (2)'!E49+'RECeff + REIamont (2)'!E59</f>
        <v>0.42293950000000002</v>
      </c>
      <c r="F60" s="96">
        <f>((F37+F38+F39)/1000*44/28*'(ne pas modifier) BDD_REF'!$B$232)+'RECeff + REIamont (2)'!F49+'RECeff + REIamont (2)'!F59</f>
        <v>0</v>
      </c>
      <c r="G60" s="96">
        <f>((G37+G38+G39)/1000*44/28*'(ne pas modifier) BDD_REF'!$B$232)+'RECeff + REIamont (2)'!G49+'RECeff + REIamont (2)'!G59</f>
        <v>0</v>
      </c>
      <c r="H60" s="96">
        <f>((H37+H38+H39)/1000*44/28*'(ne pas modifier) BDD_REF'!$B$232)+'RECeff + REIamont (2)'!H49+'RECeff + REIamont (2)'!H59</f>
        <v>0</v>
      </c>
      <c r="I60" s="96">
        <f>((I37+I38+I39)/1000*44/28*'(ne pas modifier) BDD_REF'!$B$232)+'RECeff + REIamont (2)'!I49+'RECeff + REIamont (2)'!I59</f>
        <v>0</v>
      </c>
      <c r="J60" s="96">
        <f>((J37+J38+J39)/1000*44/28*'(ne pas modifier) BDD_REF'!$B$232)+'RECeff + REIamont (2)'!J49+'RECeff + REIamont (2)'!J59</f>
        <v>0</v>
      </c>
      <c r="K60" s="96">
        <f>((K37+K38+K39)/1000*44/28*'(ne pas modifier) BDD_REF'!$B$232)+'RECeff + REIamont (2)'!K49+'RECeff + REIamont (2)'!K59</f>
        <v>0</v>
      </c>
      <c r="L60" s="96">
        <f>((L37+L38+L39)/1000*44/28*'(ne pas modifier) BDD_REF'!$B$232)+'RECeff + REIamont (2)'!L49+'RECeff + REIamont (2)'!L59</f>
        <v>0</v>
      </c>
      <c r="M60" s="96">
        <f t="shared" si="3"/>
        <v>1.2688185000000001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148</v>
      </c>
      <c r="B61" s="7" t="s">
        <v>312</v>
      </c>
      <c r="C61" s="93">
        <v>30</v>
      </c>
      <c r="D61" s="93">
        <v>30</v>
      </c>
      <c r="E61" s="93">
        <v>30</v>
      </c>
      <c r="F61" s="93"/>
      <c r="G61" s="93"/>
      <c r="H61" s="93"/>
      <c r="I61" s="93"/>
      <c r="J61" s="93"/>
      <c r="K61" s="93"/>
      <c r="L61" s="93"/>
      <c r="M61" s="42">
        <f t="shared" si="3"/>
        <v>90</v>
      </c>
    </row>
    <row r="62" spans="1:108" x14ac:dyDescent="0.3">
      <c r="B62" s="7" t="s">
        <v>313</v>
      </c>
      <c r="C62" s="93">
        <f>'[1]Onglet 4'!C50</f>
        <v>0</v>
      </c>
      <c r="D62" s="93">
        <f>'[1]Onglet 4'!D50</f>
        <v>0</v>
      </c>
      <c r="E62" s="93">
        <f>'[1]Onglet 4'!E50</f>
        <v>0</v>
      </c>
      <c r="F62" s="93"/>
      <c r="G62" s="93"/>
      <c r="H62" s="93"/>
      <c r="I62" s="93"/>
      <c r="J62" s="93"/>
      <c r="K62" s="93"/>
      <c r="L62" s="93"/>
      <c r="M62" s="42">
        <f t="shared" si="3"/>
        <v>0</v>
      </c>
    </row>
    <row r="63" spans="1:108" x14ac:dyDescent="0.3">
      <c r="B63" s="7" t="s">
        <v>314</v>
      </c>
      <c r="C63" s="93">
        <f>'[1]Onglet 4'!C51</f>
        <v>0</v>
      </c>
      <c r="D63" s="93">
        <f>'[1]Onglet 4'!D51</f>
        <v>0</v>
      </c>
      <c r="E63" s="93">
        <f>'[1]Onglet 4'!E51</f>
        <v>0</v>
      </c>
      <c r="F63" s="93"/>
      <c r="G63" s="93"/>
      <c r="H63" s="93"/>
      <c r="I63" s="93"/>
      <c r="J63" s="93"/>
      <c r="K63" s="93"/>
      <c r="L63" s="93"/>
      <c r="M63" s="42">
        <f t="shared" si="3"/>
        <v>0</v>
      </c>
    </row>
    <row r="64" spans="1:108" x14ac:dyDescent="0.3">
      <c r="B64" s="20" t="s">
        <v>328</v>
      </c>
      <c r="C64" s="42">
        <f>C61*'(ne pas modifier) BDD_REF'!$B$207 + (C62+C63)*'(ne pas modifier) BDD_REF'!$B$208</f>
        <v>0.48</v>
      </c>
      <c r="D64" s="42">
        <f>D61*'(ne pas modifier) BDD_REF'!$B$207 + (D62+D63)*'(ne pas modifier) BDD_REF'!$B$208</f>
        <v>0.48</v>
      </c>
      <c r="E64" s="42">
        <f>E61*'(ne pas modifier) BDD_REF'!$B$207 + (E62+E63)*'(ne pas modifier) BDD_REF'!$B$208</f>
        <v>0.48</v>
      </c>
      <c r="F64" s="42">
        <f>F61*'(ne pas modifier) BDD_REF'!$B$207 + (F62+F63)*'(ne pas modifier) BDD_REF'!$B$208</f>
        <v>0</v>
      </c>
      <c r="G64" s="42">
        <f>G61*'(ne pas modifier) BDD_REF'!$B$207 + (G62+G63)*'(ne pas modifier) BDD_REF'!$B$208</f>
        <v>0</v>
      </c>
      <c r="H64" s="42">
        <f>H61*'(ne pas modifier) BDD_REF'!$B$207 + (H62+H63)*'(ne pas modifier) BDD_REF'!$B$208</f>
        <v>0</v>
      </c>
      <c r="I64" s="42">
        <f>I61*'(ne pas modifier) BDD_REF'!$B$207 + (I62+I63)*'(ne pas modifier) BDD_REF'!$B$208</f>
        <v>0</v>
      </c>
      <c r="J64" s="42">
        <f>J61*'(ne pas modifier) BDD_REF'!$B$207 + (J62+J63)*'(ne pas modifier) BDD_REF'!$B$208</f>
        <v>0</v>
      </c>
      <c r="K64" s="42">
        <f>K61*'(ne pas modifier) BDD_REF'!$B$207 + (K62+K63)*'(ne pas modifier) BDD_REF'!$B$208</f>
        <v>0</v>
      </c>
      <c r="L64" s="42">
        <f>L61*'(ne pas modifier) BDD_REF'!$B$207 + (L62+L63)*'(ne pas modifier) BDD_REF'!$B$208</f>
        <v>0</v>
      </c>
      <c r="M64" s="42">
        <f t="shared" si="3"/>
        <v>1.44</v>
      </c>
    </row>
    <row r="65" spans="1:108" x14ac:dyDescent="0.3">
      <c r="B65" s="20" t="s">
        <v>329</v>
      </c>
      <c r="C65" s="42">
        <f>((C61*'(ne pas modifier) BDD_REF'!$B$220)+('RECeff + REIamont (2)'!C62+'RECeff + REIamont (2)'!C63)*'(ne pas modifier) BDD_REF'!$B$221)*'(ne pas modifier) BDD_REF'!$B$209</f>
        <v>3.3000000000000002E-2</v>
      </c>
      <c r="D65" s="42">
        <f>((D61*'(ne pas modifier) BDD_REF'!$B$220)+('RECeff + REIamont (2)'!D62+'RECeff + REIamont (2)'!D63)*'(ne pas modifier) BDD_REF'!$B$221)*'(ne pas modifier) BDD_REF'!$B$209</f>
        <v>3.3000000000000002E-2</v>
      </c>
      <c r="E65" s="42">
        <f>((E61*'(ne pas modifier) BDD_REF'!$B$220)+('RECeff + REIamont (2)'!E62+'RECeff + REIamont (2)'!E63)*'(ne pas modifier) BDD_REF'!$B$221)*'(ne pas modifier) BDD_REF'!$B$209</f>
        <v>3.3000000000000002E-2</v>
      </c>
      <c r="F65" s="42">
        <f>((F61*'(ne pas modifier) BDD_REF'!$B$220)+('RECeff + REIamont (2)'!F62+'RECeff + REIamont (2)'!F63)*'(ne pas modifier) BDD_REF'!$B$221)*'(ne pas modifier) BDD_REF'!$B$209</f>
        <v>0</v>
      </c>
      <c r="G65" s="42">
        <f>((G61*'(ne pas modifier) BDD_REF'!$B$220)+('RECeff + REIamont (2)'!G62+'RECeff + REIamont (2)'!G63)*'(ne pas modifier) BDD_REF'!$B$221)*'(ne pas modifier) BDD_REF'!$B$209</f>
        <v>0</v>
      </c>
      <c r="H65" s="42">
        <f>((H61*'(ne pas modifier) BDD_REF'!$B$220)+('RECeff + REIamont (2)'!H62+'RECeff + REIamont (2)'!H63)*'(ne pas modifier) BDD_REF'!$B$221)*'(ne pas modifier) BDD_REF'!$B$209</f>
        <v>0</v>
      </c>
      <c r="I65" s="42">
        <f>((I61*'(ne pas modifier) BDD_REF'!$B$220)+('RECeff + REIamont (2)'!I62+'RECeff + REIamont (2)'!I63)*'(ne pas modifier) BDD_REF'!$B$221)*'(ne pas modifier) BDD_REF'!$B$209</f>
        <v>0</v>
      </c>
      <c r="J65" s="42">
        <f>((J61*'(ne pas modifier) BDD_REF'!$B$220)+('RECeff + REIamont (2)'!J62+'RECeff + REIamont (2)'!J63)*'(ne pas modifier) BDD_REF'!$B$221)*'(ne pas modifier) BDD_REF'!$B$209</f>
        <v>0</v>
      </c>
      <c r="K65" s="42">
        <f>((K61*'(ne pas modifier) BDD_REF'!$B$220)+('RECeff + REIamont (2)'!K62+'RECeff + REIamont (2)'!K63)*'(ne pas modifier) BDD_REF'!$B$221)*'(ne pas modifier) BDD_REF'!$B$209</f>
        <v>0</v>
      </c>
      <c r="L65" s="42">
        <f>((L61*'(ne pas modifier) BDD_REF'!$B$220)+('RECeff + REIamont (2)'!L62+'RECeff + REIamont (2)'!L63)*'(ne pas modifier) BDD_REF'!$B$221)*'(ne pas modifier) BDD_REF'!$B$209</f>
        <v>0</v>
      </c>
      <c r="M65" s="42">
        <f t="shared" si="3"/>
        <v>9.9000000000000005E-2</v>
      </c>
    </row>
    <row r="66" spans="1:108" x14ac:dyDescent="0.3">
      <c r="B66" s="20" t="s">
        <v>330</v>
      </c>
      <c r="C66" s="42">
        <f>(C61+C62+C63)*'(ne pas modifier) BDD_REF'!$B$222*'(ne pas modifier) BDD_REF'!$B$210</f>
        <v>7.9199999999999993E-2</v>
      </c>
      <c r="D66" s="42">
        <f>(D61+D62+D63)*'(ne pas modifier) BDD_REF'!$B$222*'(ne pas modifier) BDD_REF'!$B$210</f>
        <v>7.9199999999999993E-2</v>
      </c>
      <c r="E66" s="42">
        <f>(E61+E62+E63)*'(ne pas modifier) BDD_REF'!$B$222*'(ne pas modifier) BDD_REF'!$B$210</f>
        <v>7.9199999999999993E-2</v>
      </c>
      <c r="F66" s="42">
        <f>(F61+F62+F63)*'(ne pas modifier) BDD_REF'!$B$222*'(ne pas modifier) BDD_REF'!$B$210</f>
        <v>0</v>
      </c>
      <c r="G66" s="42">
        <f>(G61+G62+G63)*'(ne pas modifier) BDD_REF'!$B$222*'(ne pas modifier) BDD_REF'!$B$210</f>
        <v>0</v>
      </c>
      <c r="H66" s="42">
        <f>(H61+H62+H63)*'(ne pas modifier) BDD_REF'!$B$222*'(ne pas modifier) BDD_REF'!$B$210</f>
        <v>0</v>
      </c>
      <c r="I66" s="42">
        <f>(I61+I62+I63)*'(ne pas modifier) BDD_REF'!$B$222*'(ne pas modifier) BDD_REF'!$B$210</f>
        <v>0</v>
      </c>
      <c r="J66" s="42">
        <f>(J61+J62+J63)*'(ne pas modifier) BDD_REF'!$B$222*'(ne pas modifier) BDD_REF'!$B$210</f>
        <v>0</v>
      </c>
      <c r="K66" s="42">
        <f>(K61+K62+K63)*'(ne pas modifier) BDD_REF'!$B$222*'(ne pas modifier) BDD_REF'!$B$210</f>
        <v>0</v>
      </c>
      <c r="L66" s="42">
        <f>(L61+L62+L63)*'(ne pas modifier) BDD_REF'!$B$222*'(ne pas modifier) BDD_REF'!$B$210</f>
        <v>0</v>
      </c>
      <c r="M66" s="42">
        <f t="shared" si="3"/>
        <v>0.23759999999999998</v>
      </c>
    </row>
    <row r="67" spans="1:108" x14ac:dyDescent="0.3">
      <c r="B67" s="7" t="s">
        <v>315</v>
      </c>
      <c r="C67" s="93">
        <f>'[1]Onglet 4'!C53</f>
        <v>0</v>
      </c>
      <c r="D67" s="93">
        <f>'[1]Onglet 4'!D53</f>
        <v>0</v>
      </c>
      <c r="E67" s="93">
        <f>'[1]Onglet 4'!E53</f>
        <v>0</v>
      </c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3">
      <c r="B68" s="7" t="s">
        <v>316</v>
      </c>
      <c r="C68" s="93">
        <v>50</v>
      </c>
      <c r="D68" s="93">
        <v>50</v>
      </c>
      <c r="E68" s="93">
        <v>50</v>
      </c>
      <c r="F68" s="93"/>
      <c r="G68" s="93"/>
      <c r="H68" s="93"/>
      <c r="I68" s="93"/>
      <c r="J68" s="93"/>
      <c r="K68" s="93"/>
      <c r="L68" s="93"/>
      <c r="M68" s="42">
        <f t="shared" si="3"/>
        <v>150</v>
      </c>
    </row>
    <row r="69" spans="1:108" x14ac:dyDescent="0.3">
      <c r="B69" s="7" t="s">
        <v>317</v>
      </c>
      <c r="C69" s="93">
        <f>'[1]Onglet 4'!C55</f>
        <v>0</v>
      </c>
      <c r="D69" s="93">
        <f>'[1]Onglet 4'!D55</f>
        <v>0</v>
      </c>
      <c r="E69" s="93">
        <f>'[1]Onglet 4'!E55</f>
        <v>0</v>
      </c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x14ac:dyDescent="0.3">
      <c r="B70" s="7" t="s">
        <v>318</v>
      </c>
      <c r="C70" s="93">
        <f>'[1]Onglet 4'!C56</f>
        <v>0</v>
      </c>
      <c r="D70" s="93">
        <f>'[1]Onglet 4'!D56</f>
        <v>0</v>
      </c>
      <c r="E70" s="93">
        <f>'[1]Onglet 4'!E56</f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319</v>
      </c>
      <c r="C71" s="93">
        <f>'[1]Onglet 4'!C57</f>
        <v>0</v>
      </c>
      <c r="D71" s="93">
        <f>'[1]Onglet 4'!D57</f>
        <v>0</v>
      </c>
      <c r="E71" s="93">
        <f>'[1]Onglet 4'!E57</f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320</v>
      </c>
      <c r="C72" s="93">
        <f>'[1]Onglet 4'!C58</f>
        <v>0</v>
      </c>
      <c r="D72" s="93">
        <f>'[1]Onglet 4'!D58</f>
        <v>0</v>
      </c>
      <c r="E72" s="93">
        <f>'[1]Onglet 4'!E58</f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173</v>
      </c>
      <c r="C73" s="42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0.15354999999999999</v>
      </c>
      <c r="D73" s="42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0.15354999999999999</v>
      </c>
      <c r="E73" s="42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0.15354999999999999</v>
      </c>
      <c r="F73" s="42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42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42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42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42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42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42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42">
        <f t="shared" si="6"/>
        <v>0.46065</v>
      </c>
    </row>
    <row r="74" spans="1:108" x14ac:dyDescent="0.3">
      <c r="B74" s="7" t="s">
        <v>321</v>
      </c>
      <c r="C74" s="93">
        <v>650</v>
      </c>
      <c r="D74" s="93">
        <v>650</v>
      </c>
      <c r="E74" s="93">
        <v>650</v>
      </c>
      <c r="F74" s="93"/>
      <c r="G74" s="93"/>
      <c r="H74" s="93"/>
      <c r="I74" s="93"/>
      <c r="J74" s="93"/>
      <c r="K74" s="93"/>
      <c r="L74" s="93"/>
      <c r="M74" s="42">
        <f t="shared" si="6"/>
        <v>1950</v>
      </c>
    </row>
    <row r="75" spans="1:108" x14ac:dyDescent="0.3">
      <c r="B75" s="3" t="s">
        <v>184</v>
      </c>
      <c r="C75" s="42">
        <f>(C74*'(ne pas modifier) BDD_REF'!$B$211)/1000</f>
        <v>3.7050000000000007E-2</v>
      </c>
      <c r="D75" s="42">
        <f>(D74*'(ne pas modifier) BDD_REF'!$B$211)/1000</f>
        <v>3.7050000000000007E-2</v>
      </c>
      <c r="E75" s="42">
        <f>(E74*'(ne pas modifier) BDD_REF'!$B$211)/1000</f>
        <v>3.7050000000000007E-2</v>
      </c>
      <c r="F75" s="42">
        <f>(F74*'(ne pas modifier) BDD_REF'!$B$211)/1000</f>
        <v>0</v>
      </c>
      <c r="G75" s="42">
        <f>(G74*'(ne pas modifier) BDD_REF'!$B$211)/1000</f>
        <v>0</v>
      </c>
      <c r="H75" s="42">
        <f>(H74*'(ne pas modifier) BDD_REF'!$B$211)/1000</f>
        <v>0</v>
      </c>
      <c r="I75" s="42">
        <f>(I74*'(ne pas modifier) BDD_REF'!$B$211)/1000</f>
        <v>0</v>
      </c>
      <c r="J75" s="42">
        <f>(J74*'(ne pas modifier) BDD_REF'!$B$211)/1000</f>
        <v>0</v>
      </c>
      <c r="K75" s="42">
        <f>(K74*'(ne pas modifier) BDD_REF'!$B$211)/1000</f>
        <v>0</v>
      </c>
      <c r="L75" s="42">
        <f>(L74*'(ne pas modifier) BDD_REF'!$B$211)/1000</f>
        <v>0</v>
      </c>
      <c r="M75" s="42">
        <f t="shared" si="6"/>
        <v>0.11115000000000003</v>
      </c>
    </row>
    <row r="76" spans="1:108" s="17" customFormat="1" x14ac:dyDescent="0.3">
      <c r="A76" s="19"/>
      <c r="B76" s="20" t="s">
        <v>185</v>
      </c>
      <c r="C76" s="94">
        <f>C73+C75</f>
        <v>0.19059999999999999</v>
      </c>
      <c r="D76" s="94">
        <f t="shared" ref="D76:L76" si="7">D73+D75</f>
        <v>0.19059999999999999</v>
      </c>
      <c r="E76" s="94">
        <f t="shared" si="7"/>
        <v>0.19059999999999999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0.57179999999999997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322</v>
      </c>
      <c r="C77" s="93">
        <v>30</v>
      </c>
      <c r="D77" s="93">
        <v>30</v>
      </c>
      <c r="E77" s="93">
        <v>30</v>
      </c>
      <c r="F77" s="93"/>
      <c r="G77" s="93"/>
      <c r="H77" s="93"/>
      <c r="I77" s="93"/>
      <c r="J77" s="93"/>
      <c r="K77" s="93"/>
      <c r="L77" s="93"/>
      <c r="M77" s="42">
        <f t="shared" si="6"/>
        <v>90</v>
      </c>
    </row>
    <row r="78" spans="1:108" x14ac:dyDescent="0.3">
      <c r="B78" s="7" t="s">
        <v>323</v>
      </c>
      <c r="C78" s="93">
        <v>30</v>
      </c>
      <c r="D78" s="93">
        <v>30</v>
      </c>
      <c r="E78" s="93">
        <v>30</v>
      </c>
      <c r="F78" s="93"/>
      <c r="G78" s="93"/>
      <c r="H78" s="93"/>
      <c r="I78" s="93"/>
      <c r="J78" s="93"/>
      <c r="K78" s="93"/>
      <c r="L78" s="93"/>
      <c r="M78" s="42">
        <f t="shared" si="6"/>
        <v>90</v>
      </c>
    </row>
    <row r="79" spans="1:108" x14ac:dyDescent="0.3">
      <c r="B79" s="3" t="s">
        <v>292</v>
      </c>
      <c r="C79" s="42">
        <f>(C61*'(ne pas modifier) BDD_REF'!$B$212+'RECeff + REIamont (2)'!C77*'(ne pas modifier) BDD_REF'!$B$213+'RECeff + REIamont (2)'!C78*'(ne pas modifier) BDD_REF'!$B$214)/1000</f>
        <v>0.20009999999999997</v>
      </c>
      <c r="D79" s="42">
        <f>(D61*'(ne pas modifier) BDD_REF'!$B$212+'RECeff + REIamont (2)'!D77*'(ne pas modifier) BDD_REF'!$B$213+'RECeff + REIamont (2)'!D78*'(ne pas modifier) BDD_REF'!$B$214)/1000</f>
        <v>0.20009999999999997</v>
      </c>
      <c r="E79" s="42">
        <f>(E61*'(ne pas modifier) BDD_REF'!$B$212+'RECeff + REIamont (2)'!E77*'(ne pas modifier) BDD_REF'!$B$213+'RECeff + REIamont (2)'!E78*'(ne pas modifier) BDD_REF'!$B$214)/1000</f>
        <v>0.20009999999999997</v>
      </c>
      <c r="F79" s="42">
        <f>(F61*'(ne pas modifier) BDD_REF'!$B$212+'RECeff + REIamont (2)'!F77*'(ne pas modifier) BDD_REF'!$B$213+'RECeff + REIamont (2)'!F78*'(ne pas modifier) BDD_REF'!$B$214)/1000</f>
        <v>0</v>
      </c>
      <c r="G79" s="42">
        <f>(G61*'(ne pas modifier) BDD_REF'!$B$212+'RECeff + REIamont (2)'!G77*'(ne pas modifier) BDD_REF'!$B$213+'RECeff + REIamont (2)'!G78*'(ne pas modifier) BDD_REF'!$B$214)/1000</f>
        <v>0</v>
      </c>
      <c r="H79" s="42">
        <f>(H61*'(ne pas modifier) BDD_REF'!$B$212+'RECeff + REIamont (2)'!H77*'(ne pas modifier) BDD_REF'!$B$213+'RECeff + REIamont (2)'!H78*'(ne pas modifier) BDD_REF'!$B$214)/1000</f>
        <v>0</v>
      </c>
      <c r="I79" s="42">
        <f>(I61*'(ne pas modifier) BDD_REF'!$B$212+'RECeff + REIamont (2)'!I77*'(ne pas modifier) BDD_REF'!$B$213+'RECeff + REIamont (2)'!I78*'(ne pas modifier) BDD_REF'!$B$214)/1000</f>
        <v>0</v>
      </c>
      <c r="J79" s="42">
        <f>(J61*'(ne pas modifier) BDD_REF'!$B$212+'RECeff + REIamont (2)'!J77*'(ne pas modifier) BDD_REF'!$B$213+'RECeff + REIamont (2)'!J78*'(ne pas modifier) BDD_REF'!$B$214)/1000</f>
        <v>0</v>
      </c>
      <c r="K79" s="42">
        <f>(K61*'(ne pas modifier) BDD_REF'!$B$212+'RECeff + REIamont (2)'!K77*'(ne pas modifier) BDD_REF'!$B$213+'RECeff + REIamont (2)'!K78*'(ne pas modifier) BDD_REF'!$B$214)/1000</f>
        <v>0</v>
      </c>
      <c r="L79" s="42">
        <f>(L61*'(ne pas modifier) BDD_REF'!$B$212+'RECeff + REIamont (2)'!L77*'(ne pas modifier) BDD_REF'!$B$213+'RECeff + REIamont (2)'!L78*'(ne pas modifier) BDD_REF'!$B$214)/1000</f>
        <v>0</v>
      </c>
      <c r="M79" s="42">
        <f t="shared" si="6"/>
        <v>0.60029999999999994</v>
      </c>
    </row>
    <row r="80" spans="1:108" hidden="1" x14ac:dyDescent="0.3">
      <c r="A80" s="18" t="s">
        <v>179</v>
      </c>
      <c r="B80" s="3" t="s">
        <v>175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324</v>
      </c>
      <c r="C81" s="93">
        <f>'[1]Onglet 4'!C65</f>
        <v>0</v>
      </c>
      <c r="D81" s="93">
        <f>'[1]Onglet 4'!D65</f>
        <v>0</v>
      </c>
      <c r="E81" s="93">
        <f>'[1]Onglet 4'!E65</f>
        <v>0</v>
      </c>
      <c r="F81" s="93"/>
      <c r="G81" s="93"/>
      <c r="H81" s="93"/>
      <c r="I81" s="93"/>
      <c r="J81" s="93"/>
      <c r="K81" s="93"/>
      <c r="L81" s="93"/>
      <c r="M81" s="42">
        <f t="shared" si="6"/>
        <v>0</v>
      </c>
    </row>
    <row r="82" spans="1:108" x14ac:dyDescent="0.3">
      <c r="B82" s="7" t="s">
        <v>325</v>
      </c>
      <c r="C82" s="93">
        <v>1</v>
      </c>
      <c r="D82" s="93">
        <v>1</v>
      </c>
      <c r="E82" s="93">
        <v>1</v>
      </c>
      <c r="F82" s="93"/>
      <c r="G82" s="93"/>
      <c r="H82" s="93"/>
      <c r="I82" s="93"/>
      <c r="J82" s="93"/>
      <c r="K82" s="93"/>
      <c r="L82" s="93"/>
      <c r="M82" s="42">
        <f t="shared" si="6"/>
        <v>3</v>
      </c>
    </row>
    <row r="83" spans="1:108" x14ac:dyDescent="0.3">
      <c r="B83" s="7" t="s">
        <v>326</v>
      </c>
      <c r="C83" s="93">
        <f>'[1]Onglet 4'!C67</f>
        <v>0</v>
      </c>
      <c r="D83" s="93">
        <f>'[1]Onglet 4'!D67</f>
        <v>0</v>
      </c>
      <c r="E83" s="93">
        <f>'[1]Onglet 4'!E67</f>
        <v>0</v>
      </c>
      <c r="F83" s="93"/>
      <c r="G83" s="93"/>
      <c r="H83" s="93"/>
      <c r="I83" s="93"/>
      <c r="J83" s="93"/>
      <c r="K83" s="93"/>
      <c r="L83" s="93"/>
      <c r="M83" s="42">
        <f t="shared" si="6"/>
        <v>0</v>
      </c>
    </row>
    <row r="84" spans="1:108" x14ac:dyDescent="0.3">
      <c r="B84" s="7" t="s">
        <v>327</v>
      </c>
      <c r="C84" s="93">
        <f>'[1]Onglet 4'!C68</f>
        <v>0</v>
      </c>
      <c r="D84" s="93">
        <f>'[1]Onglet 4'!D68</f>
        <v>0</v>
      </c>
      <c r="E84" s="93">
        <f>'[1]Onglet 4'!E68</f>
        <v>0</v>
      </c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3">
      <c r="B85" s="3" t="s">
        <v>294</v>
      </c>
      <c r="C85" s="42">
        <f>(C81*'(ne pas modifier) BDD_REF'!$B$215+'RECeff + REIamont (2)'!C82*'(ne pas modifier) BDD_REF'!$B$216+'RECeff + REIamont (2)'!C83*'(ne pas modifier) BDD_REF'!$B$217+'RECeff + REIamont (2)'!C84*'(ne pas modifier) BDD_REF'!$B$218)/1000</f>
        <v>8.9849999999999999E-3</v>
      </c>
      <c r="D85" s="42">
        <f>(D81*'(ne pas modifier) BDD_REF'!$B$215+'RECeff + REIamont (2)'!D82*'(ne pas modifier) BDD_REF'!$B$216+'RECeff + REIamont (2)'!D83*'(ne pas modifier) BDD_REF'!$B$217+'RECeff + REIamont (2)'!D84*'(ne pas modifier) BDD_REF'!$B$218)/1000</f>
        <v>8.9849999999999999E-3</v>
      </c>
      <c r="E85" s="42">
        <f>(E81*'(ne pas modifier) BDD_REF'!$B$215+'RECeff + REIamont (2)'!E82*'(ne pas modifier) BDD_REF'!$B$216+'RECeff + REIamont (2)'!E83*'(ne pas modifier) BDD_REF'!$B$217+'RECeff + REIamont (2)'!E84*'(ne pas modifier) BDD_REF'!$B$218)/1000</f>
        <v>8.9849999999999999E-3</v>
      </c>
      <c r="F85" s="42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42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42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42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42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42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42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42">
        <f t="shared" si="6"/>
        <v>2.6955E-2</v>
      </c>
    </row>
    <row r="86" spans="1:108" s="17" customFormat="1" x14ac:dyDescent="0.3">
      <c r="A86" s="19"/>
      <c r="B86" s="20" t="s">
        <v>186</v>
      </c>
      <c r="C86" s="94">
        <f>C79+C80+C85</f>
        <v>0.20908499999999997</v>
      </c>
      <c r="D86" s="94">
        <f t="shared" ref="D86:L86" si="8">D79+D80+D85</f>
        <v>0.20908499999999997</v>
      </c>
      <c r="E86" s="94">
        <f t="shared" si="8"/>
        <v>0.20908499999999997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0.6272549999999999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144</v>
      </c>
      <c r="C87" s="96">
        <f>((C64+C65+C66)/1000*44/28*'(ne pas modifier) BDD_REF'!$B$232)+'RECeff + REIamont (2)'!C76+'RECeff + REIamont (2)'!C86</f>
        <v>0.64629400000000004</v>
      </c>
      <c r="D87" s="96">
        <f>((D64+D65+D66)/1000*44/28*'(ne pas modifier) BDD_REF'!$B$232)+'RECeff + REIamont (2)'!D76+'RECeff + REIamont (2)'!D86</f>
        <v>0.64629400000000004</v>
      </c>
      <c r="E87" s="96">
        <f>((E64+E65+E66)/1000*44/28*'(ne pas modifier) BDD_REF'!$B$232)+'RECeff + REIamont (2)'!E76+'RECeff + REIamont (2)'!E86</f>
        <v>0.64629400000000004</v>
      </c>
      <c r="F87" s="96">
        <f>((F64+F65+F66)/1000*44/28*'(ne pas modifier) BDD_REF'!$B$232)+'RECeff + REIamont (2)'!F76+'RECeff + REIamont (2)'!F86</f>
        <v>0</v>
      </c>
      <c r="G87" s="96">
        <f>((G64+G65+G66)/1000*44/28*'(ne pas modifier) BDD_REF'!$B$232)+'RECeff + REIamont (2)'!G76+'RECeff + REIamont (2)'!G86</f>
        <v>0</v>
      </c>
      <c r="H87" s="96">
        <f>((H64+H65+H66)/1000*44/28*'(ne pas modifier) BDD_REF'!$B$232)+'RECeff + REIamont (2)'!H76+'RECeff + REIamont (2)'!H86</f>
        <v>0</v>
      </c>
      <c r="I87" s="96">
        <f>((I64+I65+I66)/1000*44/28*'(ne pas modifier) BDD_REF'!$B$232)+'RECeff + REIamont (2)'!I76+'RECeff + REIamont (2)'!I86</f>
        <v>0</v>
      </c>
      <c r="J87" s="96">
        <f>((J64+J65+J66)/1000*44/28*'(ne pas modifier) BDD_REF'!$B$232)+'RECeff + REIamont (2)'!J76+'RECeff + REIamont (2)'!J86</f>
        <v>0</v>
      </c>
      <c r="K87" s="96">
        <f>((K64+K65+K66)/1000*44/28*'(ne pas modifier) BDD_REF'!$B$232)+'RECeff + REIamont (2)'!K76+'RECeff + REIamont (2)'!K86</f>
        <v>0</v>
      </c>
      <c r="L87" s="96">
        <f>((L64+L65+L66)/1000*44/28*'(ne pas modifier) BDD_REF'!$B$232)+'RECeff + REIamont (2)'!L76+'RECeff + REIamont (2)'!L86</f>
        <v>0</v>
      </c>
      <c r="M87" s="96">
        <f t="shared" si="6"/>
        <v>1.938882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149</v>
      </c>
      <c r="B88" s="7" t="s">
        <v>312</v>
      </c>
      <c r="C88" s="93">
        <v>45</v>
      </c>
      <c r="D88" s="93">
        <v>45</v>
      </c>
      <c r="E88" s="93">
        <v>45</v>
      </c>
      <c r="F88" s="93"/>
      <c r="G88" s="93"/>
      <c r="H88" s="93"/>
      <c r="I88" s="93"/>
      <c r="J88" s="93"/>
      <c r="K88" s="93"/>
      <c r="L88" s="93"/>
      <c r="M88" s="42">
        <f t="shared" si="6"/>
        <v>135</v>
      </c>
    </row>
    <row r="89" spans="1:108" x14ac:dyDescent="0.3">
      <c r="B89" s="7" t="s">
        <v>313</v>
      </c>
      <c r="C89" s="93">
        <f>'[1]Onglet 4'!C71</f>
        <v>0</v>
      </c>
      <c r="D89" s="93">
        <f>'[1]Onglet 4'!D71</f>
        <v>0</v>
      </c>
      <c r="E89" s="93">
        <f>'[1]Onglet 4'!E71</f>
        <v>0</v>
      </c>
      <c r="F89" s="93"/>
      <c r="G89" s="93"/>
      <c r="H89" s="93"/>
      <c r="I89" s="93"/>
      <c r="J89" s="93"/>
      <c r="K89" s="93"/>
      <c r="L89" s="93"/>
      <c r="M89" s="42">
        <f t="shared" si="6"/>
        <v>0</v>
      </c>
    </row>
    <row r="90" spans="1:108" x14ac:dyDescent="0.3">
      <c r="B90" s="7" t="s">
        <v>314</v>
      </c>
      <c r="C90" s="93">
        <f>'[1]Onglet 4'!C72</f>
        <v>0</v>
      </c>
      <c r="D90" s="93">
        <f>'[1]Onglet 4'!D72</f>
        <v>0</v>
      </c>
      <c r="E90" s="93">
        <f>'[1]Onglet 4'!E72</f>
        <v>0</v>
      </c>
      <c r="F90" s="93"/>
      <c r="G90" s="93"/>
      <c r="H90" s="93"/>
      <c r="I90" s="93"/>
      <c r="J90" s="93"/>
      <c r="K90" s="93"/>
      <c r="L90" s="93"/>
      <c r="M90" s="42">
        <f t="shared" si="6"/>
        <v>0</v>
      </c>
    </row>
    <row r="91" spans="1:108" x14ac:dyDescent="0.3">
      <c r="B91" s="20" t="s">
        <v>328</v>
      </c>
      <c r="C91" s="42">
        <f>C88*'(ne pas modifier) BDD_REF'!$B$207 + (C89+C90)*'(ne pas modifier) BDD_REF'!$B$208</f>
        <v>0.72</v>
      </c>
      <c r="D91" s="42">
        <f>D88*'(ne pas modifier) BDD_REF'!$B$207 + (D89+D90)*'(ne pas modifier) BDD_REF'!$B$208</f>
        <v>0.72</v>
      </c>
      <c r="E91" s="42">
        <f>E88*'(ne pas modifier) BDD_REF'!$B$207 + (E89+E90)*'(ne pas modifier) BDD_REF'!$B$208</f>
        <v>0.72</v>
      </c>
      <c r="F91" s="42">
        <f>F88*'(ne pas modifier) BDD_REF'!$B$207 + (F89+F90)*'(ne pas modifier) BDD_REF'!$B$208</f>
        <v>0</v>
      </c>
      <c r="G91" s="42">
        <f>G88*'(ne pas modifier) BDD_REF'!$B$207 + (G89+G90)*'(ne pas modifier) BDD_REF'!$B$208</f>
        <v>0</v>
      </c>
      <c r="H91" s="42">
        <f>H88*'(ne pas modifier) BDD_REF'!$B$207 + (H89+H90)*'(ne pas modifier) BDD_REF'!$B$208</f>
        <v>0</v>
      </c>
      <c r="I91" s="42">
        <f>I88*'(ne pas modifier) BDD_REF'!$B$207 + (I89+I90)*'(ne pas modifier) BDD_REF'!$B$208</f>
        <v>0</v>
      </c>
      <c r="J91" s="42">
        <f>J88*'(ne pas modifier) BDD_REF'!$B$207 + (J89+J90)*'(ne pas modifier) BDD_REF'!$B$208</f>
        <v>0</v>
      </c>
      <c r="K91" s="42">
        <f>K88*'(ne pas modifier) BDD_REF'!$B$207 + (K89+K90)*'(ne pas modifier) BDD_REF'!$B$208</f>
        <v>0</v>
      </c>
      <c r="L91" s="42">
        <f>L88*'(ne pas modifier) BDD_REF'!$B$207 + (L89+L90)*'(ne pas modifier) BDD_REF'!$B$208</f>
        <v>0</v>
      </c>
      <c r="M91" s="42">
        <f t="shared" si="6"/>
        <v>2.16</v>
      </c>
    </row>
    <row r="92" spans="1:108" x14ac:dyDescent="0.3">
      <c r="B92" s="20" t="s">
        <v>329</v>
      </c>
      <c r="C92" s="42">
        <f>((C88*'(ne pas modifier) BDD_REF'!$B$220)+('RECeff + REIamont (2)'!C89+'RECeff + REIamont (2)'!C90)*'(ne pas modifier) BDD_REF'!$B$221)*'(ne pas modifier) BDD_REF'!$B$209</f>
        <v>4.9500000000000002E-2</v>
      </c>
      <c r="D92" s="42">
        <f>((D88*'(ne pas modifier) BDD_REF'!$B$220)+('RECeff + REIamont (2)'!D89+'RECeff + REIamont (2)'!D90)*'(ne pas modifier) BDD_REF'!$B$221)*'(ne pas modifier) BDD_REF'!$B$209</f>
        <v>4.9500000000000002E-2</v>
      </c>
      <c r="E92" s="42">
        <f>((E88*'(ne pas modifier) BDD_REF'!$B$220)+('RECeff + REIamont (2)'!E89+'RECeff + REIamont (2)'!E90)*'(ne pas modifier) BDD_REF'!$B$221)*'(ne pas modifier) BDD_REF'!$B$209</f>
        <v>4.9500000000000002E-2</v>
      </c>
      <c r="F92" s="42">
        <f>((F88*'(ne pas modifier) BDD_REF'!$B$220)+('RECeff + REIamont (2)'!F89+'RECeff + REIamont (2)'!F90)*'(ne pas modifier) BDD_REF'!$B$221)*'(ne pas modifier) BDD_REF'!$B$209</f>
        <v>0</v>
      </c>
      <c r="G92" s="42">
        <f>((G88*'(ne pas modifier) BDD_REF'!$B$220)+('RECeff + REIamont (2)'!G89+'RECeff + REIamont (2)'!G90)*'(ne pas modifier) BDD_REF'!$B$221)*'(ne pas modifier) BDD_REF'!$B$209</f>
        <v>0</v>
      </c>
      <c r="H92" s="42">
        <f>((H88*'(ne pas modifier) BDD_REF'!$B$220)+('RECeff + REIamont (2)'!H89+'RECeff + REIamont (2)'!H90)*'(ne pas modifier) BDD_REF'!$B$221)*'(ne pas modifier) BDD_REF'!$B$209</f>
        <v>0</v>
      </c>
      <c r="I92" s="42">
        <f>((I88*'(ne pas modifier) BDD_REF'!$B$220)+('RECeff + REIamont (2)'!I89+'RECeff + REIamont (2)'!I90)*'(ne pas modifier) BDD_REF'!$B$221)*'(ne pas modifier) BDD_REF'!$B$209</f>
        <v>0</v>
      </c>
      <c r="J92" s="42">
        <f>((J88*'(ne pas modifier) BDD_REF'!$B$220)+('RECeff + REIamont (2)'!J89+'RECeff + REIamont (2)'!J90)*'(ne pas modifier) BDD_REF'!$B$221)*'(ne pas modifier) BDD_REF'!$B$209</f>
        <v>0</v>
      </c>
      <c r="K92" s="42">
        <f>((K88*'(ne pas modifier) BDD_REF'!$B$220)+('RECeff + REIamont (2)'!K89+'RECeff + REIamont (2)'!K90)*'(ne pas modifier) BDD_REF'!$B$221)*'(ne pas modifier) BDD_REF'!$B$209</f>
        <v>0</v>
      </c>
      <c r="L92" s="42">
        <f>((L88*'(ne pas modifier) BDD_REF'!$B$220)+('RECeff + REIamont (2)'!L89+'RECeff + REIamont (2)'!L90)*'(ne pas modifier) BDD_REF'!$B$221)*'(ne pas modifier) BDD_REF'!$B$209</f>
        <v>0</v>
      </c>
      <c r="M92" s="42">
        <f t="shared" si="6"/>
        <v>0.14850000000000002</v>
      </c>
    </row>
    <row r="93" spans="1:108" x14ac:dyDescent="0.3">
      <c r="B93" s="20" t="s">
        <v>330</v>
      </c>
      <c r="C93" s="42">
        <f>(C88+C89+C90)*'(ne pas modifier) BDD_REF'!$B$222*'(ne pas modifier) BDD_REF'!$B$210</f>
        <v>0.11879999999999998</v>
      </c>
      <c r="D93" s="42">
        <f>(D88+D89+D90)*'(ne pas modifier) BDD_REF'!$B$222*'(ne pas modifier) BDD_REF'!$B$210</f>
        <v>0.11879999999999998</v>
      </c>
      <c r="E93" s="42">
        <f>(E88+E89+E90)*'(ne pas modifier) BDD_REF'!$B$222*'(ne pas modifier) BDD_REF'!$B$210</f>
        <v>0.11879999999999998</v>
      </c>
      <c r="F93" s="42">
        <f>(F88+F89+F90)*'(ne pas modifier) BDD_REF'!$B$222*'(ne pas modifier) BDD_REF'!$B$210</f>
        <v>0</v>
      </c>
      <c r="G93" s="42">
        <f>(G88+G89+G90)*'(ne pas modifier) BDD_REF'!$B$222*'(ne pas modifier) BDD_REF'!$B$210</f>
        <v>0</v>
      </c>
      <c r="H93" s="42">
        <f>(H88+H89+H90)*'(ne pas modifier) BDD_REF'!$B$222*'(ne pas modifier) BDD_REF'!$B$210</f>
        <v>0</v>
      </c>
      <c r="I93" s="42">
        <f>(I88+I89+I90)*'(ne pas modifier) BDD_REF'!$B$222*'(ne pas modifier) BDD_REF'!$B$210</f>
        <v>0</v>
      </c>
      <c r="J93" s="42">
        <f>(J88+J89+J90)*'(ne pas modifier) BDD_REF'!$B$222*'(ne pas modifier) BDD_REF'!$B$210</f>
        <v>0</v>
      </c>
      <c r="K93" s="42">
        <f>(K88+K89+K90)*'(ne pas modifier) BDD_REF'!$B$222*'(ne pas modifier) BDD_REF'!$B$210</f>
        <v>0</v>
      </c>
      <c r="L93" s="42">
        <f>(L88+L89+L90)*'(ne pas modifier) BDD_REF'!$B$222*'(ne pas modifier) BDD_REF'!$B$210</f>
        <v>0</v>
      </c>
      <c r="M93" s="42">
        <f t="shared" si="6"/>
        <v>0.35639999999999994</v>
      </c>
    </row>
    <row r="94" spans="1:108" x14ac:dyDescent="0.3">
      <c r="B94" s="7" t="s">
        <v>315</v>
      </c>
      <c r="C94" s="93">
        <f>'[1]Onglet 4'!C74</f>
        <v>0</v>
      </c>
      <c r="D94" s="93">
        <f>'[1]Onglet 4'!D74</f>
        <v>0</v>
      </c>
      <c r="E94" s="93">
        <f>'[1]Onglet 4'!E74</f>
        <v>0</v>
      </c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3">
      <c r="B95" s="7" t="s">
        <v>316</v>
      </c>
      <c r="C95" s="93">
        <v>75</v>
      </c>
      <c r="D95" s="93">
        <v>75</v>
      </c>
      <c r="E95" s="93">
        <v>75</v>
      </c>
      <c r="F95" s="93"/>
      <c r="G95" s="93"/>
      <c r="H95" s="93"/>
      <c r="I95" s="93"/>
      <c r="J95" s="93"/>
      <c r="K95" s="93"/>
      <c r="L95" s="93"/>
      <c r="M95" s="42">
        <f t="shared" si="6"/>
        <v>225</v>
      </c>
    </row>
    <row r="96" spans="1:108" x14ac:dyDescent="0.3">
      <c r="B96" s="7" t="s">
        <v>317</v>
      </c>
      <c r="C96" s="93">
        <f>'[1]Onglet 4'!C76</f>
        <v>0</v>
      </c>
      <c r="D96" s="93">
        <f>'[1]Onglet 4'!D76</f>
        <v>0</v>
      </c>
      <c r="E96" s="93">
        <f>'[1]Onglet 4'!E76</f>
        <v>0</v>
      </c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x14ac:dyDescent="0.3">
      <c r="B97" s="7" t="s">
        <v>318</v>
      </c>
      <c r="C97" s="93">
        <f>'[1]Onglet 4'!C77</f>
        <v>0</v>
      </c>
      <c r="D97" s="93">
        <f>'[1]Onglet 4'!D77</f>
        <v>0</v>
      </c>
      <c r="E97" s="93">
        <f>'[1]Onglet 4'!E77</f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319</v>
      </c>
      <c r="C98" s="93">
        <f>'[1]Onglet 4'!C78</f>
        <v>0</v>
      </c>
      <c r="D98" s="93">
        <f>'[1]Onglet 4'!D78</f>
        <v>0</v>
      </c>
      <c r="E98" s="93">
        <f>'[1]Onglet 4'!E78</f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320</v>
      </c>
      <c r="C99" s="93">
        <f>'[1]Onglet 4'!C79</f>
        <v>0</v>
      </c>
      <c r="D99" s="93">
        <f>'[1]Onglet 4'!D79</f>
        <v>0</v>
      </c>
      <c r="E99" s="93">
        <f>'[1]Onglet 4'!E79</f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173</v>
      </c>
      <c r="C100" s="42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0.230325</v>
      </c>
      <c r="D100" s="42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0.230325</v>
      </c>
      <c r="E100" s="42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0.230325</v>
      </c>
      <c r="F100" s="42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42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42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42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42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42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42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42">
        <f t="shared" si="6"/>
        <v>0.69097500000000001</v>
      </c>
    </row>
    <row r="101" spans="1:108" x14ac:dyDescent="0.3">
      <c r="B101" s="7" t="s">
        <v>321</v>
      </c>
      <c r="C101" s="93">
        <v>800</v>
      </c>
      <c r="D101" s="93">
        <v>800</v>
      </c>
      <c r="E101" s="93">
        <v>800</v>
      </c>
      <c r="F101" s="93"/>
      <c r="G101" s="93"/>
      <c r="H101" s="93"/>
      <c r="I101" s="93"/>
      <c r="J101" s="93"/>
      <c r="K101" s="93"/>
      <c r="L101" s="93"/>
      <c r="M101" s="42">
        <f t="shared" si="6"/>
        <v>2400</v>
      </c>
    </row>
    <row r="102" spans="1:108" x14ac:dyDescent="0.3">
      <c r="B102" s="3" t="s">
        <v>184</v>
      </c>
      <c r="C102" s="42">
        <f>(C101*'(ne pas modifier) BDD_REF'!$B$211)/1000</f>
        <v>4.5600000000000002E-2</v>
      </c>
      <c r="D102" s="42">
        <f>(D101*'(ne pas modifier) BDD_REF'!$B$211)/1000</f>
        <v>4.5600000000000002E-2</v>
      </c>
      <c r="E102" s="42">
        <f>(E101*'(ne pas modifier) BDD_REF'!$B$211)/1000</f>
        <v>4.5600000000000002E-2</v>
      </c>
      <c r="F102" s="42">
        <f>(F101*'(ne pas modifier) BDD_REF'!$B$211)/1000</f>
        <v>0</v>
      </c>
      <c r="G102" s="42">
        <f>(G101*'(ne pas modifier) BDD_REF'!$B$211)/1000</f>
        <v>0</v>
      </c>
      <c r="H102" s="42">
        <f>(H101*'(ne pas modifier) BDD_REF'!$B$211)/1000</f>
        <v>0</v>
      </c>
      <c r="I102" s="42">
        <f>(I101*'(ne pas modifier) BDD_REF'!$B$211)/1000</f>
        <v>0</v>
      </c>
      <c r="J102" s="42">
        <f>(J101*'(ne pas modifier) BDD_REF'!$B$211)/1000</f>
        <v>0</v>
      </c>
      <c r="K102" s="42">
        <f>(K101*'(ne pas modifier) BDD_REF'!$B$211)/1000</f>
        <v>0</v>
      </c>
      <c r="L102" s="42">
        <f>(L101*'(ne pas modifier) BDD_REF'!$B$211)/1000</f>
        <v>0</v>
      </c>
      <c r="M102" s="42">
        <f t="shared" si="6"/>
        <v>0.1368</v>
      </c>
    </row>
    <row r="103" spans="1:108" s="17" customFormat="1" x14ac:dyDescent="0.3">
      <c r="A103" s="19"/>
      <c r="B103" s="20" t="s">
        <v>185</v>
      </c>
      <c r="C103" s="94">
        <f>C100+C102</f>
        <v>0.27592499999999998</v>
      </c>
      <c r="D103" s="94">
        <f t="shared" ref="D103:L103" si="9">D100+D102</f>
        <v>0.27592499999999998</v>
      </c>
      <c r="E103" s="94">
        <f t="shared" si="9"/>
        <v>0.27592499999999998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0.82777499999999993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322</v>
      </c>
      <c r="C104" s="93">
        <v>30</v>
      </c>
      <c r="D104" s="93">
        <v>30</v>
      </c>
      <c r="E104" s="93">
        <v>30</v>
      </c>
      <c r="F104" s="93"/>
      <c r="G104" s="93"/>
      <c r="H104" s="93"/>
      <c r="I104" s="93"/>
      <c r="J104" s="93"/>
      <c r="K104" s="93"/>
      <c r="L104" s="93"/>
      <c r="M104" s="42">
        <f t="shared" si="10"/>
        <v>90</v>
      </c>
    </row>
    <row r="105" spans="1:108" x14ac:dyDescent="0.3">
      <c r="B105" s="7" t="s">
        <v>323</v>
      </c>
      <c r="C105" s="93">
        <v>45</v>
      </c>
      <c r="D105" s="93">
        <v>45</v>
      </c>
      <c r="E105" s="93">
        <v>45</v>
      </c>
      <c r="F105" s="93"/>
      <c r="G105" s="93"/>
      <c r="H105" s="93"/>
      <c r="I105" s="93"/>
      <c r="J105" s="93"/>
      <c r="K105" s="93"/>
      <c r="L105" s="93"/>
      <c r="M105" s="42">
        <f t="shared" si="10"/>
        <v>135</v>
      </c>
    </row>
    <row r="106" spans="1:108" x14ac:dyDescent="0.3">
      <c r="B106" s="3" t="s">
        <v>292</v>
      </c>
      <c r="C106" s="42">
        <f>(C88*'(ne pas modifier) BDD_REF'!$B$212+'RECeff + REIamont (2)'!C104*'(ne pas modifier) BDD_REF'!$B$213+'RECeff + REIamont (2)'!C105*'(ne pas modifier) BDD_REF'!$B$214)/1000</f>
        <v>0.27839999999999998</v>
      </c>
      <c r="D106" s="42">
        <f>(D88*'(ne pas modifier) BDD_REF'!$B$212+'RECeff + REIamont (2)'!D104*'(ne pas modifier) BDD_REF'!$B$213+'RECeff + REIamont (2)'!D105*'(ne pas modifier) BDD_REF'!$B$214)/1000</f>
        <v>0.27839999999999998</v>
      </c>
      <c r="E106" s="42">
        <f>(E88*'(ne pas modifier) BDD_REF'!$B$212+'RECeff + REIamont (2)'!E104*'(ne pas modifier) BDD_REF'!$B$213+'RECeff + REIamont (2)'!E105*'(ne pas modifier) BDD_REF'!$B$214)/1000</f>
        <v>0.27839999999999998</v>
      </c>
      <c r="F106" s="42">
        <f>(F88*'(ne pas modifier) BDD_REF'!$B$212+'RECeff + REIamont (2)'!F104*'(ne pas modifier) BDD_REF'!$B$213+'RECeff + REIamont (2)'!F105*'(ne pas modifier) BDD_REF'!$B$214)/1000</f>
        <v>0</v>
      </c>
      <c r="G106" s="42">
        <f>(G88*'(ne pas modifier) BDD_REF'!$B$212+'RECeff + REIamont (2)'!G104*'(ne pas modifier) BDD_REF'!$B$213+'RECeff + REIamont (2)'!G105*'(ne pas modifier) BDD_REF'!$B$214)/1000</f>
        <v>0</v>
      </c>
      <c r="H106" s="42">
        <f>(H88*'(ne pas modifier) BDD_REF'!$B$212+'RECeff + REIamont (2)'!H104*'(ne pas modifier) BDD_REF'!$B$213+'RECeff + REIamont (2)'!H105*'(ne pas modifier) BDD_REF'!$B$214)/1000</f>
        <v>0</v>
      </c>
      <c r="I106" s="42">
        <f>(I88*'(ne pas modifier) BDD_REF'!$B$212+'RECeff + REIamont (2)'!I104*'(ne pas modifier) BDD_REF'!$B$213+'RECeff + REIamont (2)'!I105*'(ne pas modifier) BDD_REF'!$B$214)/1000</f>
        <v>0</v>
      </c>
      <c r="J106" s="42">
        <f>(J88*'(ne pas modifier) BDD_REF'!$B$212+'RECeff + REIamont (2)'!J104*'(ne pas modifier) BDD_REF'!$B$213+'RECeff + REIamont (2)'!J105*'(ne pas modifier) BDD_REF'!$B$214)/1000</f>
        <v>0</v>
      </c>
      <c r="K106" s="42">
        <f>(K88*'(ne pas modifier) BDD_REF'!$B$212+'RECeff + REIamont (2)'!K104*'(ne pas modifier) BDD_REF'!$B$213+'RECeff + REIamont (2)'!K105*'(ne pas modifier) BDD_REF'!$B$214)/1000</f>
        <v>0</v>
      </c>
      <c r="L106" s="42">
        <f>(L88*'(ne pas modifier) BDD_REF'!$B$212+'RECeff + REIamont (2)'!L104*'(ne pas modifier) BDD_REF'!$B$213+'RECeff + REIamont (2)'!L105*'(ne pas modifier) BDD_REF'!$B$214)/1000</f>
        <v>0</v>
      </c>
      <c r="M106" s="42">
        <f t="shared" si="10"/>
        <v>0.83519999999999994</v>
      </c>
    </row>
    <row r="107" spans="1:108" hidden="1" x14ac:dyDescent="0.3">
      <c r="A107" s="18" t="s">
        <v>179</v>
      </c>
      <c r="B107" s="3" t="s">
        <v>175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324</v>
      </c>
      <c r="C108" s="93">
        <v>0.97</v>
      </c>
      <c r="D108" s="93">
        <v>0.97</v>
      </c>
      <c r="E108" s="93">
        <v>0.97</v>
      </c>
      <c r="F108" s="93"/>
      <c r="G108" s="93"/>
      <c r="H108" s="93"/>
      <c r="I108" s="93"/>
      <c r="J108" s="93"/>
      <c r="K108" s="93"/>
      <c r="L108" s="93"/>
      <c r="M108" s="42">
        <f t="shared" si="10"/>
        <v>2.91</v>
      </c>
    </row>
    <row r="109" spans="1:108" x14ac:dyDescent="0.3">
      <c r="B109" s="7" t="s">
        <v>325</v>
      </c>
      <c r="C109" s="93">
        <v>1</v>
      </c>
      <c r="D109" s="93">
        <v>1</v>
      </c>
      <c r="E109" s="93">
        <v>1</v>
      </c>
      <c r="F109" s="93"/>
      <c r="G109" s="93"/>
      <c r="H109" s="93"/>
      <c r="I109" s="93"/>
      <c r="J109" s="93"/>
      <c r="K109" s="93"/>
      <c r="L109" s="93"/>
      <c r="M109" s="42">
        <f t="shared" si="10"/>
        <v>3</v>
      </c>
    </row>
    <row r="110" spans="1:108" x14ac:dyDescent="0.3">
      <c r="B110" s="7" t="s">
        <v>326</v>
      </c>
      <c r="C110" s="93">
        <v>7.0000000000000001E-3</v>
      </c>
      <c r="D110" s="93">
        <v>7.0000000000000001E-3</v>
      </c>
      <c r="E110" s="93">
        <v>7.0000000000000001E-3</v>
      </c>
      <c r="F110" s="93"/>
      <c r="G110" s="93"/>
      <c r="H110" s="93"/>
      <c r="I110" s="93"/>
      <c r="J110" s="93"/>
      <c r="K110" s="93"/>
      <c r="L110" s="93"/>
      <c r="M110" s="42">
        <f t="shared" si="10"/>
        <v>2.1000000000000001E-2</v>
      </c>
    </row>
    <row r="111" spans="1:108" x14ac:dyDescent="0.3">
      <c r="B111" s="7" t="s">
        <v>327</v>
      </c>
      <c r="C111" s="93">
        <f>'[1]Onglet 4'!C89</f>
        <v>0</v>
      </c>
      <c r="D111" s="93">
        <f>'[1]Onglet 4'!D89</f>
        <v>0</v>
      </c>
      <c r="E111" s="93">
        <f>'[1]Onglet 4'!E89</f>
        <v>0</v>
      </c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">
      <c r="B112" s="3" t="s">
        <v>294</v>
      </c>
      <c r="C112" s="42">
        <f>(C108*'(ne pas modifier) BDD_REF'!$B$215+'RECeff + REIamont (2)'!C109*'(ne pas modifier) BDD_REF'!$B$216+'RECeff + REIamont (2)'!C110*'(ne pas modifier) BDD_REF'!$B$217+'RECeff + REIamont (2)'!C111*'(ne pas modifier) BDD_REF'!$B$218)/1000</f>
        <v>1.4989667999999999E-2</v>
      </c>
      <c r="D112" s="42">
        <f>(D108*'(ne pas modifier) BDD_REF'!$B$215+'RECeff + REIamont (2)'!D109*'(ne pas modifier) BDD_REF'!$B$216+'RECeff + REIamont (2)'!D110*'(ne pas modifier) BDD_REF'!$B$217+'RECeff + REIamont (2)'!D111*'(ne pas modifier) BDD_REF'!$B$218)/1000</f>
        <v>1.4989667999999999E-2</v>
      </c>
      <c r="E112" s="42">
        <f>(E108*'(ne pas modifier) BDD_REF'!$B$215+'RECeff + REIamont (2)'!E109*'(ne pas modifier) BDD_REF'!$B$216+'RECeff + REIamont (2)'!E110*'(ne pas modifier) BDD_REF'!$B$217+'RECeff + REIamont (2)'!E111*'(ne pas modifier) BDD_REF'!$B$218)/1000</f>
        <v>1.4989667999999999E-2</v>
      </c>
      <c r="F112" s="42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42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42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42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42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42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42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42">
        <f t="shared" si="10"/>
        <v>4.4969004E-2</v>
      </c>
    </row>
    <row r="113" spans="1:108" s="17" customFormat="1" x14ac:dyDescent="0.3">
      <c r="A113" s="19"/>
      <c r="B113" s="20" t="s">
        <v>186</v>
      </c>
      <c r="C113" s="94">
        <f>C106+C107+C112</f>
        <v>0.29338966799999999</v>
      </c>
      <c r="D113" s="94">
        <f t="shared" ref="D113:L113" si="11">D106+D107+D112</f>
        <v>0.29338966799999999</v>
      </c>
      <c r="E113" s="94">
        <f t="shared" si="11"/>
        <v>0.29338966799999999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0.88016900399999998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144</v>
      </c>
      <c r="C114" s="96">
        <f>((C91+C92+C93)/1000*44/28*'(ne pas modifier) BDD_REF'!$B$232)+'RECeff + REIamont (2)'!C103+'RECeff + REIamont (2)'!C113</f>
        <v>0.93922816799999997</v>
      </c>
      <c r="D114" s="96">
        <f>((D91+D92+D93)/1000*44/28*'(ne pas modifier) BDD_REF'!$B$232)+'RECeff + REIamont (2)'!D103+'RECeff + REIamont (2)'!D113</f>
        <v>0.93922816799999997</v>
      </c>
      <c r="E114" s="96">
        <f>((E91+E92+E93)/1000*44/28*'(ne pas modifier) BDD_REF'!$B$232)+'RECeff + REIamont (2)'!E103+'RECeff + REIamont (2)'!E113</f>
        <v>0.93922816799999997</v>
      </c>
      <c r="F114" s="96">
        <f>((F91+F92+F93)/1000*44/28*'(ne pas modifier) BDD_REF'!$B$232)+'RECeff + REIamont (2)'!F103+'RECeff + REIamont (2)'!F113</f>
        <v>0</v>
      </c>
      <c r="G114" s="96">
        <f>((G91+G92+G93)/1000*44/28*'(ne pas modifier) BDD_REF'!$B$232)+'RECeff + REIamont (2)'!G103+'RECeff + REIamont (2)'!G113</f>
        <v>0</v>
      </c>
      <c r="H114" s="96">
        <f>((H91+H92+H93)/1000*44/28*'(ne pas modifier) BDD_REF'!$B$232)+'RECeff + REIamont (2)'!H103+'RECeff + REIamont (2)'!H113</f>
        <v>0</v>
      </c>
      <c r="I114" s="96">
        <f>((I91+I92+I93)/1000*44/28*'(ne pas modifier) BDD_REF'!$B$232)+'RECeff + REIamont (2)'!I103+'RECeff + REIamont (2)'!I113</f>
        <v>0</v>
      </c>
      <c r="J114" s="96">
        <f>((J91+J92+J93)/1000*44/28*'(ne pas modifier) BDD_REF'!$B$232)+'RECeff + REIamont (2)'!J103+'RECeff + REIamont (2)'!J113</f>
        <v>0</v>
      </c>
      <c r="K114" s="96">
        <f>((K91+K92+K93)/1000*44/28*'(ne pas modifier) BDD_REF'!$B$232)+'RECeff + REIamont (2)'!K103+'RECeff + REIamont (2)'!K113</f>
        <v>0</v>
      </c>
      <c r="L114" s="96">
        <f>((L91+L92+L93)/1000*44/28*'(ne pas modifier) BDD_REF'!$B$232)+'RECeff + REIamont (2)'!L103+'RECeff + REIamont (2)'!L113</f>
        <v>0</v>
      </c>
      <c r="M114" s="96">
        <f t="shared" si="10"/>
        <v>2.8176845039999998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150</v>
      </c>
      <c r="B115" s="7" t="s">
        <v>312</v>
      </c>
      <c r="C115" s="93">
        <v>60</v>
      </c>
      <c r="D115" s="93">
        <v>60</v>
      </c>
      <c r="E115" s="93">
        <v>60</v>
      </c>
      <c r="F115" s="93"/>
      <c r="G115" s="93"/>
      <c r="H115" s="93"/>
      <c r="I115" s="93"/>
      <c r="J115" s="93"/>
      <c r="K115" s="93"/>
      <c r="L115" s="93"/>
      <c r="M115" s="42">
        <f t="shared" si="10"/>
        <v>180</v>
      </c>
    </row>
    <row r="116" spans="1:108" x14ac:dyDescent="0.3">
      <c r="B116" s="7" t="s">
        <v>313</v>
      </c>
      <c r="C116" s="93">
        <f>'[1]Onglet 4'!C92</f>
        <v>0</v>
      </c>
      <c r="D116" s="93">
        <f>'[1]Onglet 4'!D92</f>
        <v>0</v>
      </c>
      <c r="E116" s="93">
        <f>'[1]Onglet 4'!E92</f>
        <v>0</v>
      </c>
      <c r="F116" s="93"/>
      <c r="G116" s="93"/>
      <c r="H116" s="93"/>
      <c r="I116" s="93"/>
      <c r="J116" s="93"/>
      <c r="K116" s="93"/>
      <c r="L116" s="93"/>
      <c r="M116" s="42">
        <f t="shared" si="10"/>
        <v>0</v>
      </c>
    </row>
    <row r="117" spans="1:108" x14ac:dyDescent="0.3">
      <c r="B117" s="7" t="s">
        <v>314</v>
      </c>
      <c r="C117" s="93">
        <f>'[1]Onglet 4'!C93</f>
        <v>0</v>
      </c>
      <c r="D117" s="93">
        <f>'[1]Onglet 4'!D93</f>
        <v>0</v>
      </c>
      <c r="E117" s="93">
        <f>'[1]Onglet 4'!E93</f>
        <v>0</v>
      </c>
      <c r="F117" s="93"/>
      <c r="G117" s="93"/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3">
      <c r="B118" s="20" t="s">
        <v>328</v>
      </c>
      <c r="C118" s="42">
        <f>C115*'(ne pas modifier) BDD_REF'!$B$207 + (C116+C117)*'(ne pas modifier) BDD_REF'!$B$208</f>
        <v>0.96</v>
      </c>
      <c r="D118" s="42">
        <f>D115*'(ne pas modifier) BDD_REF'!$B$207 + (D116+D117)*'(ne pas modifier) BDD_REF'!$B$208</f>
        <v>0.96</v>
      </c>
      <c r="E118" s="42">
        <f>E115*'(ne pas modifier) BDD_REF'!$B$207 + (E116+E117)*'(ne pas modifier) BDD_REF'!$B$208</f>
        <v>0.96</v>
      </c>
      <c r="F118" s="42">
        <f>F115*'(ne pas modifier) BDD_REF'!$B$207 + (F116+F117)*'(ne pas modifier) BDD_REF'!$B$208</f>
        <v>0</v>
      </c>
      <c r="G118" s="42">
        <f>G115*'(ne pas modifier) BDD_REF'!$B$207 + (G116+G117)*'(ne pas modifier) BDD_REF'!$B$208</f>
        <v>0</v>
      </c>
      <c r="H118" s="42">
        <f>H115*'(ne pas modifier) BDD_REF'!$B$207 + (H116+H117)*'(ne pas modifier) BDD_REF'!$B$208</f>
        <v>0</v>
      </c>
      <c r="I118" s="42">
        <f>I115*'(ne pas modifier) BDD_REF'!$B$207 + (I116+I117)*'(ne pas modifier) BDD_REF'!$B$208</f>
        <v>0</v>
      </c>
      <c r="J118" s="42">
        <f>J115*'(ne pas modifier) BDD_REF'!$B$207 + (J116+J117)*'(ne pas modifier) BDD_REF'!$B$208</f>
        <v>0</v>
      </c>
      <c r="K118" s="42">
        <f>K115*'(ne pas modifier) BDD_REF'!$B$207 + (K116+K117)*'(ne pas modifier) BDD_REF'!$B$208</f>
        <v>0</v>
      </c>
      <c r="L118" s="42">
        <f>L115*'(ne pas modifier) BDD_REF'!$B$207 + (L116+L117)*'(ne pas modifier) BDD_REF'!$B$208</f>
        <v>0</v>
      </c>
      <c r="M118" s="42">
        <f t="shared" si="10"/>
        <v>2.88</v>
      </c>
    </row>
    <row r="119" spans="1:108" x14ac:dyDescent="0.3">
      <c r="B119" s="20" t="s">
        <v>329</v>
      </c>
      <c r="C119" s="42">
        <f>((C115*'(ne pas modifier) BDD_REF'!$B$220)+('RECeff + REIamont (2)'!C116+'RECeff + REIamont (2)'!C117)*'(ne pas modifier) BDD_REF'!$B$221)*'(ne pas modifier) BDD_REF'!$B$209</f>
        <v>6.6000000000000003E-2</v>
      </c>
      <c r="D119" s="42">
        <f>((D115*'(ne pas modifier) BDD_REF'!$B$220)+('RECeff + REIamont (2)'!D116+'RECeff + REIamont (2)'!D117)*'(ne pas modifier) BDD_REF'!$B$221)*'(ne pas modifier) BDD_REF'!$B$209</f>
        <v>6.6000000000000003E-2</v>
      </c>
      <c r="E119" s="42">
        <f>((E115*'(ne pas modifier) BDD_REF'!$B$220)+('RECeff + REIamont (2)'!E116+'RECeff + REIamont (2)'!E117)*'(ne pas modifier) BDD_REF'!$B$221)*'(ne pas modifier) BDD_REF'!$B$209</f>
        <v>6.6000000000000003E-2</v>
      </c>
      <c r="F119" s="42">
        <f>((F115*'(ne pas modifier) BDD_REF'!$B$220)+('RECeff + REIamont (2)'!F116+'RECeff + REIamont (2)'!F117)*'(ne pas modifier) BDD_REF'!$B$221)*'(ne pas modifier) BDD_REF'!$B$209</f>
        <v>0</v>
      </c>
      <c r="G119" s="42">
        <f>((G115*'(ne pas modifier) BDD_REF'!$B$220)+('RECeff + REIamont (2)'!G116+'RECeff + REIamont (2)'!G117)*'(ne pas modifier) BDD_REF'!$B$221)*'(ne pas modifier) BDD_REF'!$B$209</f>
        <v>0</v>
      </c>
      <c r="H119" s="42">
        <f>((H115*'(ne pas modifier) BDD_REF'!$B$220)+('RECeff + REIamont (2)'!H116+'RECeff + REIamont (2)'!H117)*'(ne pas modifier) BDD_REF'!$B$221)*'(ne pas modifier) BDD_REF'!$B$209</f>
        <v>0</v>
      </c>
      <c r="I119" s="42">
        <f>((I115*'(ne pas modifier) BDD_REF'!$B$220)+('RECeff + REIamont (2)'!I116+'RECeff + REIamont (2)'!I117)*'(ne pas modifier) BDD_REF'!$B$221)*'(ne pas modifier) BDD_REF'!$B$209</f>
        <v>0</v>
      </c>
      <c r="J119" s="42">
        <f>((J115*'(ne pas modifier) BDD_REF'!$B$220)+('RECeff + REIamont (2)'!J116+'RECeff + REIamont (2)'!J117)*'(ne pas modifier) BDD_REF'!$B$221)*'(ne pas modifier) BDD_REF'!$B$209</f>
        <v>0</v>
      </c>
      <c r="K119" s="42">
        <f>((K115*'(ne pas modifier) BDD_REF'!$B$220)+('RECeff + REIamont (2)'!K116+'RECeff + REIamont (2)'!K117)*'(ne pas modifier) BDD_REF'!$B$221)*'(ne pas modifier) BDD_REF'!$B$209</f>
        <v>0</v>
      </c>
      <c r="L119" s="42">
        <f>((L115*'(ne pas modifier) BDD_REF'!$B$220)+('RECeff + REIamont (2)'!L116+'RECeff + REIamont (2)'!L117)*'(ne pas modifier) BDD_REF'!$B$221)*'(ne pas modifier) BDD_REF'!$B$209</f>
        <v>0</v>
      </c>
      <c r="M119" s="42">
        <f t="shared" si="10"/>
        <v>0.19800000000000001</v>
      </c>
    </row>
    <row r="120" spans="1:108" x14ac:dyDescent="0.3">
      <c r="B120" s="20" t="s">
        <v>330</v>
      </c>
      <c r="C120" s="42">
        <f>(C115+C116+C117)*'(ne pas modifier) BDD_REF'!$B$222*'(ne pas modifier) BDD_REF'!$B$210</f>
        <v>0.15839999999999999</v>
      </c>
      <c r="D120" s="42">
        <f>(D115+D116+D117)*'(ne pas modifier) BDD_REF'!$B$222*'(ne pas modifier) BDD_REF'!$B$210</f>
        <v>0.15839999999999999</v>
      </c>
      <c r="E120" s="42">
        <f>(E115+E116+E117)*'(ne pas modifier) BDD_REF'!$B$222*'(ne pas modifier) BDD_REF'!$B$210</f>
        <v>0.15839999999999999</v>
      </c>
      <c r="F120" s="42">
        <f>(F115+F116+F117)*'(ne pas modifier) BDD_REF'!$B$222*'(ne pas modifier) BDD_REF'!$B$210</f>
        <v>0</v>
      </c>
      <c r="G120" s="42">
        <f>(G115+G116+G117)*'(ne pas modifier) BDD_REF'!$B$222*'(ne pas modifier) BDD_REF'!$B$210</f>
        <v>0</v>
      </c>
      <c r="H120" s="42">
        <f>(H115+H116+H117)*'(ne pas modifier) BDD_REF'!$B$222*'(ne pas modifier) BDD_REF'!$B$210</f>
        <v>0</v>
      </c>
      <c r="I120" s="42">
        <f>(I115+I116+I117)*'(ne pas modifier) BDD_REF'!$B$222*'(ne pas modifier) BDD_REF'!$B$210</f>
        <v>0</v>
      </c>
      <c r="J120" s="42">
        <f>(J115+J116+J117)*'(ne pas modifier) BDD_REF'!$B$222*'(ne pas modifier) BDD_REF'!$B$210</f>
        <v>0</v>
      </c>
      <c r="K120" s="42">
        <f>(K115+K116+K117)*'(ne pas modifier) BDD_REF'!$B$222*'(ne pas modifier) BDD_REF'!$B$210</f>
        <v>0</v>
      </c>
      <c r="L120" s="42">
        <f>(L115+L116+L117)*'(ne pas modifier) BDD_REF'!$B$222*'(ne pas modifier) BDD_REF'!$B$210</f>
        <v>0</v>
      </c>
      <c r="M120" s="42">
        <f t="shared" si="10"/>
        <v>0.47519999999999996</v>
      </c>
    </row>
    <row r="121" spans="1:108" x14ac:dyDescent="0.3">
      <c r="B121" s="7" t="s">
        <v>315</v>
      </c>
      <c r="C121" s="93">
        <f>'[1]Onglet 4'!C95</f>
        <v>0</v>
      </c>
      <c r="D121" s="93">
        <f>'[1]Onglet 4'!D95</f>
        <v>0</v>
      </c>
      <c r="E121" s="93">
        <f>'[1]Onglet 4'!E95</f>
        <v>0</v>
      </c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">
      <c r="B122" s="7" t="s">
        <v>316</v>
      </c>
      <c r="C122" s="93">
        <f>'[1]Onglet 4'!C96</f>
        <v>100</v>
      </c>
      <c r="D122" s="93">
        <f>'[1]Onglet 4'!D96</f>
        <v>100</v>
      </c>
      <c r="E122" s="93">
        <f>'[1]Onglet 4'!E96</f>
        <v>100</v>
      </c>
      <c r="F122" s="93"/>
      <c r="G122" s="93"/>
      <c r="H122" s="93"/>
      <c r="I122" s="93"/>
      <c r="J122" s="93"/>
      <c r="K122" s="93"/>
      <c r="L122" s="93"/>
      <c r="M122" s="42">
        <f t="shared" si="10"/>
        <v>300</v>
      </c>
    </row>
    <row r="123" spans="1:108" x14ac:dyDescent="0.3">
      <c r="B123" s="7" t="s">
        <v>317</v>
      </c>
      <c r="C123" s="93">
        <f>'[1]Onglet 4'!C97</f>
        <v>0</v>
      </c>
      <c r="D123" s="93">
        <f>'[1]Onglet 4'!D97</f>
        <v>0</v>
      </c>
      <c r="E123" s="93">
        <f>'[1]Onglet 4'!E97</f>
        <v>0</v>
      </c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">
      <c r="B124" s="7" t="s">
        <v>318</v>
      </c>
      <c r="C124" s="93">
        <f>'[1]Onglet 4'!C98</f>
        <v>0</v>
      </c>
      <c r="D124" s="93">
        <f>'[1]Onglet 4'!D98</f>
        <v>0</v>
      </c>
      <c r="E124" s="93">
        <f>'[1]Onglet 4'!E98</f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319</v>
      </c>
      <c r="C125" s="93">
        <f>'[1]Onglet 4'!C99</f>
        <v>0</v>
      </c>
      <c r="D125" s="93">
        <f>'[1]Onglet 4'!D99</f>
        <v>0</v>
      </c>
      <c r="E125" s="93">
        <f>'[1]Onglet 4'!E99</f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320</v>
      </c>
      <c r="C126" s="93">
        <f>'[1]Onglet 4'!C100</f>
        <v>0</v>
      </c>
      <c r="D126" s="93">
        <f>'[1]Onglet 4'!D100</f>
        <v>0</v>
      </c>
      <c r="E126" s="93">
        <f>'[1]Onglet 4'!E100</f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173</v>
      </c>
      <c r="C127" s="42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0.30709999999999998</v>
      </c>
      <c r="D127" s="42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0.30709999999999998</v>
      </c>
      <c r="E127" s="42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0.30709999999999998</v>
      </c>
      <c r="F127" s="42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42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42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42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42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42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42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42">
        <f t="shared" si="10"/>
        <v>0.92130000000000001</v>
      </c>
    </row>
    <row r="128" spans="1:108" x14ac:dyDescent="0.3">
      <c r="B128" s="7" t="s">
        <v>321</v>
      </c>
      <c r="C128" s="93">
        <v>1000</v>
      </c>
      <c r="D128" s="93">
        <v>1000</v>
      </c>
      <c r="E128" s="93">
        <v>1000</v>
      </c>
      <c r="F128" s="93"/>
      <c r="G128" s="93"/>
      <c r="H128" s="93"/>
      <c r="I128" s="93"/>
      <c r="J128" s="93"/>
      <c r="K128" s="93"/>
      <c r="L128" s="93"/>
      <c r="M128" s="42">
        <f t="shared" si="10"/>
        <v>3000</v>
      </c>
    </row>
    <row r="129" spans="1:108" x14ac:dyDescent="0.3">
      <c r="B129" s="3" t="s">
        <v>184</v>
      </c>
      <c r="C129" s="42">
        <f>(C128*'(ne pas modifier) BDD_REF'!$B$211)/1000</f>
        <v>5.7000000000000002E-2</v>
      </c>
      <c r="D129" s="42">
        <f>(D128*'(ne pas modifier) BDD_REF'!$B$211)/1000</f>
        <v>5.7000000000000002E-2</v>
      </c>
      <c r="E129" s="42">
        <f>(E128*'(ne pas modifier) BDD_REF'!$B$211)/1000</f>
        <v>5.7000000000000002E-2</v>
      </c>
      <c r="F129" s="42">
        <f>(F128*'(ne pas modifier) BDD_REF'!$B$211)/1000</f>
        <v>0</v>
      </c>
      <c r="G129" s="42">
        <f>(G128*'(ne pas modifier) BDD_REF'!$B$211)/1000</f>
        <v>0</v>
      </c>
      <c r="H129" s="42">
        <f>(H128*'(ne pas modifier) BDD_REF'!$B$211)/1000</f>
        <v>0</v>
      </c>
      <c r="I129" s="42">
        <f>(I128*'(ne pas modifier) BDD_REF'!$B$211)/1000</f>
        <v>0</v>
      </c>
      <c r="J129" s="42">
        <f>(J128*'(ne pas modifier) BDD_REF'!$B$211)/1000</f>
        <v>0</v>
      </c>
      <c r="K129" s="42">
        <f>(K128*'(ne pas modifier) BDD_REF'!$B$211)/1000</f>
        <v>0</v>
      </c>
      <c r="L129" s="42">
        <f>(L128*'(ne pas modifier) BDD_REF'!$B$211)/1000</f>
        <v>0</v>
      </c>
      <c r="M129" s="42">
        <f t="shared" si="10"/>
        <v>0.17100000000000001</v>
      </c>
    </row>
    <row r="130" spans="1:108" s="17" customFormat="1" x14ac:dyDescent="0.3">
      <c r="A130" s="19"/>
      <c r="B130" s="20" t="s">
        <v>185</v>
      </c>
      <c r="C130" s="94">
        <f>C127+C129</f>
        <v>0.36409999999999998</v>
      </c>
      <c r="D130" s="94">
        <f t="shared" ref="D130:L130" si="12">D127+D129</f>
        <v>0.36409999999999998</v>
      </c>
      <c r="E130" s="94">
        <f t="shared" si="12"/>
        <v>0.36409999999999998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1.0922999999999998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322</v>
      </c>
      <c r="C131" s="93">
        <v>30</v>
      </c>
      <c r="D131" s="93">
        <v>30</v>
      </c>
      <c r="E131" s="93">
        <v>30</v>
      </c>
      <c r="F131" s="93"/>
      <c r="G131" s="93"/>
      <c r="H131" s="93"/>
      <c r="I131" s="93"/>
      <c r="J131" s="93"/>
      <c r="K131" s="93"/>
      <c r="L131" s="93"/>
      <c r="M131" s="42">
        <f t="shared" si="10"/>
        <v>90</v>
      </c>
    </row>
    <row r="132" spans="1:108" x14ac:dyDescent="0.3">
      <c r="B132" s="7" t="s">
        <v>323</v>
      </c>
      <c r="C132" s="93">
        <v>60</v>
      </c>
      <c r="D132" s="93">
        <v>60</v>
      </c>
      <c r="E132" s="93">
        <v>60</v>
      </c>
      <c r="F132" s="93"/>
      <c r="G132" s="93"/>
      <c r="H132" s="93"/>
      <c r="I132" s="93"/>
      <c r="J132" s="93"/>
      <c r="K132" s="93"/>
      <c r="L132" s="93"/>
      <c r="M132" s="42">
        <f t="shared" si="10"/>
        <v>180</v>
      </c>
    </row>
    <row r="133" spans="1:108" x14ac:dyDescent="0.3">
      <c r="B133" s="3" t="s">
        <v>292</v>
      </c>
      <c r="C133" s="42">
        <f>(C115*'(ne pas modifier) BDD_REF'!$B$212+'RECeff + REIamont (2)'!C131*'(ne pas modifier) BDD_REF'!$B$213+'RECeff + REIamont (2)'!C132*'(ne pas modifier) BDD_REF'!$B$214)/1000</f>
        <v>0.35669999999999991</v>
      </c>
      <c r="D133" s="42">
        <f>(D115*'(ne pas modifier) BDD_REF'!$B$212+'RECeff + REIamont (2)'!D131*'(ne pas modifier) BDD_REF'!$B$213+'RECeff + REIamont (2)'!D132*'(ne pas modifier) BDD_REF'!$B$214)/1000</f>
        <v>0.35669999999999991</v>
      </c>
      <c r="E133" s="42">
        <f>(E115*'(ne pas modifier) BDD_REF'!$B$212+'RECeff + REIamont (2)'!E131*'(ne pas modifier) BDD_REF'!$B$213+'RECeff + REIamont (2)'!E132*'(ne pas modifier) BDD_REF'!$B$214)/1000</f>
        <v>0.35669999999999991</v>
      </c>
      <c r="F133" s="42">
        <f>(F115*'(ne pas modifier) BDD_REF'!$B$212+'RECeff + REIamont (2)'!F131*'(ne pas modifier) BDD_REF'!$B$213+'RECeff + REIamont (2)'!F132*'(ne pas modifier) BDD_REF'!$B$214)/1000</f>
        <v>0</v>
      </c>
      <c r="G133" s="42">
        <f>(G115*'(ne pas modifier) BDD_REF'!$B$212+'RECeff + REIamont (2)'!G131*'(ne pas modifier) BDD_REF'!$B$213+'RECeff + REIamont (2)'!G132*'(ne pas modifier) BDD_REF'!$B$214)/1000</f>
        <v>0</v>
      </c>
      <c r="H133" s="42">
        <f>(H115*'(ne pas modifier) BDD_REF'!$B$212+'RECeff + REIamont (2)'!H131*'(ne pas modifier) BDD_REF'!$B$213+'RECeff + REIamont (2)'!H132*'(ne pas modifier) BDD_REF'!$B$214)/1000</f>
        <v>0</v>
      </c>
      <c r="I133" s="42">
        <f>(I115*'(ne pas modifier) BDD_REF'!$B$212+'RECeff + REIamont (2)'!I131*'(ne pas modifier) BDD_REF'!$B$213+'RECeff + REIamont (2)'!I132*'(ne pas modifier) BDD_REF'!$B$214)/1000</f>
        <v>0</v>
      </c>
      <c r="J133" s="42">
        <f>(J115*'(ne pas modifier) BDD_REF'!$B$212+'RECeff + REIamont (2)'!J131*'(ne pas modifier) BDD_REF'!$B$213+'RECeff + REIamont (2)'!J132*'(ne pas modifier) BDD_REF'!$B$214)/1000</f>
        <v>0</v>
      </c>
      <c r="K133" s="42">
        <f>(K115*'(ne pas modifier) BDD_REF'!$B$212+'RECeff + REIamont (2)'!K131*'(ne pas modifier) BDD_REF'!$B$213+'RECeff + REIamont (2)'!K132*'(ne pas modifier) BDD_REF'!$B$214)/1000</f>
        <v>0</v>
      </c>
      <c r="L133" s="42">
        <f>(L115*'(ne pas modifier) BDD_REF'!$B$212+'RECeff + REIamont (2)'!L131*'(ne pas modifier) BDD_REF'!$B$213+'RECeff + REIamont (2)'!L132*'(ne pas modifier) BDD_REF'!$B$214)/1000</f>
        <v>0</v>
      </c>
      <c r="M133" s="42">
        <f t="shared" si="10"/>
        <v>1.0700999999999996</v>
      </c>
    </row>
    <row r="134" spans="1:108" hidden="1" x14ac:dyDescent="0.3">
      <c r="A134" s="18" t="s">
        <v>179</v>
      </c>
      <c r="B134" s="3" t="s">
        <v>175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324</v>
      </c>
      <c r="C135" s="93">
        <v>0.97</v>
      </c>
      <c r="D135" s="93">
        <v>0.97</v>
      </c>
      <c r="E135" s="93">
        <v>0.97</v>
      </c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2.91</v>
      </c>
    </row>
    <row r="136" spans="1:108" x14ac:dyDescent="0.3">
      <c r="B136" s="7" t="s">
        <v>325</v>
      </c>
      <c r="C136" s="93">
        <v>1</v>
      </c>
      <c r="D136" s="93">
        <v>1</v>
      </c>
      <c r="E136" s="93">
        <v>1</v>
      </c>
      <c r="F136" s="93"/>
      <c r="G136" s="93"/>
      <c r="H136" s="93"/>
      <c r="I136" s="93"/>
      <c r="J136" s="93"/>
      <c r="K136" s="93"/>
      <c r="L136" s="93"/>
      <c r="M136" s="42">
        <f t="shared" si="13"/>
        <v>3</v>
      </c>
    </row>
    <row r="137" spans="1:108" x14ac:dyDescent="0.3">
      <c r="B137" s="7" t="s">
        <v>326</v>
      </c>
      <c r="C137" s="93">
        <v>7.0000000000000001E-3</v>
      </c>
      <c r="D137" s="93">
        <v>7.0000000000000001E-3</v>
      </c>
      <c r="E137" s="93">
        <v>7.0000000000000001E-3</v>
      </c>
      <c r="F137" s="93"/>
      <c r="G137" s="93"/>
      <c r="H137" s="93"/>
      <c r="I137" s="93"/>
      <c r="J137" s="93"/>
      <c r="K137" s="93"/>
      <c r="L137" s="93"/>
      <c r="M137" s="42">
        <f t="shared" si="13"/>
        <v>2.1000000000000001E-2</v>
      </c>
    </row>
    <row r="138" spans="1:108" x14ac:dyDescent="0.3">
      <c r="B138" s="7" t="s">
        <v>327</v>
      </c>
      <c r="C138" s="93">
        <f>'[1]Onglet 4'!C110</f>
        <v>0</v>
      </c>
      <c r="D138" s="93">
        <f>'[1]Onglet 4'!D110</f>
        <v>0</v>
      </c>
      <c r="E138" s="93">
        <f>'[1]Onglet 4'!E110</f>
        <v>0</v>
      </c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">
      <c r="B139" s="3" t="s">
        <v>294</v>
      </c>
      <c r="C139" s="42">
        <f>(C135*'(ne pas modifier) BDD_REF'!$B$215+'RECeff + REIamont (2)'!C136*'(ne pas modifier) BDD_REF'!$B$216+'RECeff + REIamont (2)'!C137*'(ne pas modifier) BDD_REF'!$B$217+'RECeff + REIamont (2)'!C138*'(ne pas modifier) BDD_REF'!$B$218)/1000</f>
        <v>1.4989667999999999E-2</v>
      </c>
      <c r="D139" s="42">
        <f>(D135*'(ne pas modifier) BDD_REF'!$B$215+'RECeff + REIamont (2)'!D136*'(ne pas modifier) BDD_REF'!$B$216+'RECeff + REIamont (2)'!D137*'(ne pas modifier) BDD_REF'!$B$217+'RECeff + REIamont (2)'!D138*'(ne pas modifier) BDD_REF'!$B$218)/1000</f>
        <v>1.4989667999999999E-2</v>
      </c>
      <c r="E139" s="42">
        <f>(E135*'(ne pas modifier) BDD_REF'!$B$215+'RECeff + REIamont (2)'!E136*'(ne pas modifier) BDD_REF'!$B$216+'RECeff + REIamont (2)'!E137*'(ne pas modifier) BDD_REF'!$B$217+'RECeff + REIamont (2)'!E138*'(ne pas modifier) BDD_REF'!$B$218)/1000</f>
        <v>1.4989667999999999E-2</v>
      </c>
      <c r="F139" s="42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42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42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42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42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42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42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42">
        <f t="shared" si="13"/>
        <v>4.4969004E-2</v>
      </c>
    </row>
    <row r="140" spans="1:108" s="17" customFormat="1" x14ac:dyDescent="0.3">
      <c r="A140" s="19"/>
      <c r="B140" s="20" t="s">
        <v>186</v>
      </c>
      <c r="C140" s="94">
        <f>C133+C134+C139</f>
        <v>0.37168966799999992</v>
      </c>
      <c r="D140" s="94">
        <f t="shared" ref="D140:L140" si="14">D133+D134+D139</f>
        <v>0.37168966799999992</v>
      </c>
      <c r="E140" s="94">
        <f t="shared" si="14"/>
        <v>0.37168966799999992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1.1150690039999998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144</v>
      </c>
      <c r="C141" s="96">
        <f>((C118+C119+C120)/1000*44/28*'(ne pas modifier) BDD_REF'!$B$232)+'RECeff + REIamont (2)'!C130+'RECeff + REIamont (2)'!C140</f>
        <v>1.2290076679999999</v>
      </c>
      <c r="D141" s="96">
        <f>((D118+D119+D120)/1000*44/28*'(ne pas modifier) BDD_REF'!$B$232)+'RECeff + REIamont (2)'!D130+'RECeff + REIamont (2)'!D140</f>
        <v>1.2290076679999999</v>
      </c>
      <c r="E141" s="96">
        <f>((E118+E119+E120)/1000*44/28*'(ne pas modifier) BDD_REF'!$B$232)+'RECeff + REIamont (2)'!E130+'RECeff + REIamont (2)'!E140</f>
        <v>1.2290076679999999</v>
      </c>
      <c r="F141" s="96">
        <f>((F118+F119+F120)/1000*44/28*'(ne pas modifier) BDD_REF'!$B$232)+'RECeff + REIamont (2)'!F130+'RECeff + REIamont (2)'!F140</f>
        <v>0</v>
      </c>
      <c r="G141" s="96">
        <f>((G118+G119+G120)/1000*44/28*'(ne pas modifier) BDD_REF'!$B$232)+'RECeff + REIamont (2)'!G130+'RECeff + REIamont (2)'!G140</f>
        <v>0</v>
      </c>
      <c r="H141" s="96">
        <f>((H118+H119+H120)/1000*44/28*'(ne pas modifier) BDD_REF'!$B$232)+'RECeff + REIamont (2)'!H130+'RECeff + REIamont (2)'!H140</f>
        <v>0</v>
      </c>
      <c r="I141" s="96">
        <f>((I118+I119+I120)/1000*44/28*'(ne pas modifier) BDD_REF'!$B$232)+'RECeff + REIamont (2)'!I130+'RECeff + REIamont (2)'!I140</f>
        <v>0</v>
      </c>
      <c r="J141" s="96">
        <f>((J118+J119+J120)/1000*44/28*'(ne pas modifier) BDD_REF'!$B$232)+'RECeff + REIamont (2)'!J130+'RECeff + REIamont (2)'!J140</f>
        <v>0</v>
      </c>
      <c r="K141" s="96">
        <f>((K118+K119+K120)/1000*44/28*'(ne pas modifier) BDD_REF'!$B$232)+'RECeff + REIamont (2)'!K130+'RECeff + REIamont (2)'!K140</f>
        <v>0</v>
      </c>
      <c r="L141" s="96">
        <f>((L118+L119+L120)/1000*44/28*'(ne pas modifier) BDD_REF'!$B$232)+'RECeff + REIamont (2)'!L130+'RECeff + REIamont (2)'!L140</f>
        <v>0</v>
      </c>
      <c r="M141" s="96">
        <f t="shared" si="13"/>
        <v>3.6870230039999998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189</v>
      </c>
      <c r="C142" s="97">
        <f>C33+C60+C87+C114+C141</f>
        <v>3.7371838360000003</v>
      </c>
      <c r="D142" s="97">
        <f t="shared" ref="D142:L142" si="15">D33+D60+D87+D114+D141</f>
        <v>3.7371838360000003</v>
      </c>
      <c r="E142" s="97">
        <f t="shared" si="15"/>
        <v>3.7371838360000003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11.211551508000001</v>
      </c>
    </row>
    <row r="143" spans="1:108" x14ac:dyDescent="0.3">
      <c r="B143" s="79" t="s">
        <v>222</v>
      </c>
      <c r="C143" s="97">
        <f>(C142-C5*5)</f>
        <v>-8.0766281894681669</v>
      </c>
      <c r="D143" s="97">
        <f t="shared" ref="D143:L143" si="16">(D142-D5*5)</f>
        <v>-8.0766281894681669</v>
      </c>
      <c r="E143" s="97">
        <f t="shared" si="16"/>
        <v>-9.494726972773833</v>
      </c>
      <c r="F143" s="97">
        <f t="shared" si="16"/>
        <v>0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">
      <c r="B144" s="22" t="s">
        <v>188</v>
      </c>
      <c r="C144" s="91">
        <f>C143*Eligibilité_projet!B8</f>
        <v>-33.194941858714166</v>
      </c>
      <c r="D144" s="91">
        <f>D143*Eligibilité_projet!C8</f>
        <v>-5.7667125272802711</v>
      </c>
      <c r="E144" s="91">
        <f>E143*Eligibilité_projet!D8</f>
        <v>-32.889734233688557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-71.851388619682993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28" t="s">
        <v>334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A5" s="14" t="s">
        <v>191</v>
      </c>
      <c r="B5" s="7" t="s">
        <v>197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196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198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146</v>
      </c>
      <c r="B9" s="7" t="s">
        <v>194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147</v>
      </c>
      <c r="B10" s="7" t="s">
        <v>194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148</v>
      </c>
      <c r="B11" s="7" t="s">
        <v>194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149</v>
      </c>
      <c r="B12" s="7" t="s">
        <v>194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150</v>
      </c>
      <c r="B13" s="7" t="s">
        <v>194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195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224</v>
      </c>
      <c r="B15" s="7" t="s">
        <v>197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196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190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198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193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199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230</v>
      </c>
      <c r="C21" s="34">
        <f>'(ne pas modifier) BDD_REF'!$B$278*REIaval!D21</f>
        <v>7416.6726000000008</v>
      </c>
      <c r="D21" s="2">
        <v>26.7</v>
      </c>
    </row>
    <row r="22" spans="2:13" hidden="1" x14ac:dyDescent="0.3">
      <c r="B22" s="38" t="s">
        <v>229</v>
      </c>
      <c r="C22" s="34">
        <f>'(ne pas modifier) BDD_REF'!$B$278*REIaval!D22</f>
        <v>13138.8994</v>
      </c>
      <c r="D22" s="2">
        <v>47.3</v>
      </c>
    </row>
    <row r="23" spans="2:13" hidden="1" x14ac:dyDescent="0.3">
      <c r="B23" s="38" t="s">
        <v>231</v>
      </c>
      <c r="C23" s="34">
        <f>'(ne pas modifier) BDD_REF'!$B$278*REIaval!D23</f>
        <v>11166.675600000002</v>
      </c>
      <c r="D23" s="2">
        <v>40.200000000000003</v>
      </c>
    </row>
    <row r="24" spans="2:13" hidden="1" x14ac:dyDescent="0.3">
      <c r="B24" s="38" t="s">
        <v>232</v>
      </c>
      <c r="C24" s="34">
        <f>'(ne pas modifier) BDD_REF'!$B$278*REIaval!D24</f>
        <v>3861.1142000000004</v>
      </c>
      <c r="D24" s="2">
        <v>13.9</v>
      </c>
    </row>
    <row r="25" spans="2:13" hidden="1" x14ac:dyDescent="0.3">
      <c r="B25" s="38" t="s">
        <v>233</v>
      </c>
      <c r="C25" s="34">
        <f>'(ne pas modifier) BDD_REF'!$B$278*REIaval!D25</f>
        <v>3888.8920000000003</v>
      </c>
      <c r="D25" s="2">
        <v>14</v>
      </c>
    </row>
    <row r="26" spans="2:13" hidden="1" x14ac:dyDescent="0.3">
      <c r="B26" s="38" t="s">
        <v>234</v>
      </c>
      <c r="C26" s="34">
        <f>'(ne pas modifier) BDD_REF'!$B$278*REIaval!D26</f>
        <v>12305.565399999999</v>
      </c>
      <c r="D26" s="2">
        <v>44.3</v>
      </c>
    </row>
    <row r="27" spans="2:13" hidden="1" x14ac:dyDescent="0.3">
      <c r="B27" s="38" t="s">
        <v>235</v>
      </c>
      <c r="C27" s="34">
        <f>'(ne pas modifier) BDD_REF'!$B$278*REIaval!D27</f>
        <v>7916.6730000000007</v>
      </c>
      <c r="D27" s="2">
        <v>28.5</v>
      </c>
    </row>
    <row r="28" spans="2:13" hidden="1" x14ac:dyDescent="0.3">
      <c r="B28" s="38" t="s">
        <v>236</v>
      </c>
      <c r="C28" s="34">
        <f>'(ne pas modifier) BDD_REF'!$B$278*REIaval!D28</f>
        <v>7777.7840000000006</v>
      </c>
      <c r="D28" s="2">
        <v>28</v>
      </c>
    </row>
    <row r="29" spans="2:13" hidden="1" x14ac:dyDescent="0.3">
      <c r="B29" s="38" t="s">
        <v>237</v>
      </c>
      <c r="C29" s="34">
        <f>'(ne pas modifier) BDD_REF'!$B$278*REIaval!D29</f>
        <v>7833.3396000000002</v>
      </c>
      <c r="D29" s="2">
        <v>28.2</v>
      </c>
    </row>
    <row r="30" spans="2:13" hidden="1" x14ac:dyDescent="0.3">
      <c r="B30" s="38" t="s">
        <v>238</v>
      </c>
      <c r="C30" s="34">
        <f>'(ne pas modifier) BDD_REF'!$B$278*REIaval!D30</f>
        <v>11944.454000000002</v>
      </c>
      <c r="D30" s="2">
        <v>43</v>
      </c>
    </row>
    <row r="31" spans="2:13" hidden="1" x14ac:dyDescent="0.3">
      <c r="B31" s="38" t="s">
        <v>164</v>
      </c>
      <c r="C31" s="34">
        <f>'(ne pas modifier) BDD_REF'!$B$278*REIaval!D31</f>
        <v>11666.676000000001</v>
      </c>
      <c r="D31" s="2">
        <v>42</v>
      </c>
    </row>
    <row r="32" spans="2:13" hidden="1" x14ac:dyDescent="0.3">
      <c r="B32" s="38" t="s">
        <v>239</v>
      </c>
      <c r="C32" s="34">
        <f>'(ne pas modifier) BDD_REF'!$B$278*REIaval!D32</f>
        <v>11111.12</v>
      </c>
      <c r="D32" s="2">
        <v>40</v>
      </c>
    </row>
    <row r="33" spans="2:4" hidden="1" x14ac:dyDescent="0.3">
      <c r="B33" s="38" t="s">
        <v>240</v>
      </c>
      <c r="C33" s="34">
        <f>'(ne pas modifier) BDD_REF'!$B$278*REIaval!D33</f>
        <v>10750.008600000001</v>
      </c>
      <c r="D33" s="2">
        <v>38.700000000000003</v>
      </c>
    </row>
    <row r="34" spans="2:4" hidden="1" x14ac:dyDescent="0.3">
      <c r="B34" s="38" t="s">
        <v>241</v>
      </c>
      <c r="C34" s="34">
        <f>'(ne pas modifier) BDD_REF'!$B$278*REIaval!D34</f>
        <v>694.44500000000005</v>
      </c>
      <c r="D34" s="2">
        <v>2.5</v>
      </c>
    </row>
    <row r="35" spans="2:4" hidden="1" x14ac:dyDescent="0.3">
      <c r="B35" s="38" t="s">
        <v>168</v>
      </c>
      <c r="C35" s="34">
        <f>'(ne pas modifier) BDD_REF'!$B$278*REIaval!D35</f>
        <v>13333.344000000001</v>
      </c>
      <c r="D35" s="2">
        <v>48</v>
      </c>
    </row>
    <row r="36" spans="2:4" hidden="1" x14ac:dyDescent="0.3">
      <c r="B36" s="38" t="s">
        <v>166</v>
      </c>
      <c r="C36" s="34">
        <f>'(ne pas modifier) BDD_REF'!$B$278*REIaval!D36</f>
        <v>11944.454000000002</v>
      </c>
      <c r="D36" s="2">
        <v>43</v>
      </c>
    </row>
    <row r="37" spans="2:4" hidden="1" x14ac:dyDescent="0.3">
      <c r="B37" s="38" t="s">
        <v>242</v>
      </c>
      <c r="C37" s="34">
        <f>'(ne pas modifier) BDD_REF'!$B$278*REIaval!D37</f>
        <v>13777.788800000002</v>
      </c>
      <c r="D37" s="2">
        <v>49.6</v>
      </c>
    </row>
    <row r="38" spans="2:4" hidden="1" x14ac:dyDescent="0.3">
      <c r="B38" s="38" t="s">
        <v>243</v>
      </c>
      <c r="C38" s="34">
        <f>'(ne pas modifier) BDD_REF'!$B$278*REIaval!D38</f>
        <v>12777.788</v>
      </c>
      <c r="D38" s="2">
        <v>46</v>
      </c>
    </row>
    <row r="39" spans="2:4" hidden="1" x14ac:dyDescent="0.3">
      <c r="B39" s="38" t="s">
        <v>244</v>
      </c>
      <c r="C39" s="34">
        <f>'(ne pas modifier) BDD_REF'!$B$278*REIaval!D39</f>
        <v>4888.8928000000005</v>
      </c>
      <c r="D39" s="2">
        <v>17.600000000000001</v>
      </c>
    </row>
    <row r="40" spans="2:4" hidden="1" x14ac:dyDescent="0.3">
      <c r="B40" s="38" t="s">
        <v>245</v>
      </c>
      <c r="C40" s="34">
        <f>'(ne pas modifier) BDD_REF'!$B$278*REIaval!D40</f>
        <v>8888.8960000000006</v>
      </c>
      <c r="D40" s="2">
        <v>32</v>
      </c>
    </row>
    <row r="41" spans="2:4" hidden="1" x14ac:dyDescent="0.3">
      <c r="B41" s="38" t="s">
        <v>246</v>
      </c>
      <c r="C41" s="34">
        <f>'(ne pas modifier) BDD_REF'!$B$278*REIaval!D41</f>
        <v>10583.341800000002</v>
      </c>
      <c r="D41" s="2">
        <v>38.1</v>
      </c>
    </row>
    <row r="42" spans="2:4" hidden="1" x14ac:dyDescent="0.3">
      <c r="B42" s="38" t="s">
        <v>247</v>
      </c>
      <c r="C42" s="34">
        <f>'(ne pas modifier) BDD_REF'!$B$278*REIaval!D42</f>
        <v>12250.009800000002</v>
      </c>
      <c r="D42" s="2">
        <v>44.1</v>
      </c>
    </row>
    <row r="43" spans="2:4" hidden="1" x14ac:dyDescent="0.3">
      <c r="B43" s="38" t="s">
        <v>248</v>
      </c>
      <c r="C43" s="34">
        <f>'(ne pas modifier) BDD_REF'!$B$278*REIaval!D43</f>
        <v>3305.5582000000004</v>
      </c>
      <c r="D43" s="2">
        <v>11.9</v>
      </c>
    </row>
    <row r="44" spans="2:4" hidden="1" x14ac:dyDescent="0.3">
      <c r="B44" s="38" t="s">
        <v>249</v>
      </c>
      <c r="C44" s="34">
        <f>'(ne pas modifier) BDD_REF'!$B$278*REIaval!D44</f>
        <v>12361.121000000001</v>
      </c>
      <c r="D44" s="2">
        <v>44.5</v>
      </c>
    </row>
    <row r="45" spans="2:4" hidden="1" x14ac:dyDescent="0.3">
      <c r="B45" s="38" t="s">
        <v>250</v>
      </c>
      <c r="C45" s="34">
        <f>'(ne pas modifier) BDD_REF'!$B$278*REIaval!D45</f>
        <v>11750.009400000001</v>
      </c>
      <c r="D45" s="2">
        <v>42.3</v>
      </c>
    </row>
    <row r="46" spans="2:4" hidden="1" x14ac:dyDescent="0.3">
      <c r="B46" s="38" t="s">
        <v>251</v>
      </c>
      <c r="C46" s="34">
        <f>'(ne pas modifier) BDD_REF'!$B$278*REIaval!D46</f>
        <v>3638.8918000000003</v>
      </c>
      <c r="D46" s="2">
        <v>13.1</v>
      </c>
    </row>
    <row r="47" spans="2:4" hidden="1" x14ac:dyDescent="0.3">
      <c r="B47" s="38" t="s">
        <v>252</v>
      </c>
      <c r="C47" s="34">
        <f>'(ne pas modifier) BDD_REF'!$B$278*REIaval!D47</f>
        <v>13138.8994</v>
      </c>
      <c r="D47" s="2">
        <v>47.3</v>
      </c>
    </row>
    <row r="48" spans="2:4" hidden="1" x14ac:dyDescent="0.3">
      <c r="B48" s="38" t="s">
        <v>253</v>
      </c>
      <c r="C48" s="34">
        <f>'(ne pas modifier) BDD_REF'!$B$278*REIaval!D48</f>
        <v>2200.0017600000001</v>
      </c>
      <c r="D48" s="2">
        <v>7.92</v>
      </c>
    </row>
    <row r="49" spans="1:13" hidden="1" x14ac:dyDescent="0.3">
      <c r="B49" s="38" t="s">
        <v>254</v>
      </c>
      <c r="C49" s="34">
        <f>'(ne pas modifier) BDD_REF'!$B$278*REIaval!D49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259</v>
      </c>
      <c r="C51" s="39" t="s">
        <v>258</v>
      </c>
      <c r="M51" s="2"/>
    </row>
    <row r="52" spans="1:13" ht="28.8" x14ac:dyDescent="0.3">
      <c r="A52" s="38" t="s">
        <v>257</v>
      </c>
      <c r="B52" s="38" t="s">
        <v>164</v>
      </c>
      <c r="C52" s="41">
        <f>0.324/1000</f>
        <v>3.2400000000000001E-4</v>
      </c>
      <c r="M52" s="2"/>
    </row>
    <row r="53" spans="1:13" x14ac:dyDescent="0.3">
      <c r="B53" s="38" t="s">
        <v>239</v>
      </c>
      <c r="C53" s="41">
        <f>0.325/1000</f>
        <v>3.2499999999999999E-4</v>
      </c>
      <c r="M53" s="2"/>
    </row>
    <row r="54" spans="1:13" x14ac:dyDescent="0.3">
      <c r="B54" s="38" t="s">
        <v>255</v>
      </c>
      <c r="C54" s="41">
        <f>0.335/1000</f>
        <v>3.3500000000000001E-4</v>
      </c>
      <c r="M54" s="2"/>
    </row>
    <row r="55" spans="1:13" x14ac:dyDescent="0.3">
      <c r="B55" s="38" t="s">
        <v>256</v>
      </c>
      <c r="C55" s="41">
        <f>0.282/1000</f>
        <v>2.8199999999999997E-4</v>
      </c>
      <c r="M55" s="2"/>
    </row>
    <row r="56" spans="1:13" ht="28.8" x14ac:dyDescent="0.3">
      <c r="A56" s="38" t="s">
        <v>260</v>
      </c>
      <c r="B56" s="38" t="s">
        <v>261</v>
      </c>
      <c r="C56" s="41">
        <f>0.311/1000</f>
        <v>3.1100000000000002E-4</v>
      </c>
      <c r="M56" s="2"/>
    </row>
    <row r="57" spans="1:13" x14ac:dyDescent="0.3">
      <c r="B57" s="38" t="s">
        <v>262</v>
      </c>
      <c r="C57" s="38">
        <f>0.313/1000</f>
        <v>3.1300000000000002E-4</v>
      </c>
      <c r="M57" s="2"/>
    </row>
    <row r="58" spans="1:13" x14ac:dyDescent="0.3">
      <c r="B58" s="38" t="s">
        <v>263</v>
      </c>
      <c r="C58" s="38">
        <f>0.319/1000</f>
        <v>3.19E-4</v>
      </c>
      <c r="M58" s="2"/>
    </row>
    <row r="59" spans="1:13" x14ac:dyDescent="0.3">
      <c r="B59" s="38" t="s">
        <v>264</v>
      </c>
      <c r="C59" s="38">
        <f>0.306/1000</f>
        <v>3.0600000000000001E-4</v>
      </c>
      <c r="M59" s="2"/>
    </row>
    <row r="60" spans="1:13" x14ac:dyDescent="0.3">
      <c r="B60" s="38" t="s">
        <v>265</v>
      </c>
      <c r="C60" s="38">
        <f>0.174/1000</f>
        <v>1.74E-4</v>
      </c>
      <c r="M60" s="2"/>
    </row>
    <row r="61" spans="1:13" x14ac:dyDescent="0.3">
      <c r="B61" s="38" t="s">
        <v>266</v>
      </c>
      <c r="C61" s="38">
        <f>0.273/1000</f>
        <v>2.7300000000000002E-4</v>
      </c>
      <c r="M61" s="2"/>
    </row>
    <row r="62" spans="1:13" x14ac:dyDescent="0.3">
      <c r="B62" s="38" t="s">
        <v>243</v>
      </c>
      <c r="C62" s="38">
        <f>0.272/1000</f>
        <v>2.72E-4</v>
      </c>
      <c r="M62" s="2"/>
    </row>
    <row r="63" spans="1:13" x14ac:dyDescent="0.3">
      <c r="B63" s="38" t="s">
        <v>267</v>
      </c>
      <c r="C63" s="38">
        <f>0.311/1000</f>
        <v>3.1100000000000002E-4</v>
      </c>
      <c r="M63" s="2"/>
    </row>
    <row r="64" spans="1:13" x14ac:dyDescent="0.3">
      <c r="B64" s="38" t="s">
        <v>268</v>
      </c>
      <c r="C64" s="38">
        <f>0.132/1000</f>
        <v>1.3200000000000001E-4</v>
      </c>
      <c r="M64" s="2"/>
    </row>
    <row r="65" spans="1:13" x14ac:dyDescent="0.3">
      <c r="B65" s="38" t="s">
        <v>269</v>
      </c>
      <c r="C65" s="38">
        <f>0.238/1000</f>
        <v>2.3799999999999998E-4</v>
      </c>
      <c r="M65" s="2"/>
    </row>
    <row r="66" spans="1:13" x14ac:dyDescent="0.3">
      <c r="B66" s="38" t="s">
        <v>270</v>
      </c>
      <c r="C66" s="38">
        <f>0.23/1000</f>
        <v>2.3000000000000001E-4</v>
      </c>
      <c r="M66" s="2"/>
    </row>
    <row r="67" spans="1:13" ht="43.2" x14ac:dyDescent="0.3">
      <c r="A67" s="38" t="s">
        <v>271</v>
      </c>
      <c r="B67" s="38" t="s">
        <v>272</v>
      </c>
      <c r="C67" s="38">
        <f>0.327/1000</f>
        <v>3.2700000000000003E-4</v>
      </c>
      <c r="M67" s="2"/>
    </row>
    <row r="68" spans="1:13" x14ac:dyDescent="0.3">
      <c r="B68" s="38" t="s">
        <v>273</v>
      </c>
      <c r="C68" s="38">
        <f>0.331/1000</f>
        <v>3.3100000000000002E-4</v>
      </c>
      <c r="M68" s="2"/>
    </row>
    <row r="69" spans="1:13" x14ac:dyDescent="0.3">
      <c r="B69" s="38" t="s">
        <v>274</v>
      </c>
      <c r="C69" s="38">
        <f>0.331/1000</f>
        <v>3.3100000000000002E-4</v>
      </c>
      <c r="M69" s="2"/>
    </row>
    <row r="70" spans="1:13" ht="28.8" x14ac:dyDescent="0.3">
      <c r="A70" s="38" t="s">
        <v>276</v>
      </c>
      <c r="B70" s="38" t="s">
        <v>275</v>
      </c>
      <c r="C70" s="38">
        <f>0.307/1000</f>
        <v>3.0699999999999998E-4</v>
      </c>
      <c r="M70" s="2"/>
    </row>
    <row r="71" spans="1:13" x14ac:dyDescent="0.3">
      <c r="B71" s="38" t="s">
        <v>277</v>
      </c>
      <c r="C71" s="38">
        <f>0.308/1000</f>
        <v>3.0800000000000001E-4</v>
      </c>
      <c r="M71" s="2"/>
    </row>
    <row r="72" spans="1:13" x14ac:dyDescent="0.3">
      <c r="B72" s="38" t="s">
        <v>278</v>
      </c>
      <c r="C72" s="38">
        <f>0.313/1000</f>
        <v>3.1300000000000002E-4</v>
      </c>
      <c r="M72" s="2"/>
    </row>
    <row r="73" spans="1:13" ht="28.8" x14ac:dyDescent="0.3">
      <c r="A73" s="38" t="s">
        <v>280</v>
      </c>
      <c r="B73" s="38" t="s">
        <v>279</v>
      </c>
      <c r="C73" s="38">
        <f>0.322/1000</f>
        <v>3.2200000000000002E-4</v>
      </c>
      <c r="M73" s="2"/>
    </row>
    <row r="74" spans="1:13" ht="28.8" x14ac:dyDescent="0.3">
      <c r="A74" s="38" t="s">
        <v>281</v>
      </c>
      <c r="B74" s="38" t="s">
        <v>282</v>
      </c>
      <c r="C74" s="38">
        <f>0.227/1000</f>
        <v>2.2700000000000002E-4</v>
      </c>
      <c r="M74" s="2"/>
    </row>
    <row r="75" spans="1:13" x14ac:dyDescent="0.3">
      <c r="B75" s="38" t="s">
        <v>283</v>
      </c>
      <c r="C75" s="38">
        <f>0.244/1000</f>
        <v>2.4399999999999999E-4</v>
      </c>
      <c r="M75" s="2"/>
    </row>
    <row r="76" spans="1:13" ht="28.8" x14ac:dyDescent="0.3">
      <c r="A76" s="38" t="s">
        <v>284</v>
      </c>
      <c r="B76" s="38" t="s">
        <v>285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227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25" t="s">
        <v>332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215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  <c r="Q4" s="2"/>
    </row>
    <row r="5" spans="1:17" x14ac:dyDescent="0.3">
      <c r="A5" s="14">
        <v>1</v>
      </c>
      <c r="B5" s="7" t="s">
        <v>201</v>
      </c>
      <c r="C5" s="23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3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3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2.7</v>
      </c>
      <c r="F5" s="23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3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3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3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3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3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3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3">
        <f t="shared" ref="M5:M28" si="0">SUM(C5:L5)</f>
        <v>8.1000000000000014</v>
      </c>
      <c r="N5" s="2"/>
      <c r="O5" s="2"/>
      <c r="P5" s="2"/>
      <c r="Q5" s="2"/>
    </row>
    <row r="6" spans="1:17" x14ac:dyDescent="0.3">
      <c r="A6" s="14">
        <v>2</v>
      </c>
      <c r="B6" s="7" t="s">
        <v>201</v>
      </c>
      <c r="C6" s="23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3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3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4.2</v>
      </c>
      <c r="F6" s="23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3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3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3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3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3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3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3">
        <f t="shared" si="0"/>
        <v>12.600000000000001</v>
      </c>
      <c r="N6" s="2"/>
      <c r="O6" s="2"/>
      <c r="P6" s="2"/>
      <c r="Q6" s="2"/>
    </row>
    <row r="7" spans="1:17" x14ac:dyDescent="0.3">
      <c r="A7" s="14">
        <v>3</v>
      </c>
      <c r="B7" s="7" t="s">
        <v>201</v>
      </c>
      <c r="C7" s="23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3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3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5.6</v>
      </c>
      <c r="F7" s="23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3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3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3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3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3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3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3">
        <f t="shared" si="0"/>
        <v>16.799999999999997</v>
      </c>
      <c r="N7" s="2"/>
      <c r="O7" s="2"/>
      <c r="P7" s="2"/>
      <c r="Q7" s="2"/>
    </row>
    <row r="8" spans="1:17" x14ac:dyDescent="0.3">
      <c r="A8" s="14">
        <v>4</v>
      </c>
      <c r="B8" s="7" t="s">
        <v>201</v>
      </c>
      <c r="C8" s="23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3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3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7.1</v>
      </c>
      <c r="F8" s="23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3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3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3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3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3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3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3">
        <f t="shared" si="0"/>
        <v>21.299999999999997</v>
      </c>
      <c r="N8" s="2"/>
      <c r="O8" s="2"/>
      <c r="P8" s="2"/>
      <c r="Q8" s="2"/>
    </row>
    <row r="9" spans="1:17" x14ac:dyDescent="0.3">
      <c r="A9" s="14">
        <v>5</v>
      </c>
      <c r="B9" s="7" t="s">
        <v>201</v>
      </c>
      <c r="C9" s="23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3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3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7.4</v>
      </c>
      <c r="F9" s="23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3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3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3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3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3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3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3">
        <f t="shared" si="0"/>
        <v>22.200000000000003</v>
      </c>
      <c r="N9" s="2"/>
      <c r="O9" s="2"/>
      <c r="P9" s="2"/>
      <c r="Q9" s="2"/>
    </row>
    <row r="10" spans="1:17" x14ac:dyDescent="0.3">
      <c r="A10" s="14">
        <v>6</v>
      </c>
      <c r="B10" s="7" t="s">
        <v>201</v>
      </c>
      <c r="C10" s="23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3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3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8.6</v>
      </c>
      <c r="F10" s="23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3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3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3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3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3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3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3">
        <f t="shared" si="0"/>
        <v>25.799999999999997</v>
      </c>
      <c r="N10" s="2"/>
      <c r="O10" s="2"/>
      <c r="P10" s="2"/>
      <c r="Q10" s="2"/>
    </row>
    <row r="11" spans="1:17" x14ac:dyDescent="0.3">
      <c r="A11" s="14">
        <v>7</v>
      </c>
      <c r="B11" s="7" t="s">
        <v>201</v>
      </c>
      <c r="C11" s="23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3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3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9.8000000000000007</v>
      </c>
      <c r="F11" s="23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3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3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3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3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3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3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3">
        <f t="shared" si="0"/>
        <v>29.400000000000002</v>
      </c>
      <c r="N11" s="2"/>
      <c r="O11" s="2"/>
      <c r="P11" s="2"/>
      <c r="Q11" s="2"/>
    </row>
    <row r="12" spans="1:17" x14ac:dyDescent="0.3">
      <c r="A12" s="14">
        <v>8</v>
      </c>
      <c r="B12" s="7" t="s">
        <v>201</v>
      </c>
      <c r="C12" s="23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3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3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11.1</v>
      </c>
      <c r="F12" s="23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3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3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3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3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3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3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3">
        <f t="shared" si="0"/>
        <v>33.299999999999997</v>
      </c>
      <c r="N12" s="2"/>
      <c r="O12" s="2"/>
      <c r="P12" s="2"/>
      <c r="Q12" s="2"/>
    </row>
    <row r="13" spans="1:17" x14ac:dyDescent="0.3">
      <c r="A13" s="14">
        <v>9</v>
      </c>
      <c r="B13" s="7" t="s">
        <v>201</v>
      </c>
      <c r="C13" s="23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3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3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12.3</v>
      </c>
      <c r="F13" s="23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3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3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3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3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3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3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3">
        <f t="shared" si="0"/>
        <v>36.900000000000006</v>
      </c>
      <c r="N13" s="2"/>
      <c r="O13" s="2"/>
      <c r="P13" s="2"/>
      <c r="Q13" s="2"/>
    </row>
    <row r="14" spans="1:17" x14ac:dyDescent="0.3">
      <c r="A14" s="14">
        <v>10</v>
      </c>
      <c r="B14" s="7" t="s">
        <v>201</v>
      </c>
      <c r="C14" s="23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3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3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13.5</v>
      </c>
      <c r="F14" s="23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3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3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3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3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3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3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3">
        <f t="shared" si="0"/>
        <v>40.5</v>
      </c>
      <c r="N14" s="2"/>
      <c r="O14" s="2"/>
      <c r="P14" s="2"/>
      <c r="Q14" s="2"/>
    </row>
    <row r="15" spans="1:17" x14ac:dyDescent="0.3">
      <c r="A15" s="14">
        <v>11</v>
      </c>
      <c r="B15" s="7" t="s">
        <v>201</v>
      </c>
      <c r="C15" s="23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3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3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13.9</v>
      </c>
      <c r="F15" s="23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3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3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3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3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3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3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3">
        <f t="shared" si="0"/>
        <v>41.7</v>
      </c>
      <c r="N15" s="2"/>
      <c r="O15" s="2"/>
      <c r="P15" s="2"/>
      <c r="Q15" s="2"/>
    </row>
    <row r="16" spans="1:17" x14ac:dyDescent="0.3">
      <c r="A16" s="14">
        <v>12</v>
      </c>
      <c r="B16" s="7" t="s">
        <v>201</v>
      </c>
      <c r="C16" s="23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3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3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14.3</v>
      </c>
      <c r="F16" s="23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3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3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3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3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3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3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3">
        <f t="shared" si="0"/>
        <v>42.900000000000006</v>
      </c>
      <c r="N16" s="2"/>
      <c r="O16" s="2"/>
      <c r="P16" s="2"/>
      <c r="Q16" s="2"/>
    </row>
    <row r="17" spans="1:17" x14ac:dyDescent="0.3">
      <c r="A17" s="14">
        <v>13</v>
      </c>
      <c r="B17" s="7" t="s">
        <v>201</v>
      </c>
      <c r="C17" s="23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3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3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14.7</v>
      </c>
      <c r="F17" s="23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3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3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3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3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3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3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3">
        <f t="shared" si="0"/>
        <v>44.099999999999994</v>
      </c>
      <c r="N17" s="2"/>
      <c r="O17" s="2"/>
      <c r="P17" s="2"/>
      <c r="Q17" s="2"/>
    </row>
    <row r="18" spans="1:17" x14ac:dyDescent="0.3">
      <c r="A18" s="14">
        <v>14</v>
      </c>
      <c r="B18" s="7" t="s">
        <v>201</v>
      </c>
      <c r="C18" s="23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3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3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15.1</v>
      </c>
      <c r="F18" s="23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3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3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3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3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3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3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3">
        <f t="shared" si="0"/>
        <v>45.3</v>
      </c>
      <c r="N18" s="2"/>
      <c r="O18" s="2"/>
      <c r="P18" s="2"/>
      <c r="Q18" s="2"/>
    </row>
    <row r="19" spans="1:17" x14ac:dyDescent="0.3">
      <c r="A19" s="14">
        <v>15</v>
      </c>
      <c r="B19" s="7" t="s">
        <v>201</v>
      </c>
      <c r="C19" s="23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3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3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15.6</v>
      </c>
      <c r="F19" s="23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3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3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3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3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3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3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3">
        <f t="shared" si="0"/>
        <v>46.8</v>
      </c>
      <c r="N19" s="2"/>
      <c r="O19" s="2"/>
      <c r="P19" s="2"/>
      <c r="Q19" s="2"/>
    </row>
    <row r="20" spans="1:17" x14ac:dyDescent="0.3">
      <c r="A20" s="14">
        <v>16</v>
      </c>
      <c r="B20" s="7" t="s">
        <v>201</v>
      </c>
      <c r="C20" s="23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3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3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15.6</v>
      </c>
      <c r="F20" s="23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3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3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3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3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3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3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3">
        <f t="shared" si="0"/>
        <v>46.8</v>
      </c>
      <c r="N20" s="2"/>
      <c r="O20" s="2"/>
      <c r="P20" s="2"/>
      <c r="Q20" s="2"/>
    </row>
    <row r="21" spans="1:17" x14ac:dyDescent="0.3">
      <c r="A21" s="14">
        <v>17</v>
      </c>
      <c r="B21" s="7" t="s">
        <v>201</v>
      </c>
      <c r="C21" s="23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3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3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15.7</v>
      </c>
      <c r="F21" s="23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3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3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3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3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3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3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3">
        <f t="shared" si="0"/>
        <v>47.099999999999994</v>
      </c>
      <c r="N21" s="2"/>
      <c r="O21" s="2"/>
      <c r="P21" s="2"/>
      <c r="Q21" s="2"/>
    </row>
    <row r="22" spans="1:17" x14ac:dyDescent="0.3">
      <c r="A22" s="14">
        <v>18</v>
      </c>
      <c r="B22" s="7" t="s">
        <v>201</v>
      </c>
      <c r="C22" s="23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3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3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15.8</v>
      </c>
      <c r="F22" s="23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3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3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3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3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3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3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3">
        <f t="shared" si="0"/>
        <v>47.400000000000006</v>
      </c>
      <c r="N22" s="2"/>
      <c r="O22" s="2"/>
      <c r="P22" s="2"/>
      <c r="Q22" s="2"/>
    </row>
    <row r="23" spans="1:17" x14ac:dyDescent="0.3">
      <c r="A23" s="14">
        <v>19</v>
      </c>
      <c r="B23" s="7" t="s">
        <v>201</v>
      </c>
      <c r="C23" s="23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3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3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15.9</v>
      </c>
      <c r="F23" s="23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3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3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3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3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3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3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3">
        <f t="shared" si="0"/>
        <v>47.7</v>
      </c>
      <c r="N23" s="2"/>
      <c r="O23" s="2"/>
      <c r="P23" s="2"/>
      <c r="Q23" s="2"/>
    </row>
    <row r="24" spans="1:17" x14ac:dyDescent="0.3">
      <c r="A24" s="14">
        <v>20</v>
      </c>
      <c r="B24" s="7" t="s">
        <v>201</v>
      </c>
      <c r="C24" s="23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3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3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16</v>
      </c>
      <c r="F24" s="23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3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3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3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3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3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3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3">
        <f t="shared" si="0"/>
        <v>48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3">
        <f>SUMIF($A5:$A24,"&lt;"&amp;Eligibilité_projet!B14+1,C5:C24)</f>
        <v>234.9</v>
      </c>
      <c r="D25" s="23">
        <f>SUMIF($A5:$A24,"&lt;"&amp;Eligibilité_projet!C14+1,D5:D24)</f>
        <v>234.9</v>
      </c>
      <c r="E25" s="23">
        <f>SUMIF($A5:$A24,"&lt;"&amp;Eligibilité_projet!D14+1,E5:E24)</f>
        <v>234.9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704.7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42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42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42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42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42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42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42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42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42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42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21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70</v>
      </c>
      <c r="N27" s="2"/>
      <c r="O27" s="2"/>
      <c r="P27" s="2"/>
      <c r="Q27" s="2"/>
    </row>
    <row r="28" spans="1:17" x14ac:dyDescent="0.3">
      <c r="B28" s="22" t="s">
        <v>296</v>
      </c>
      <c r="C28" s="25">
        <f>((C25/C27)-C26)*Eligibilité_projet!B8*44/12</f>
        <v>168.56871428571432</v>
      </c>
      <c r="D28" s="25">
        <f>((D25/D27)-D26)*Eligibilité_projet!C8*44/12</f>
        <v>29.284199999999998</v>
      </c>
      <c r="E28" s="25">
        <f>((E25/E27)-E26)*Eligibilité_projet!D8*44/12</f>
        <v>142.07348571428574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339.92640000000006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25" t="s">
        <v>332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7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151</v>
      </c>
      <c r="N4" s="2"/>
      <c r="O4" s="2"/>
      <c r="P4" s="2"/>
    </row>
    <row r="5" spans="1:16" x14ac:dyDescent="0.3">
      <c r="B5" s="7" t="s">
        <v>306</v>
      </c>
      <c r="C5" s="23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3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42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52</v>
      </c>
      <c r="F5" s="42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42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42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42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42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42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42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3">
        <f>SUM(C5:L5)</f>
        <v>156</v>
      </c>
      <c r="N5" s="2"/>
      <c r="O5" s="2"/>
      <c r="P5" s="2"/>
    </row>
    <row r="6" spans="1:16" x14ac:dyDescent="0.3">
      <c r="B6" s="7" t="s">
        <v>307</v>
      </c>
      <c r="C6" s="23">
        <f>IF(Eligibilité_projet!B13="Hors climat Mediterranéen",'(ne pas modifier) BDD_REF'!$C$272,IF(Eligibilité_projet!B13="",0,'(ne pas modifier) BDD_REF'!$B$272))</f>
        <v>47</v>
      </c>
      <c r="D6" s="23">
        <f>IF(Eligibilité_projet!C13="Hors climat Mediterranéen",'(ne pas modifier) BDD_REF'!$C$272,IF(Eligibilité_projet!C13="",0,'(ne pas modifier) BDD_REF'!$B$272))</f>
        <v>47</v>
      </c>
      <c r="E6" s="23">
        <f>IF(Eligibilité_projet!D13="Hors climat Mediterranéen",'(ne pas modifier) BDD_REF'!$C$272,IF(Eligibilité_projet!D13="",0,'(ne pas modifier) BDD_REF'!$B$272))</f>
        <v>47</v>
      </c>
      <c r="F6" s="23">
        <f>IF(Eligibilité_projet!E13="Hors climat Mediterranéen",'(ne pas modifier) BDD_REF'!$C$272,IF(Eligibilité_projet!E13="",0,'(ne pas modifier) BDD_REF'!$B$272))</f>
        <v>0</v>
      </c>
      <c r="G6" s="23">
        <f>IF(Eligibilité_projet!F13="Hors climat Mediterranéen",'(ne pas modifier) BDD_REF'!$C$272,IF(Eligibilité_projet!F13="",0,'(ne pas modifier) BDD_REF'!$B$272))</f>
        <v>0</v>
      </c>
      <c r="H6" s="23">
        <f>IF(Eligibilité_projet!G13="Hors climat Mediterranéen",'(ne pas modifier) BDD_REF'!$C$272,IF(Eligibilité_projet!G13="",0,'(ne pas modifier) BDD_REF'!$B$272))</f>
        <v>0</v>
      </c>
      <c r="I6" s="23">
        <f>IF(Eligibilité_projet!H13="Hors climat Mediterranéen",'(ne pas modifier) BDD_REF'!$C$272,IF(Eligibilité_projet!H13="",0,'(ne pas modifier) BDD_REF'!$B$272))</f>
        <v>0</v>
      </c>
      <c r="J6" s="23">
        <f>IF(Eligibilité_projet!I13="Hors climat Mediterranéen",'(ne pas modifier) BDD_REF'!$C$272,IF(Eligibilité_projet!I13="",0,'(ne pas modifier) BDD_REF'!$B$272))</f>
        <v>0</v>
      </c>
      <c r="K6" s="23">
        <f>IF(Eligibilité_projet!J13="Hors climat Mediterranéen",'(ne pas modifier) BDD_REF'!$C$272,IF(Eligibilité_projet!J13="",0,'(ne pas modifier) BDD_REF'!$B$272))</f>
        <v>0</v>
      </c>
      <c r="L6" s="23">
        <f>IF(Eligibilité_projet!K13="Hors climat Mediterranéen",'(ne pas modifier) BDD_REF'!$C$272,IF(Eligibilité_projet!K13="",0,'(ne pas modifier) BDD_REF'!$B$272))</f>
        <v>0</v>
      </c>
      <c r="M6" s="23">
        <f>SUM(C6:L6)</f>
        <v>141</v>
      </c>
      <c r="N6" s="2"/>
      <c r="O6" s="2"/>
      <c r="P6" s="2"/>
    </row>
    <row r="7" spans="1:16" x14ac:dyDescent="0.3">
      <c r="B7" s="7" t="s">
        <v>305</v>
      </c>
      <c r="C7" s="23">
        <f>Eligibilité_projet!B15</f>
        <v>0.92</v>
      </c>
      <c r="D7" s="23">
        <f>Eligibilité_projet!C15</f>
        <v>0.92</v>
      </c>
      <c r="E7" s="23">
        <f>Eligibilité_projet!D15</f>
        <v>0.92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2.7600000000000002</v>
      </c>
      <c r="N7" s="2"/>
      <c r="O7" s="2"/>
      <c r="P7" s="2"/>
    </row>
    <row r="8" spans="1:16" ht="28.8" x14ac:dyDescent="0.3">
      <c r="B8" s="7" t="s">
        <v>297</v>
      </c>
      <c r="C8" s="23">
        <f>Eligibilité_projet!B14</f>
        <v>20</v>
      </c>
      <c r="D8" s="23">
        <f>Eligibilité_projet!C14</f>
        <v>20</v>
      </c>
      <c r="E8" s="23">
        <f>Eligibilité_projet!D14</f>
        <v>20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60</v>
      </c>
      <c r="N8" s="2"/>
      <c r="O8" s="2"/>
      <c r="P8" s="2"/>
    </row>
    <row r="9" spans="1:16" x14ac:dyDescent="0.3">
      <c r="B9" s="22" t="s">
        <v>298</v>
      </c>
      <c r="C9" s="22">
        <f>((C6-C5)+('(ne pas modifier) BDD_REF'!$B$276*C7*C8))*Eligibilité_projet!B8*44/12</f>
        <v>60.521120000000003</v>
      </c>
      <c r="D9" s="22">
        <f>((D6-D5)+('(ne pas modifier) BDD_REF'!$B$276*D7*D8))*Eligibilité_projet!C8*44/12</f>
        <v>10.513888</v>
      </c>
      <c r="E9" s="22">
        <f>((E6-E5)+('(ne pas modifier) BDD_REF'!$B$276*E7*E8))*Eligibilité_projet!D8*44/12</f>
        <v>51.008554666666669</v>
      </c>
      <c r="F9" s="22">
        <f>((F6-F5)+('(ne pas modifier) BDD_REF'!$B$276*F7*F8))*Eligibilité_projet!E8*44/12</f>
        <v>0</v>
      </c>
      <c r="G9" s="22">
        <f>((G6-G5)+('(ne pas modifier) BDD_REF'!$B$276*G7*G8))*Eligibilité_projet!F8*44/12</f>
        <v>0</v>
      </c>
      <c r="H9" s="22">
        <f>((H6-H5)+('(ne pas modifier) BDD_REF'!$B$276*H7*H8))*Eligibilité_projet!G8*44/12</f>
        <v>0</v>
      </c>
      <c r="I9" s="22">
        <f>((I6-I5)+('(ne pas modifier) BDD_REF'!$B$276*I7*I8))*Eligibilité_projet!H8*44/12</f>
        <v>0</v>
      </c>
      <c r="J9" s="22">
        <f>((J6-J5)+('(ne pas modifier) BDD_REF'!$B$276*J7*J8))*Eligibilité_projet!I8*44/12</f>
        <v>0</v>
      </c>
      <c r="K9" s="22">
        <f>((K6-K5)+('(ne pas modifier) BDD_REF'!$B$276*K7*K8))*Eligibilité_projet!J8*44/12</f>
        <v>0</v>
      </c>
      <c r="L9" s="22">
        <f>((L6-L5)+('(ne pas modifier) BDD_REF'!$B$276*L7*L8))*Eligibilité_projet!K8*44/12</f>
        <v>0</v>
      </c>
      <c r="M9" s="22">
        <f>SUM(C9:L9)</f>
        <v>122.04356266666667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28" t="s">
        <v>333</v>
      </c>
      <c r="C2" s="130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31" t="s">
        <v>142</v>
      </c>
      <c r="C4" s="132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304</v>
      </c>
      <c r="B6" s="3" t="s">
        <v>299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3">
      <c r="A7" s="44" t="s">
        <v>143</v>
      </c>
      <c r="B7" s="3" t="s">
        <v>299</v>
      </c>
      <c r="C7" s="16">
        <f>IF(Eligibilité_projet!C2="OUI","/",'RECeff + REIamont (2)'!M144)</f>
        <v>-71.851388619682993</v>
      </c>
      <c r="D7" s="2"/>
      <c r="E7" s="2"/>
      <c r="F7" s="2"/>
    </row>
    <row r="8" spans="1:6" x14ac:dyDescent="0.3">
      <c r="A8" s="17"/>
      <c r="B8" s="3" t="s">
        <v>199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6">
        <f>RECant_biom!M28</f>
        <v>339.92640000000006</v>
      </c>
      <c r="D9" s="2"/>
      <c r="E9" s="2"/>
      <c r="F9" s="2"/>
    </row>
    <row r="10" spans="1:6" x14ac:dyDescent="0.3">
      <c r="A10" s="2"/>
      <c r="B10" s="3" t="s">
        <v>298</v>
      </c>
      <c r="C10" s="16">
        <f>RECant_sol!M9</f>
        <v>122.04356266666667</v>
      </c>
      <c r="D10" s="2"/>
      <c r="E10" s="2"/>
      <c r="F10" s="2"/>
    </row>
    <row r="11" spans="1:6" x14ac:dyDescent="0.3">
      <c r="A11" s="2"/>
      <c r="B11" s="20" t="s">
        <v>301</v>
      </c>
      <c r="C11" s="45">
        <f>SUM(IF(Eligibilité_projet!C2="OUI",-C6,-C7),-C8,C10,C9)</f>
        <v>533.82135128634968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31" t="s">
        <v>350</v>
      </c>
      <c r="C13" s="132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106">
        <f>IF(Eligibilité_projet!C2="OUI",C6*(1-0.15),C7)</f>
        <v>-71.851388619682993</v>
      </c>
      <c r="D15" s="2"/>
      <c r="E15" s="2"/>
      <c r="F15" s="2"/>
    </row>
    <row r="16" spans="1:6" x14ac:dyDescent="0.3">
      <c r="A16" s="2"/>
      <c r="B16" s="3" t="s">
        <v>199</v>
      </c>
      <c r="C16" s="106">
        <f>C8</f>
        <v>0</v>
      </c>
      <c r="D16" s="2"/>
      <c r="E16" s="2"/>
      <c r="F16" s="2"/>
    </row>
    <row r="17" spans="1:6" x14ac:dyDescent="0.3">
      <c r="A17" s="2"/>
      <c r="B17" s="105" t="s">
        <v>300</v>
      </c>
      <c r="C17" s="16">
        <f>C9*(1-0.1)</f>
        <v>305.93376000000006</v>
      </c>
      <c r="D17" s="2"/>
      <c r="E17" s="2"/>
      <c r="F17" s="2"/>
    </row>
    <row r="18" spans="1:6" x14ac:dyDescent="0.3">
      <c r="A18" s="2"/>
      <c r="B18" s="105" t="s">
        <v>298</v>
      </c>
      <c r="C18" s="16">
        <f>RE!C10</f>
        <v>122.04356266666667</v>
      </c>
      <c r="D18" s="2"/>
      <c r="E18" s="2"/>
      <c r="F18" s="2"/>
    </row>
    <row r="19" spans="1:6" x14ac:dyDescent="0.3">
      <c r="A19" s="2"/>
      <c r="B19" s="3" t="s">
        <v>349</v>
      </c>
      <c r="C19" s="106">
        <f>(C17+C18)*0.9</f>
        <v>385.17959040000005</v>
      </c>
      <c r="D19" s="2"/>
      <c r="E19" s="2"/>
      <c r="F19" s="2"/>
    </row>
    <row r="20" spans="1:6" x14ac:dyDescent="0.3">
      <c r="A20" s="2"/>
      <c r="B20" s="20" t="s">
        <v>301</v>
      </c>
      <c r="C20" s="107">
        <f>SUM(-C15,-C16,C19)</f>
        <v>457.03097901968306</v>
      </c>
      <c r="D20" s="2"/>
      <c r="E20" s="2"/>
      <c r="F20" s="2"/>
    </row>
    <row r="21" spans="1:6" x14ac:dyDescent="0.3">
      <c r="A21" s="2"/>
      <c r="B21" s="2"/>
    </row>
    <row r="23" spans="1:6" s="36" customFormat="1" hidden="1" x14ac:dyDescent="0.3"/>
    <row r="24" spans="1:6" s="36" customFormat="1" hidden="1" x14ac:dyDescent="0.3"/>
    <row r="25" spans="1:6" s="36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BDD_REF'!B235:E235)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33" t="s">
        <v>5</v>
      </c>
      <c r="C44" s="134"/>
      <c r="D44" s="135"/>
      <c r="E44" s="133" t="s">
        <v>69</v>
      </c>
      <c r="F44" s="134"/>
      <c r="G44" s="135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347</v>
      </c>
      <c r="B172" s="66">
        <f>25000*0.17</f>
        <v>4250</v>
      </c>
    </row>
    <row r="173" spans="1:2" x14ac:dyDescent="0.3">
      <c r="A173" s="63" t="s">
        <v>107</v>
      </c>
      <c r="B173" s="66">
        <v>2724.2246671013995</v>
      </c>
    </row>
    <row r="174" spans="1:2" x14ac:dyDescent="0.3">
      <c r="A174" s="63" t="s">
        <v>108</v>
      </c>
      <c r="B174" s="66">
        <v>2678.1548398122004</v>
      </c>
    </row>
    <row r="175" spans="1:2" x14ac:dyDescent="0.3">
      <c r="A175" s="63" t="s">
        <v>109</v>
      </c>
      <c r="B175" s="66">
        <v>925.39090928000007</v>
      </c>
    </row>
    <row r="176" spans="1:2" x14ac:dyDescent="0.3">
      <c r="A176" s="63" t="s">
        <v>110</v>
      </c>
      <c r="B176" s="66">
        <v>832.84025582999993</v>
      </c>
    </row>
    <row r="177" spans="1:2" x14ac:dyDescent="0.3">
      <c r="A177" s="63" t="s">
        <v>111</v>
      </c>
      <c r="B177" s="66">
        <v>3847.6402921410004</v>
      </c>
    </row>
    <row r="178" spans="1:2" x14ac:dyDescent="0.3">
      <c r="A178" s="63" t="s">
        <v>112</v>
      </c>
      <c r="B178" s="66">
        <v>3849.2868810089999</v>
      </c>
    </row>
    <row r="179" spans="1:2" x14ac:dyDescent="0.3">
      <c r="A179" s="63" t="s">
        <v>113</v>
      </c>
      <c r="B179" s="66">
        <v>3453.8088875220001</v>
      </c>
    </row>
    <row r="180" spans="1:2" x14ac:dyDescent="0.3">
      <c r="A180" s="63" t="s">
        <v>114</v>
      </c>
      <c r="B180" s="66">
        <v>3391.1981881470001</v>
      </c>
    </row>
    <row r="181" spans="1:2" x14ac:dyDescent="0.3">
      <c r="A181" s="63" t="s">
        <v>115</v>
      </c>
      <c r="B181" s="66">
        <v>3759.2860042549196</v>
      </c>
    </row>
    <row r="182" spans="1:2" x14ac:dyDescent="0.3">
      <c r="A182" s="63" t="s">
        <v>116</v>
      </c>
      <c r="B182" s="66">
        <v>2658.9292517203125</v>
      </c>
    </row>
    <row r="183" spans="1:2" x14ac:dyDescent="0.3">
      <c r="A183" s="63" t="s">
        <v>117</v>
      </c>
      <c r="B183" s="66">
        <v>4303.8993272226562</v>
      </c>
    </row>
    <row r="184" spans="1:2" x14ac:dyDescent="0.3">
      <c r="A184" s="63" t="s">
        <v>118</v>
      </c>
      <c r="B184" s="66">
        <v>4054.8428879156254</v>
      </c>
    </row>
    <row r="185" spans="1:2" x14ac:dyDescent="0.3">
      <c r="A185" s="63" t="s">
        <v>119</v>
      </c>
      <c r="B185" s="66">
        <v>3165.3350675625002</v>
      </c>
    </row>
    <row r="186" spans="1:2" x14ac:dyDescent="0.3">
      <c r="A186" s="63" t="s">
        <v>120</v>
      </c>
      <c r="B186" s="66">
        <v>21727.520374600001</v>
      </c>
    </row>
    <row r="187" spans="1:2" x14ac:dyDescent="0.3">
      <c r="A187" s="63" t="s">
        <v>121</v>
      </c>
      <c r="B187" s="66">
        <v>763729.18826415588</v>
      </c>
    </row>
    <row r="188" spans="1:2" x14ac:dyDescent="0.3">
      <c r="A188" s="63" t="s">
        <v>122</v>
      </c>
      <c r="B188" s="66">
        <v>28201.949841089998</v>
      </c>
    </row>
    <row r="189" spans="1:2" x14ac:dyDescent="0.3">
      <c r="A189" s="63" t="s">
        <v>123</v>
      </c>
      <c r="B189" s="66">
        <v>745475.31653372501</v>
      </c>
    </row>
    <row r="190" spans="1:2" x14ac:dyDescent="0.3">
      <c r="A190" s="63" t="s">
        <v>124</v>
      </c>
      <c r="B190" s="66">
        <v>1313.2063369499999</v>
      </c>
    </row>
    <row r="191" spans="1:2" x14ac:dyDescent="0.3">
      <c r="A191" s="63" t="s">
        <v>125</v>
      </c>
      <c r="B191" s="66">
        <v>864.20333642999981</v>
      </c>
    </row>
    <row r="192" spans="1:2" x14ac:dyDescent="0.3">
      <c r="A192" s="63" t="s">
        <v>126</v>
      </c>
      <c r="B192" s="66">
        <v>2605.9006745199999</v>
      </c>
    </row>
    <row r="194" spans="1:2" x14ac:dyDescent="0.3">
      <c r="A194" s="24" t="s">
        <v>71</v>
      </c>
      <c r="B194" s="67" t="s">
        <v>127</v>
      </c>
    </row>
    <row r="195" spans="1:2" x14ac:dyDescent="0.3">
      <c r="A195" s="8" t="s">
        <v>128</v>
      </c>
      <c r="B195" s="68">
        <v>5895.9797374104</v>
      </c>
    </row>
    <row r="196" spans="1:2" x14ac:dyDescent="0.3">
      <c r="A196" s="8" t="s">
        <v>129</v>
      </c>
      <c r="B196" s="68">
        <v>2576.2094178333336</v>
      </c>
    </row>
    <row r="197" spans="1:2" x14ac:dyDescent="0.3">
      <c r="A197" s="8" t="s">
        <v>130</v>
      </c>
      <c r="B197" s="68">
        <v>4062.9965796000001</v>
      </c>
    </row>
    <row r="198" spans="1:2" x14ac:dyDescent="0.3">
      <c r="A198" s="8" t="s">
        <v>131</v>
      </c>
      <c r="B198" s="68">
        <v>4011.4789508640006</v>
      </c>
    </row>
    <row r="199" spans="1:2" x14ac:dyDescent="0.3">
      <c r="A199" s="8" t="s">
        <v>132</v>
      </c>
      <c r="B199" s="68">
        <v>2682.7232290992001</v>
      </c>
    </row>
    <row r="200" spans="1:2" x14ac:dyDescent="0.3">
      <c r="A200" s="8" t="s">
        <v>133</v>
      </c>
      <c r="B200" s="68">
        <v>2548.7495763313045</v>
      </c>
    </row>
    <row r="201" spans="1:2" x14ac:dyDescent="0.3">
      <c r="A201" s="8" t="s">
        <v>134</v>
      </c>
      <c r="B201" s="68">
        <v>3366.7024762240003</v>
      </c>
    </row>
    <row r="202" spans="1:2" x14ac:dyDescent="0.3">
      <c r="A202" s="8" t="s">
        <v>135</v>
      </c>
      <c r="B202" s="68">
        <v>3370.0393371360001</v>
      </c>
    </row>
    <row r="203" spans="1:2" x14ac:dyDescent="0.3">
      <c r="A203" s="8" t="s">
        <v>136</v>
      </c>
      <c r="B203" s="68">
        <v>3392.0923222031997</v>
      </c>
    </row>
    <row r="204" spans="1:2" x14ac:dyDescent="0.3">
      <c r="A204" s="8" t="s">
        <v>137</v>
      </c>
      <c r="B204" s="68">
        <v>3141.3860726075795</v>
      </c>
    </row>
    <row r="206" spans="1:2" x14ac:dyDescent="0.3">
      <c r="A206" s="24" t="s">
        <v>172</v>
      </c>
      <c r="B206" s="24" t="s">
        <v>24</v>
      </c>
    </row>
    <row r="207" spans="1:2" x14ac:dyDescent="0.3">
      <c r="A207" s="8" t="s">
        <v>153</v>
      </c>
      <c r="B207" s="8">
        <v>1.6E-2</v>
      </c>
    </row>
    <row r="208" spans="1:2" x14ac:dyDescent="0.3">
      <c r="A208" s="8" t="s">
        <v>152</v>
      </c>
      <c r="B208" s="8">
        <v>6.0000000000000001E-3</v>
      </c>
    </row>
    <row r="209" spans="1:5" x14ac:dyDescent="0.3">
      <c r="A209" s="8" t="s">
        <v>156</v>
      </c>
      <c r="B209" s="69">
        <v>0.01</v>
      </c>
    </row>
    <row r="210" spans="1:5" x14ac:dyDescent="0.3">
      <c r="A210" s="8" t="s">
        <v>158</v>
      </c>
      <c r="B210" s="69">
        <v>1.0999999999999999E-2</v>
      </c>
    </row>
    <row r="211" spans="1:5" x14ac:dyDescent="0.3">
      <c r="A211" s="8" t="s">
        <v>174</v>
      </c>
      <c r="B211" s="69">
        <v>5.7000000000000002E-2</v>
      </c>
    </row>
    <row r="212" spans="1:5" x14ac:dyDescent="0.3">
      <c r="A212" s="8" t="s">
        <v>176</v>
      </c>
      <c r="B212" s="69">
        <v>4.51</v>
      </c>
    </row>
    <row r="213" spans="1:5" x14ac:dyDescent="0.3">
      <c r="A213" s="8" t="s">
        <v>177</v>
      </c>
      <c r="B213" s="69">
        <v>1.45</v>
      </c>
    </row>
    <row r="214" spans="1:5" x14ac:dyDescent="0.3">
      <c r="A214" s="8" t="s">
        <v>178</v>
      </c>
      <c r="B214" s="69">
        <v>0.71</v>
      </c>
    </row>
    <row r="215" spans="1:5" x14ac:dyDescent="0.3">
      <c r="A215" s="70" t="s">
        <v>180</v>
      </c>
      <c r="B215" s="69">
        <v>6.0090000000000003</v>
      </c>
    </row>
    <row r="216" spans="1:5" x14ac:dyDescent="0.3">
      <c r="A216" s="70" t="s">
        <v>181</v>
      </c>
      <c r="B216" s="69">
        <v>8.9849999999999994</v>
      </c>
    </row>
    <row r="217" spans="1:5" x14ac:dyDescent="0.3">
      <c r="A217" s="70" t="s">
        <v>182</v>
      </c>
      <c r="B217" s="69">
        <v>25.134</v>
      </c>
    </row>
    <row r="218" spans="1:5" x14ac:dyDescent="0.3">
      <c r="A218" s="71" t="s">
        <v>183</v>
      </c>
      <c r="B218" s="69">
        <v>8.4779999999999998</v>
      </c>
    </row>
    <row r="219" spans="1:5" x14ac:dyDescent="0.3">
      <c r="A219" s="72"/>
    </row>
    <row r="220" spans="1:5" x14ac:dyDescent="0.3">
      <c r="A220" s="8" t="s">
        <v>154</v>
      </c>
      <c r="B220" s="8">
        <v>0.11</v>
      </c>
    </row>
    <row r="221" spans="1:5" x14ac:dyDescent="0.3">
      <c r="A221" s="8" t="s">
        <v>155</v>
      </c>
      <c r="B221" s="8">
        <v>0.21</v>
      </c>
    </row>
    <row r="222" spans="1:5" x14ac:dyDescent="0.3">
      <c r="A222" s="73" t="s">
        <v>157</v>
      </c>
      <c r="B222" s="8">
        <v>0.24</v>
      </c>
    </row>
    <row r="224" spans="1:5" x14ac:dyDescent="0.3">
      <c r="A224" s="24" t="s">
        <v>159</v>
      </c>
      <c r="B224" s="24" t="s">
        <v>160</v>
      </c>
      <c r="C224" s="24" t="s">
        <v>161</v>
      </c>
      <c r="D224" s="24" t="s">
        <v>162</v>
      </c>
      <c r="E224" s="24" t="s">
        <v>163</v>
      </c>
    </row>
    <row r="225" spans="1:5" x14ac:dyDescent="0.3">
      <c r="A225" s="8" t="s">
        <v>164</v>
      </c>
      <c r="B225" s="8" t="s">
        <v>165</v>
      </c>
      <c r="C225" s="8">
        <f>D225+E225</f>
        <v>3.0680000000000001</v>
      </c>
      <c r="D225" s="8">
        <v>2.6459999999999999</v>
      </c>
      <c r="E225" s="8">
        <v>0.42199999999999999</v>
      </c>
    </row>
    <row r="226" spans="1:5" x14ac:dyDescent="0.3">
      <c r="A226" s="8" t="s">
        <v>166</v>
      </c>
      <c r="B226" s="8" t="s">
        <v>165</v>
      </c>
      <c r="C226" s="8">
        <f t="shared" ref="C226:C230" si="7">D226+E226</f>
        <v>3.0709999999999997</v>
      </c>
      <c r="D226" s="8">
        <v>2.6459999999999999</v>
      </c>
      <c r="E226" s="8">
        <v>0.42499999999999999</v>
      </c>
    </row>
    <row r="227" spans="1:5" x14ac:dyDescent="0.3">
      <c r="A227" s="8" t="s">
        <v>167</v>
      </c>
      <c r="B227" s="8" t="s">
        <v>165</v>
      </c>
      <c r="C227" s="8">
        <f t="shared" si="7"/>
        <v>3.286</v>
      </c>
      <c r="D227" s="8">
        <v>2.698</v>
      </c>
      <c r="E227" s="8">
        <v>0.58799999999999997</v>
      </c>
    </row>
    <row r="228" spans="1:5" x14ac:dyDescent="0.3">
      <c r="A228" s="8" t="s">
        <v>168</v>
      </c>
      <c r="B228" s="8" t="s">
        <v>169</v>
      </c>
      <c r="C228" s="8">
        <f t="shared" si="7"/>
        <v>3.4169999999999998</v>
      </c>
      <c r="D228" s="8">
        <v>2.827</v>
      </c>
      <c r="E228" s="8">
        <v>0.59</v>
      </c>
    </row>
    <row r="229" spans="1:5" x14ac:dyDescent="0.3">
      <c r="A229" s="8" t="s">
        <v>168</v>
      </c>
      <c r="B229" s="8" t="s">
        <v>170</v>
      </c>
      <c r="C229" s="8">
        <f t="shared" si="7"/>
        <v>0.24819999999999998</v>
      </c>
      <c r="D229" s="8">
        <v>0.20519999999999999</v>
      </c>
      <c r="E229" s="8">
        <v>4.2999999999999997E-2</v>
      </c>
    </row>
    <row r="230" spans="1:5" x14ac:dyDescent="0.3">
      <c r="A230" s="8" t="s">
        <v>171</v>
      </c>
      <c r="B230" s="8" t="s">
        <v>169</v>
      </c>
      <c r="C230" s="8">
        <f t="shared" si="7"/>
        <v>3.5430000000000001</v>
      </c>
      <c r="D230" s="8">
        <v>2.944</v>
      </c>
      <c r="E230" s="8">
        <v>0.59899999999999998</v>
      </c>
    </row>
    <row r="232" spans="1:5" x14ac:dyDescent="0.3">
      <c r="A232" s="8" t="s">
        <v>187</v>
      </c>
      <c r="B232" s="8">
        <v>265</v>
      </c>
    </row>
    <row r="235" spans="1:5" ht="15" customHeight="1" x14ac:dyDescent="0.3">
      <c r="A235" s="41"/>
      <c r="B235" s="41" t="s">
        <v>202</v>
      </c>
      <c r="C235" s="41"/>
      <c r="D235" s="41" t="s">
        <v>203</v>
      </c>
      <c r="E235" s="41"/>
    </row>
    <row r="236" spans="1:5" ht="15.6" x14ac:dyDescent="0.35">
      <c r="A236" s="41" t="s">
        <v>204</v>
      </c>
      <c r="B236" s="41" t="s">
        <v>214</v>
      </c>
      <c r="C236" s="41" t="s">
        <v>205</v>
      </c>
      <c r="D236" s="41" t="s">
        <v>214</v>
      </c>
      <c r="E236" s="41" t="s">
        <v>205</v>
      </c>
    </row>
    <row r="237" spans="1:5" x14ac:dyDescent="0.3">
      <c r="A237" s="41" t="s">
        <v>0</v>
      </c>
      <c r="B237" s="41">
        <v>0</v>
      </c>
      <c r="C237" s="41" t="s">
        <v>206</v>
      </c>
      <c r="D237" s="41">
        <v>0</v>
      </c>
      <c r="E237" s="41" t="s">
        <v>206</v>
      </c>
    </row>
    <row r="238" spans="1:5" x14ac:dyDescent="0.3">
      <c r="A238" s="41" t="s">
        <v>1</v>
      </c>
      <c r="B238" s="41">
        <v>0</v>
      </c>
      <c r="C238" s="41" t="s">
        <v>206</v>
      </c>
      <c r="D238" s="41">
        <v>0</v>
      </c>
      <c r="E238" s="41" t="s">
        <v>206</v>
      </c>
    </row>
    <row r="239" spans="1:5" x14ac:dyDescent="0.3">
      <c r="A239" s="41" t="s">
        <v>2</v>
      </c>
      <c r="B239" s="41">
        <v>5</v>
      </c>
      <c r="C239" s="41" t="s">
        <v>207</v>
      </c>
      <c r="D239" s="41">
        <v>9.9</v>
      </c>
      <c r="E239" s="41" t="s">
        <v>208</v>
      </c>
    </row>
    <row r="240" spans="1:5" x14ac:dyDescent="0.3">
      <c r="A240" s="41" t="s">
        <v>209</v>
      </c>
      <c r="B240" s="41">
        <v>16</v>
      </c>
      <c r="C240" s="41" t="s">
        <v>207</v>
      </c>
      <c r="D240" s="41">
        <v>14.3</v>
      </c>
      <c r="E240" s="41" t="s">
        <v>208</v>
      </c>
    </row>
    <row r="242" spans="1:3" ht="15" customHeight="1" x14ac:dyDescent="0.3">
      <c r="A242" s="41"/>
      <c r="B242" s="41" t="s">
        <v>202</v>
      </c>
      <c r="C242" s="41" t="s">
        <v>203</v>
      </c>
    </row>
    <row r="243" spans="1:3" ht="18.75" customHeight="1" x14ac:dyDescent="0.4">
      <c r="A243" s="41" t="s">
        <v>212</v>
      </c>
      <c r="B243" s="41" t="s">
        <v>213</v>
      </c>
      <c r="C243" s="41" t="s">
        <v>213</v>
      </c>
    </row>
    <row r="244" spans="1:3" x14ac:dyDescent="0.3">
      <c r="A244" s="41">
        <v>1</v>
      </c>
      <c r="B244" s="41">
        <v>2.7</v>
      </c>
      <c r="C244" s="41">
        <v>2.4</v>
      </c>
    </row>
    <row r="245" spans="1:3" x14ac:dyDescent="0.3">
      <c r="A245" s="41">
        <v>2</v>
      </c>
      <c r="B245" s="41">
        <v>4.2</v>
      </c>
      <c r="C245" s="41">
        <v>3.72</v>
      </c>
    </row>
    <row r="246" spans="1:3" x14ac:dyDescent="0.3">
      <c r="A246" s="41">
        <v>3</v>
      </c>
      <c r="B246" s="41">
        <v>5.6</v>
      </c>
      <c r="C246" s="41">
        <v>5.04</v>
      </c>
    </row>
    <row r="247" spans="1:3" x14ac:dyDescent="0.3">
      <c r="A247" s="41">
        <v>4</v>
      </c>
      <c r="B247" s="41">
        <v>7.1</v>
      </c>
      <c r="C247" s="41">
        <v>6.36</v>
      </c>
    </row>
    <row r="248" spans="1:3" x14ac:dyDescent="0.3">
      <c r="A248" s="41">
        <v>5</v>
      </c>
      <c r="B248" s="41">
        <v>7.4</v>
      </c>
      <c r="C248" s="41">
        <v>6.6</v>
      </c>
    </row>
    <row r="249" spans="1:3" x14ac:dyDescent="0.3">
      <c r="A249" s="41">
        <v>6</v>
      </c>
      <c r="B249" s="41">
        <v>8.6</v>
      </c>
      <c r="C249" s="41">
        <v>7.7</v>
      </c>
    </row>
    <row r="250" spans="1:3" x14ac:dyDescent="0.3">
      <c r="A250" s="41">
        <v>7</v>
      </c>
      <c r="B250" s="41">
        <v>9.8000000000000007</v>
      </c>
      <c r="C250" s="41">
        <v>8.8000000000000007</v>
      </c>
    </row>
    <row r="251" spans="1:3" x14ac:dyDescent="0.3">
      <c r="A251" s="41">
        <v>8</v>
      </c>
      <c r="B251" s="41">
        <v>11.1</v>
      </c>
      <c r="C251" s="41">
        <v>9.9</v>
      </c>
    </row>
    <row r="252" spans="1:3" x14ac:dyDescent="0.3">
      <c r="A252" s="41">
        <v>9</v>
      </c>
      <c r="B252" s="41">
        <v>12.3</v>
      </c>
      <c r="C252" s="41">
        <v>11</v>
      </c>
    </row>
    <row r="253" spans="1:3" x14ac:dyDescent="0.3">
      <c r="A253" s="41">
        <v>10</v>
      </c>
      <c r="B253" s="41">
        <v>13.5</v>
      </c>
      <c r="C253" s="41">
        <v>12.1</v>
      </c>
    </row>
    <row r="254" spans="1:3" x14ac:dyDescent="0.3">
      <c r="A254" s="41">
        <v>11</v>
      </c>
      <c r="B254" s="41">
        <v>13.9</v>
      </c>
      <c r="C254" s="41">
        <v>12.46</v>
      </c>
    </row>
    <row r="255" spans="1:3" x14ac:dyDescent="0.3">
      <c r="A255" s="41">
        <v>12</v>
      </c>
      <c r="B255" s="41">
        <v>14.3</v>
      </c>
      <c r="C255" s="41">
        <v>12.82</v>
      </c>
    </row>
    <row r="256" spans="1:3" x14ac:dyDescent="0.3">
      <c r="A256" s="41">
        <v>13</v>
      </c>
      <c r="B256" s="41">
        <v>14.7</v>
      </c>
      <c r="C256" s="41">
        <v>13.18</v>
      </c>
    </row>
    <row r="257" spans="1:3" x14ac:dyDescent="0.3">
      <c r="A257" s="41">
        <v>14</v>
      </c>
      <c r="B257" s="41">
        <v>15.1</v>
      </c>
      <c r="C257" s="41">
        <v>13.54</v>
      </c>
    </row>
    <row r="258" spans="1:3" x14ac:dyDescent="0.3">
      <c r="A258" s="41">
        <v>15</v>
      </c>
      <c r="B258" s="41">
        <v>15.6</v>
      </c>
      <c r="C258" s="41">
        <v>13.9</v>
      </c>
    </row>
    <row r="259" spans="1:3" x14ac:dyDescent="0.3">
      <c r="A259" s="41">
        <v>16</v>
      </c>
      <c r="B259" s="41">
        <v>15.6</v>
      </c>
      <c r="C259" s="41">
        <v>13.98</v>
      </c>
    </row>
    <row r="260" spans="1:3" x14ac:dyDescent="0.3">
      <c r="A260" s="41">
        <v>17</v>
      </c>
      <c r="B260" s="41">
        <v>15.7</v>
      </c>
      <c r="C260" s="41">
        <v>14.06</v>
      </c>
    </row>
    <row r="261" spans="1:3" x14ac:dyDescent="0.3">
      <c r="A261" s="41">
        <v>18</v>
      </c>
      <c r="B261" s="41">
        <v>15.8</v>
      </c>
      <c r="C261" s="41">
        <v>14.14</v>
      </c>
    </row>
    <row r="262" spans="1:3" x14ac:dyDescent="0.3">
      <c r="A262" s="41">
        <v>19</v>
      </c>
      <c r="B262" s="41">
        <v>15.9</v>
      </c>
      <c r="C262" s="41">
        <v>14.22</v>
      </c>
    </row>
    <row r="263" spans="1:3" x14ac:dyDescent="0.3">
      <c r="A263" s="41">
        <v>20</v>
      </c>
      <c r="B263" s="41">
        <v>16</v>
      </c>
      <c r="C263" s="41">
        <v>14.3</v>
      </c>
    </row>
    <row r="265" spans="1:3" ht="15" customHeight="1" x14ac:dyDescent="0.3">
      <c r="A265" s="41" t="s">
        <v>8</v>
      </c>
      <c r="B265" s="41" t="s">
        <v>219</v>
      </c>
      <c r="C265" s="41" t="s">
        <v>220</v>
      </c>
    </row>
    <row r="266" spans="1:3" x14ac:dyDescent="0.3">
      <c r="A266" s="41" t="s">
        <v>2</v>
      </c>
      <c r="B266" s="74">
        <v>34.299999999999997</v>
      </c>
      <c r="C266" s="74">
        <v>34</v>
      </c>
    </row>
    <row r="267" spans="1:3" x14ac:dyDescent="0.3">
      <c r="A267" s="41" t="s">
        <v>1</v>
      </c>
      <c r="B267" s="74">
        <v>49.5</v>
      </c>
      <c r="C267" s="74">
        <v>85</v>
      </c>
    </row>
    <row r="268" spans="1:3" x14ac:dyDescent="0.3">
      <c r="A268" s="41" t="s">
        <v>0</v>
      </c>
      <c r="B268" s="74">
        <v>43.1</v>
      </c>
      <c r="C268" s="74">
        <v>52</v>
      </c>
    </row>
    <row r="269" spans="1:3" x14ac:dyDescent="0.3">
      <c r="A269" s="41" t="s">
        <v>216</v>
      </c>
      <c r="B269" s="41" t="s">
        <v>217</v>
      </c>
      <c r="C269" s="41" t="s">
        <v>218</v>
      </c>
    </row>
    <row r="271" spans="1:3" ht="15" customHeight="1" x14ac:dyDescent="0.3">
      <c r="A271" s="41" t="s">
        <v>8</v>
      </c>
      <c r="B271" s="41" t="s">
        <v>221</v>
      </c>
      <c r="C271" s="41" t="s">
        <v>220</v>
      </c>
    </row>
    <row r="272" spans="1:3" x14ac:dyDescent="0.3">
      <c r="A272" s="41" t="s">
        <v>209</v>
      </c>
      <c r="B272" s="41">
        <v>41.5</v>
      </c>
      <c r="C272" s="41">
        <v>47</v>
      </c>
    </row>
    <row r="273" spans="1:3" x14ac:dyDescent="0.3">
      <c r="A273" s="41" t="s">
        <v>216</v>
      </c>
      <c r="B273" s="41" t="s">
        <v>217</v>
      </c>
      <c r="C273" s="41" t="s">
        <v>218</v>
      </c>
    </row>
    <row r="276" spans="1:3" x14ac:dyDescent="0.3">
      <c r="A276" s="41" t="s">
        <v>225</v>
      </c>
      <c r="B276" s="41">
        <v>0.49</v>
      </c>
    </row>
    <row r="278" spans="1:3" x14ac:dyDescent="0.3">
      <c r="A278" s="41" t="s">
        <v>228</v>
      </c>
      <c r="B278" s="41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1A8E600F3DB142BA63AE76E3B1062E" ma:contentTypeVersion="12" ma:contentTypeDescription="Crée un document." ma:contentTypeScope="" ma:versionID="70cce7b26325e0af3c8c701db696fd85">
  <xsd:schema xmlns:xsd="http://www.w3.org/2001/XMLSchema" xmlns:xs="http://www.w3.org/2001/XMLSchema" xmlns:p="http://schemas.microsoft.com/office/2006/metadata/properties" xmlns:ns2="642a4714-d66e-4dbb-b81b-29243416e29c" xmlns:ns3="3b96300e-03ff-4344-acb9-1687b7c38fd5" targetNamespace="http://schemas.microsoft.com/office/2006/metadata/properties" ma:root="true" ma:fieldsID="a87109cf9f0887633aedc05da75c1611" ns2:_="" ns3:_="">
    <xsd:import namespace="642a4714-d66e-4dbb-b81b-29243416e29c"/>
    <xsd:import namespace="3b96300e-03ff-4344-acb9-1687b7c38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a4714-d66e-4dbb-b81b-29243416e2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37cf616-87ee-4e83-a220-9de32941d3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6300e-03ff-4344-acb9-1687b7c38fd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208b7b8-3558-4e8e-89a1-2a6fa1c1933e}" ma:internalName="TaxCatchAll" ma:showField="CatchAllData" ma:web="3b96300e-03ff-4344-acb9-1687b7c38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21C070-EAC5-4634-82E6-F2A5A65863AB}"/>
</file>

<file path=customXml/itemProps2.xml><?xml version="1.0" encoding="utf-8"?>
<ds:datastoreItem xmlns:ds="http://schemas.openxmlformats.org/officeDocument/2006/customXml" ds:itemID="{18ACB605-0389-4A7C-8024-C12F4AB9D4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Océane MONTEL MARQUIS</cp:lastModifiedBy>
  <dcterms:created xsi:type="dcterms:W3CDTF">2020-09-28T09:31:11Z</dcterms:created>
  <dcterms:modified xsi:type="dcterms:W3CDTF">2024-05-27T12:43:50Z</dcterms:modified>
</cp:coreProperties>
</file>