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327\Z00FTGCU\"/>
    </mc:Choice>
  </mc:AlternateContent>
  <xr:revisionPtr revIDLastSave="0" documentId="13_ncr:1_{5C800448-6A4D-4BD8-B292-9C26E80C1829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EA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G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C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82" i="2" a="1"/>
  <c r="BC82" i="2" s="1"/>
  <c r="BC164" i="2" a="1"/>
  <c r="BC164" i="2" s="1"/>
  <c r="BC7" i="2" a="1"/>
  <c r="BC7" i="2" s="1"/>
  <c r="BC185" i="2" a="1"/>
  <c r="BC185" i="2" s="1"/>
  <c r="BC130" i="2" a="1"/>
  <c r="BC130" i="2" s="1"/>
  <c r="BC117" i="2" a="1"/>
  <c r="BC117" i="2" s="1"/>
  <c r="BC58" i="2" a="1"/>
  <c r="BC58" i="2" s="1"/>
  <c r="BC151" i="2" a="1"/>
  <c r="BC151" i="2" s="1"/>
  <c r="BC68" i="2" a="1"/>
  <c r="BC68" i="2" s="1"/>
  <c r="BC181" i="2" a="1"/>
  <c r="BC181" i="2" s="1"/>
  <c r="BC31" i="2" a="1"/>
  <c r="BC31" i="2" s="1"/>
  <c r="BC65" i="2" a="1"/>
  <c r="BC65" i="2" s="1"/>
  <c r="BC192" i="2" a="1"/>
  <c r="BC192" i="2" s="1"/>
  <c r="BC55" i="2" a="1"/>
  <c r="BC55" i="2" s="1"/>
  <c r="BC143" i="2" a="1"/>
  <c r="BC143" i="2" s="1"/>
  <c r="BC34" i="2" a="1"/>
  <c r="BC34" i="2" s="1"/>
  <c r="BC18" i="2" a="1"/>
  <c r="BC18" i="2" s="1"/>
  <c r="BC84" i="2" a="1"/>
  <c r="BC84" i="2" s="1"/>
  <c r="BC114" i="2" a="1"/>
  <c r="BC114" i="2" s="1"/>
  <c r="BC47" i="2" a="1"/>
  <c r="BC47" i="2" s="1"/>
  <c r="BC38" i="2" a="1"/>
  <c r="BC38" i="2" s="1"/>
  <c r="BC32" i="2" a="1"/>
  <c r="BC32" i="2" s="1"/>
  <c r="BC126" i="2" a="1"/>
  <c r="BC126" i="2" s="1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<sst xmlns="http://schemas.openxmlformats.org/spreadsheetml/2006/main" count="1170" uniqueCount="324">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</sst>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1.9360252543076564</c:v>
                </c:pt>
                <c:pt idx="2">
                  <c:v>2.5790770650540913</c:v>
                </c:pt>
                <c:pt idx="3">
                  <c:v>3.4366102143589461</c:v>
                </c:pt>
                <c:pt idx="4">
                  <c:v>4.5804423981255615</c:v>
                </c:pt>
                <c:pt idx="5">
                  <c:v>6.1065267924549724</c:v>
                </c:pt>
                <c:pt idx="6">
                  <c:v>8.1430905515282763</c:v>
                </c:pt>
                <c:pt idx="7">
                  <c:v>10.861526123615818</c:v>
                </c:pt>
                <c:pt idx="8">
                  <c:v>14.490969152979892</c:v>
                </c:pt>
                <c:pt idx="9">
                  <c:v>19.33781428776221</c:v>
                </c:pt>
                <c:pt idx="10">
                  <c:v>25.811846009055376</c:v>
                </c:pt>
                <c:pt idx="11">
                  <c:v>34.461232607549839</c:v>
                </c:pt>
                <c:pt idx="12">
                  <c:v>46.01939728757651</c:v>
                </c:pt>
                <c:pt idx="13">
                  <c:v>61.467807690255086</c:v>
                </c:pt>
                <c:pt idx="14">
                  <c:v>82.120103330277416</c:v>
                </c:pt>
                <c:pt idx="15">
                  <c:v>109.73482961024176</c:v>
                </c:pt>
                <c:pt idx="16">
                  <c:v>146.66652844686004</c:v>
                </c:pt>
                <c:pt idx="17">
                  <c:v>196.06826563719798</c:v>
                </c:pt>
                <c:pt idx="18">
                  <c:v>262.16314470655618</c:v>
                </c:pt>
                <c:pt idx="19">
                  <c:v>225.67626422781333</c:v>
                </c:pt>
                <c:pt idx="20">
                  <c:v>255.35618727816851</c:v>
                </c:pt>
                <c:pt idx="21">
                  <c:v>284.95801116402544</c:v>
                </c:pt>
                <c:pt idx="22">
                  <c:v>314.49098579108653</c:v>
                </c:pt>
                <c:pt idx="23">
                  <c:v>343.96248069471812</c:v>
                </c:pt>
                <c:pt idx="24">
                  <c:v>373.37849919705508</c:v>
                </c:pt>
                <c:pt idx="25">
                  <c:v>325.84841922182704</c:v>
                </c:pt>
                <c:pt idx="26">
                  <c:v>357.08697127082979</c:v>
                </c:pt>
                <c:pt idx="27">
                  <c:v>388.26570750576957</c:v>
                </c:pt>
                <c:pt idx="28">
                  <c:v>419.39010084897541</c:v>
                </c:pt>
                <c:pt idx="29">
                  <c:v>450.46474604600962</c:v>
                </c:pt>
                <c:pt idx="30">
                  <c:v>481.49355268457526</c:v>
                </c:pt>
                <c:pt idx="31">
                  <c:v>424.53954501187883</c:v>
                </c:pt>
                <c:pt idx="32">
                  <c:v>456.59497155073063</c:v>
                </c:pt>
                <c:pt idx="33">
                  <c:v>488.60233979364853</c:v>
                </c:pt>
                <c:pt idx="34">
                  <c:v>520.565235875045</c:v>
                </c:pt>
                <c:pt idx="35">
                  <c:v>552.48677012222458</c:v>
                </c:pt>
                <c:pt idx="36">
                  <c:v>584.36966457807478</c:v>
                </c:pt>
                <c:pt idx="37">
                  <c:v>510.50744224987994</c:v>
                </c:pt>
                <c:pt idx="38">
                  <c:v>541.85067926084901</c:v>
                </c:pt>
                <c:pt idx="39">
                  <c:v>573.15585849801516</c:v>
                </c:pt>
                <c:pt idx="40">
                  <c:v>604.42534765809012</c:v>
                </c:pt>
                <c:pt idx="41">
                  <c:v>635.66124981625387</c:v>
                </c:pt>
                <c:pt idx="42">
                  <c:v>666.86544480724035</c:v>
                </c:pt>
                <c:pt idx="43">
                  <c:v>585.74648753921508</c:v>
                </c:pt>
                <c:pt idx="44">
                  <c:v>615.43040219390423</c:v>
                </c:pt>
                <c:pt idx="45">
                  <c:v>645.08464461462654</c:v>
                </c:pt>
                <c:pt idx="46">
                  <c:v>674.71076853304646</c:v>
                </c:pt>
                <c:pt idx="47">
                  <c:v>704.31018031055771</c:v>
                </c:pt>
                <c:pt idx="48">
                  <c:v>733.88415864365436</c:v>
                </c:pt>
                <c:pt idx="49">
                  <c:v>640.56962527621079</c:v>
                </c:pt>
                <c:pt idx="50">
                  <c:v>668.43466065337554</c:v>
                </c:pt>
                <c:pt idx="51">
                  <c:v>696.27582074058864</c:v>
                </c:pt>
                <c:pt idx="52">
                  <c:v>724.09419306695918</c:v>
                </c:pt>
                <c:pt idx="53">
                  <c:v>751.89077491142007</c:v>
                </c:pt>
                <c:pt idx="54">
                  <c:v>779.66648391733406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80" zoomScaleNormal="80" workbookViewId="0">
      <selection activeCell="B37" sqref="B3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1.41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1</v>
      </c>
      <c r="D9" s="33">
        <f t="shared" ref="D9:D18" si="0">C9*$C$5</f>
        <v>1.41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1.41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18</v>
      </c>
      <c r="B36" s="60">
        <v>213</v>
      </c>
      <c r="C36" s="60">
        <v>1</v>
      </c>
      <c r="D36" s="60">
        <v>55</v>
      </c>
      <c r="E36" s="51"/>
      <c r="F36" s="51">
        <v>0.6</v>
      </c>
      <c r="G36" s="51">
        <v>0.4</v>
      </c>
      <c r="H36" s="51"/>
      <c r="I36" s="49">
        <f>IFERROR(B36/A36,"")</f>
        <v>11.833333333333334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24</v>
      </c>
      <c r="B37" s="60">
        <v>306</v>
      </c>
      <c r="C37" s="60">
        <v>2</v>
      </c>
      <c r="D37" s="60">
        <v>66</v>
      </c>
      <c r="E37" s="51"/>
      <c r="F37" s="51">
        <v>0.6</v>
      </c>
      <c r="G37" s="51">
        <v>0.4</v>
      </c>
      <c r="H37" s="51"/>
      <c r="I37" s="53">
        <f t="shared" ref="I37:I55" si="1">IF(A37&lt;&gt;0,(B37-(B36-D36))/(A37-A36),"")</f>
        <v>24.666666666666668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397</v>
      </c>
      <c r="C38" s="60">
        <v>3</v>
      </c>
      <c r="D38" s="60">
        <v>75</v>
      </c>
      <c r="E38" s="51">
        <v>0.2</v>
      </c>
      <c r="F38" s="51">
        <v>0.6</v>
      </c>
      <c r="G38" s="51">
        <v>0.2</v>
      </c>
      <c r="H38" s="51"/>
      <c r="I38" s="53">
        <f t="shared" si="1"/>
        <v>26.166666666666668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36</v>
      </c>
      <c r="B39" s="60">
        <v>484</v>
      </c>
      <c r="C39" s="60">
        <v>4</v>
      </c>
      <c r="D39" s="60">
        <v>89</v>
      </c>
      <c r="E39" s="51"/>
      <c r="F39" s="51"/>
      <c r="G39" s="51"/>
      <c r="H39" s="51"/>
      <c r="I39" s="49">
        <f t="shared" si="1"/>
        <v>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42</v>
      </c>
      <c r="B40" s="60">
        <v>554</v>
      </c>
      <c r="C40" s="60">
        <v>5</v>
      </c>
      <c r="D40" s="60">
        <v>94</v>
      </c>
      <c r="E40" s="51"/>
      <c r="F40" s="51"/>
      <c r="G40" s="51"/>
      <c r="H40" s="51"/>
      <c r="I40" s="49">
        <f t="shared" si="1"/>
        <v>26.5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48</v>
      </c>
      <c r="B41" s="60">
        <v>611</v>
      </c>
      <c r="C41" s="60">
        <v>6</v>
      </c>
      <c r="D41" s="60">
        <v>103</v>
      </c>
      <c r="E41" s="51"/>
      <c r="F41" s="51"/>
      <c r="G41" s="51"/>
      <c r="H41" s="51"/>
      <c r="I41" s="53">
        <f t="shared" si="1"/>
        <v>25.166666666666668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54</v>
      </c>
      <c r="B42" s="60">
        <v>650</v>
      </c>
      <c r="C42" s="60">
        <v>7</v>
      </c>
      <c r="D42" s="60">
        <v>650</v>
      </c>
      <c r="E42" s="51"/>
      <c r="F42" s="51"/>
      <c r="G42" s="51"/>
      <c r="H42" s="51"/>
      <c r="I42" s="53">
        <f t="shared" si="1"/>
        <v>23.666666666666668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330.15282863041176</v>
      </c>
      <c r="T3" s="59">
        <f>IF('Données projet'!E9&gt;30,$R$33-$H$33,LOOKUP('Données projet'!$E$9,$A$3:$A$203,R3:R203)-LOOKUP('Données projet'!$E$9,$A$3:$A$203,$H$3:$H$203))</f>
        <v>443.4702735944341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11.833333333333334</v>
      </c>
      <c r="N4" s="13">
        <f>IF('Données projet'!$A$36&gt;35,N3+M4-V3,IF(A4&lt;'Données projet'!$A$36,$K$205^A4,IF(A4='Données projet'!$A$36,'Données projet'!$B$36,N3+M4-V3)))</f>
        <v>1.3469591425177616</v>
      </c>
      <c r="O4" s="13">
        <f>N4*VLOOKUP('Données projet'!$B$9,Paramètres!$A$1:$I$89,3,0)*VLOOKUP('Données projet'!$B$9,Paramètres!$A$1:$I$89,5,0)</f>
        <v>0.75295016066742881</v>
      </c>
      <c r="P4" s="13">
        <f>EXP(-1.0587+0.8836*LN(O4)+0.284)</f>
        <v>0.35864328678194329</v>
      </c>
      <c r="Q4" s="20">
        <f t="shared" ref="Q4:Q34" si="2">(O4+P4)*0.475*44/12</f>
        <v>1.9360252543076564</v>
      </c>
      <c r="R4" s="59">
        <f t="shared" si="0"/>
        <v>295.26935858764097</v>
      </c>
      <c r="S4" s="59">
        <f ca="1">AVERAGE(OFFSET($R$3,0,0,'Données projet'!$E$9+1,1))-AVERAGE(OFFSET($H$3,0,0,'Données projet'!$E$9+1,1))</f>
        <v>330.15282863041176</v>
      </c>
      <c r="T4" s="59">
        <f>$T$3</f>
        <v>443.4702735944341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11.833333333333334</v>
      </c>
      <c r="N5" s="13">
        <f>IF('Données projet'!$A$36&gt;35,N4+M5-V4,IF(A5&lt;'Données projet'!$A$36,$K$205^A5,IF(A5='Données projet'!$A$36,'Données projet'!$B$36,N4+M5-V4)))</f>
        <v>1.8142989316121836</v>
      </c>
      <c r="O5" s="13">
        <f>N5*VLOOKUP('Données projet'!$B$9,Paramètres!$A$1:$I$89,3,0)*VLOOKUP('Données projet'!$B$9,Paramètres!$A$1:$I$89,5,0)</f>
        <v>1.0141931027712106</v>
      </c>
      <c r="P5" s="13">
        <f t="shared" ref="P5:P68" si="33">EXP(-1.0587+0.8836*LN(O5)+0.284)</f>
        <v>0.46661669534597111</v>
      </c>
      <c r="Q5" s="20">
        <f t="shared" si="2"/>
        <v>2.5790770650540913</v>
      </c>
      <c r="R5" s="59">
        <f t="shared" si="0"/>
        <v>295.91241039838741</v>
      </c>
      <c r="S5" s="59">
        <f ca="1">AVERAGE(OFFSET($R$3,0,0,'Données projet'!$E$9+1,1))-AVERAGE(OFFSET($H$3,0,0,'Données projet'!$E$9+1,1))</f>
        <v>330.15282863041176</v>
      </c>
      <c r="T5" s="59">
        <f t="shared" ref="T5:T68" si="34">$T$3</f>
        <v>443.4702735944341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11.833333333333334</v>
      </c>
      <c r="N6" s="13">
        <f>IF('Données projet'!$A$36&gt;35,N5+M6-V5,IF(A6&lt;'Données projet'!$A$36,$K$205^A6,IF(A6='Données projet'!$A$36,'Données projet'!$B$36,N5+M6-V5)))</f>
        <v>2.443786533195238</v>
      </c>
      <c r="O6" s="13">
        <f>N6*VLOOKUP('Données projet'!$B$9,Paramètres!$A$1:$I$89,3,0)*VLOOKUP('Données projet'!$B$9,Paramètres!$A$1:$I$89,5,0)</f>
        <v>1.3660766720561379</v>
      </c>
      <c r="P6" s="13">
        <f t="shared" si="33"/>
        <v>0.60709665676239566</v>
      </c>
      <c r="Q6" s="20">
        <f t="shared" si="2"/>
        <v>3.4366102143589461</v>
      </c>
      <c r="R6" s="59">
        <f t="shared" si="0"/>
        <v>296.76994354769226</v>
      </c>
      <c r="S6" s="59">
        <f ca="1">AVERAGE(OFFSET($R$3,0,0,'Données projet'!$E$9+1,1))-AVERAGE(OFFSET($H$3,0,0,'Données projet'!$E$9+1,1))</f>
        <v>330.15282863041176</v>
      </c>
      <c r="T6" s="59">
        <f t="shared" si="34"/>
        <v>443.4702735944341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11.833333333333334</v>
      </c>
      <c r="N7" s="13">
        <f>IF('Données projet'!$A$36&gt;35,N6+M7-V6,IF(A7&lt;'Données projet'!$A$36,$K$205^A7,IF(A7='Données projet'!$A$36,'Données projet'!$B$36,N6+M7-V6)))</f>
        <v>3.291680613249111</v>
      </c>
      <c r="O7" s="13">
        <f>N7*VLOOKUP('Données projet'!$B$9,Paramètres!$A$1:$I$89,3,0)*VLOOKUP('Données projet'!$B$9,Paramètres!$A$1:$I$89,5,0)</f>
        <v>1.8400494628062529</v>
      </c>
      <c r="P7" s="13">
        <f t="shared" si="33"/>
        <v>0.78986961745722772</v>
      </c>
      <c r="Q7" s="20">
        <f t="shared" si="2"/>
        <v>4.5804423981255615</v>
      </c>
      <c r="R7" s="59">
        <f t="shared" si="0"/>
        <v>297.91377573145888</v>
      </c>
      <c r="S7" s="59">
        <f ca="1">AVERAGE(OFFSET($R$3,0,0,'Données projet'!$E$9+1,1))-AVERAGE(OFFSET($H$3,0,0,'Données projet'!$E$9+1,1))</f>
        <v>330.15282863041176</v>
      </c>
      <c r="T7" s="59">
        <f t="shared" si="34"/>
        <v>443.4702735944341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11.833333333333334</v>
      </c>
      <c r="N8" s="13">
        <f>IF('Données projet'!$A$36&gt;35,N7+M8-V7,IF(A8&lt;'Données projet'!$A$36,$K$205^A8,IF(A8='Données projet'!$A$36,'Données projet'!$B$36,N7+M8-V7)))</f>
        <v>4.4337592962643626</v>
      </c>
      <c r="O8" s="13">
        <f>N8*VLOOKUP('Données projet'!$B$9,Paramètres!$A$1:$I$89,3,0)*VLOOKUP('Données projet'!$B$9,Paramètres!$A$1:$I$89,5,0)</f>
        <v>2.4784714466117785</v>
      </c>
      <c r="P8" s="13">
        <f t="shared" si="33"/>
        <v>1.0276683385298329</v>
      </c>
      <c r="Q8" s="20">
        <f t="shared" si="2"/>
        <v>6.1065267924549724</v>
      </c>
      <c r="R8" s="59">
        <f t="shared" si="0"/>
        <v>299.4398601257883</v>
      </c>
      <c r="S8" s="59">
        <f ca="1">AVERAGE(OFFSET($R$3,0,0,'Données projet'!$E$9+1,1))-AVERAGE(OFFSET($H$3,0,0,'Données projet'!$E$9+1,1))</f>
        <v>330.15282863041176</v>
      </c>
      <c r="T8" s="59">
        <f t="shared" si="34"/>
        <v>443.4702735944341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11.833333333333334</v>
      </c>
      <c r="N9" s="13">
        <f>IF('Données projet'!$A$36&gt;35,N8+M9-V8,IF(A9&lt;'Données projet'!$A$36,$K$205^A9,IF(A9='Données projet'!$A$36,'Données projet'!$B$36,N8+M9-V8)))</f>
        <v>5.9720926198263991</v>
      </c>
      <c r="O9" s="13">
        <f>N9*VLOOKUP('Données projet'!$B$9,Paramètres!$A$1:$I$89,3,0)*VLOOKUP('Données projet'!$B$9,Paramètres!$A$1:$I$89,5,0)</f>
        <v>3.3383997744829572</v>
      </c>
      <c r="P9" s="13">
        <f t="shared" si="33"/>
        <v>1.3370589153897365</v>
      </c>
      <c r="Q9" s="20">
        <f t="shared" si="2"/>
        <v>8.1430905515282763</v>
      </c>
      <c r="R9" s="59">
        <f t="shared" si="0"/>
        <v>301.47642388486162</v>
      </c>
      <c r="S9" s="59">
        <f ca="1">AVERAGE(OFFSET($R$3,0,0,'Données projet'!$E$9+1,1))-AVERAGE(OFFSET($H$3,0,0,'Données projet'!$E$9+1,1))</f>
        <v>330.15282863041176</v>
      </c>
      <c r="T9" s="59">
        <f t="shared" si="34"/>
        <v>443.4702735944341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11.833333333333334</v>
      </c>
      <c r="N10" s="13">
        <f>IF('Données projet'!$A$36&gt;35,N9+M10-V9,IF(A10&lt;'Données projet'!$A$36,$K$205^A10,IF(A10='Données projet'!$A$36,'Données projet'!$B$36,N9+M10-V9)))</f>
        <v>8.0441647542380199</v>
      </c>
      <c r="O10" s="13">
        <f>N10*VLOOKUP('Données projet'!$B$9,Paramètres!$A$1:$I$89,3,0)*VLOOKUP('Données projet'!$B$9,Paramètres!$A$1:$I$89,5,0)</f>
        <v>4.4966880976190531</v>
      </c>
      <c r="P10" s="13">
        <f t="shared" si="33"/>
        <v>1.7395948441699334</v>
      </c>
      <c r="Q10" s="20">
        <f t="shared" si="2"/>
        <v>10.861526123615818</v>
      </c>
      <c r="R10" s="59">
        <f t="shared" si="0"/>
        <v>304.19485945694913</v>
      </c>
      <c r="S10" s="59">
        <f ca="1">AVERAGE(OFFSET($R$3,0,0,'Données projet'!$E$9+1,1))-AVERAGE(OFFSET($H$3,0,0,'Données projet'!$E$9+1,1))</f>
        <v>330.15282863041176</v>
      </c>
      <c r="T10" s="59">
        <f t="shared" si="34"/>
        <v>443.4702735944341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11.833333333333334</v>
      </c>
      <c r="N11" s="13">
        <f>IF('Données projet'!$A$36&gt;35,N10+M11-V10,IF(A11&lt;'Données projet'!$A$36,$K$205^A11,IF(A11='Données projet'!$A$36,'Données projet'!$B$36,N10+M11-V10)))</f>
        <v>10.835161259640044</v>
      </c>
      <c r="O11" s="13">
        <f>N11*VLOOKUP('Données projet'!$B$9,Paramètres!$A$1:$I$89,3,0)*VLOOKUP('Données projet'!$B$9,Paramètres!$A$1:$I$89,5,0)</f>
        <v>6.056855144138785</v>
      </c>
      <c r="P11" s="13">
        <f t="shared" si="33"/>
        <v>2.2633185322133071</v>
      </c>
      <c r="Q11" s="20">
        <f t="shared" si="2"/>
        <v>14.490969152979892</v>
      </c>
      <c r="R11" s="59">
        <f t="shared" si="0"/>
        <v>307.82430248631323</v>
      </c>
      <c r="S11" s="59">
        <f ca="1">AVERAGE(OFFSET($R$3,0,0,'Données projet'!$E$9+1,1))-AVERAGE(OFFSET($H$3,0,0,'Données projet'!$E$9+1,1))</f>
        <v>330.15282863041176</v>
      </c>
      <c r="T11" s="59">
        <f t="shared" si="34"/>
        <v>443.4702735944341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11.833333333333334</v>
      </c>
      <c r="N12" s="13">
        <f>IF('Données projet'!$A$36&gt;35,N11+M12-V11,IF(A12&lt;'Données projet'!$A$36,$K$205^A12,IF(A12='Données projet'!$A$36,'Données projet'!$B$36,N11+M12-V11)))</f>
        <v>14.594519519326424</v>
      </c>
      <c r="O12" s="13">
        <f>N12*VLOOKUP('Données projet'!$B$9,Paramètres!$A$1:$I$89,3,0)*VLOOKUP('Données projet'!$B$9,Paramètres!$A$1:$I$89,5,0)</f>
        <v>8.1583364113034698</v>
      </c>
      <c r="P12" s="13">
        <f t="shared" si="33"/>
        <v>2.9447148543973225</v>
      </c>
      <c r="Q12" s="20">
        <f t="shared" si="2"/>
        <v>19.33781428776221</v>
      </c>
      <c r="R12" s="59">
        <f t="shared" si="0"/>
        <v>312.67114762109554</v>
      </c>
      <c r="S12" s="59">
        <f ca="1">AVERAGE(OFFSET($R$3,0,0,'Données projet'!$E$9+1,1))-AVERAGE(OFFSET($H$3,0,0,'Données projet'!$E$9+1,1))</f>
        <v>330.15282863041176</v>
      </c>
      <c r="T12" s="59">
        <f t="shared" si="34"/>
        <v>443.4702735944341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11.833333333333334</v>
      </c>
      <c r="N13" s="13">
        <f>IF('Données projet'!$A$36&gt;35,N12+M13-V12,IF(A13&lt;'Données projet'!$A$36,$K$205^A13,IF(A13='Données projet'!$A$36,'Données projet'!$B$36,N12+M13-V12)))</f>
        <v>19.658221497210654</v>
      </c>
      <c r="O13" s="13">
        <f>N13*VLOOKUP('Données projet'!$B$9,Paramètres!$A$1:$I$89,3,0)*VLOOKUP('Données projet'!$B$9,Paramètres!$A$1:$I$89,5,0)</f>
        <v>10.988945816940756</v>
      </c>
      <c r="P13" s="13">
        <f t="shared" si="33"/>
        <v>3.831252848545585</v>
      </c>
      <c r="Q13" s="20">
        <f t="shared" si="2"/>
        <v>25.811846009055376</v>
      </c>
      <c r="R13" s="59">
        <f t="shared" si="0"/>
        <v>319.1451793423887</v>
      </c>
      <c r="S13" s="59">
        <f ca="1">AVERAGE(OFFSET($R$3,0,0,'Données projet'!$E$9+1,1))-AVERAGE(OFFSET($H$3,0,0,'Données projet'!$E$9+1,1))</f>
        <v>330.15282863041176</v>
      </c>
      <c r="T13" s="59">
        <f t="shared" si="34"/>
        <v>443.4702735944341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11.833333333333334</v>
      </c>
      <c r="N14" s="13">
        <f>IF('Données projet'!$A$36&gt;35,N13+M14-V13,IF(A14&lt;'Données projet'!$A$36,$K$205^A14,IF(A14='Données projet'!$A$36,'Données projet'!$B$36,N13+M14-V13)))</f>
        <v>26.478821171307089</v>
      </c>
      <c r="O14" s="13">
        <f>N14*VLOOKUP('Données projet'!$B$9,Paramètres!$A$1:$I$89,3,0)*VLOOKUP('Données projet'!$B$9,Paramètres!$A$1:$I$89,5,0)</f>
        <v>14.801661034760665</v>
      </c>
      <c r="P14" s="13">
        <f t="shared" si="33"/>
        <v>4.9846926155071882</v>
      </c>
      <c r="Q14" s="20">
        <f t="shared" si="2"/>
        <v>34.461232607549839</v>
      </c>
      <c r="R14" s="59">
        <f t="shared" si="0"/>
        <v>327.79456594088316</v>
      </c>
      <c r="S14" s="59">
        <f ca="1">AVERAGE(OFFSET($R$3,0,0,'Données projet'!$E$9+1,1))-AVERAGE(OFFSET($H$3,0,0,'Données projet'!$E$9+1,1))</f>
        <v>330.15282863041176</v>
      </c>
      <c r="T14" s="59">
        <f t="shared" si="34"/>
        <v>443.4702735944341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11.833333333333334</v>
      </c>
      <c r="N15" s="13">
        <f>IF('Données projet'!$A$36&gt;35,N14+M15-V14,IF(A15&lt;'Données projet'!$A$36,$K$205^A15,IF(A15='Données projet'!$A$36,'Données projet'!$B$36,N14+M15-V14)))</f>
        <v>35.665890259784952</v>
      </c>
      <c r="O15" s="13">
        <f>N15*VLOOKUP('Données projet'!$B$9,Paramètres!$A$1:$I$89,3,0)*VLOOKUP('Données projet'!$B$9,Paramètres!$A$1:$I$89,5,0)</f>
        <v>19.937232655219788</v>
      </c>
      <c r="P15" s="13">
        <f t="shared" si="33"/>
        <v>6.4853877969772569</v>
      </c>
      <c r="Q15" s="20">
        <f t="shared" si="2"/>
        <v>46.01939728757651</v>
      </c>
      <c r="R15" s="59">
        <f t="shared" si="0"/>
        <v>339.35273062090982</v>
      </c>
      <c r="S15" s="59">
        <f ca="1">AVERAGE(OFFSET($R$3,0,0,'Données projet'!$E$9+1,1))-AVERAGE(OFFSET($H$3,0,0,'Données projet'!$E$9+1,1))</f>
        <v>330.15282863041176</v>
      </c>
      <c r="T15" s="59">
        <f t="shared" si="34"/>
        <v>443.4702735944341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11.833333333333334</v>
      </c>
      <c r="N16" s="13">
        <f>IF('Données projet'!$A$36&gt;35,N15+M16-V15,IF(A16&lt;'Données projet'!$A$36,$K$205^A16,IF(A16='Données projet'!$A$36,'Données projet'!$B$36,N15+M16-V15)))</f>
        <v>48.040496961452526</v>
      </c>
      <c r="O16" s="13">
        <f>N16*VLOOKUP('Données projet'!$B$9,Paramètres!$A$1:$I$89,3,0)*VLOOKUP('Données projet'!$B$9,Paramètres!$A$1:$I$89,5,0)</f>
        <v>26.854637801451965</v>
      </c>
      <c r="P16" s="13">
        <f t="shared" si="33"/>
        <v>8.4378833604169792</v>
      </c>
      <c r="Q16" s="20">
        <f t="shared" si="2"/>
        <v>61.467807690255086</v>
      </c>
      <c r="R16" s="59">
        <f t="shared" si="0"/>
        <v>354.8011410235884</v>
      </c>
      <c r="S16" s="59">
        <f ca="1">AVERAGE(OFFSET($R$3,0,0,'Données projet'!$E$9+1,1))-AVERAGE(OFFSET($H$3,0,0,'Données projet'!$E$9+1,1))</f>
        <v>330.15282863041176</v>
      </c>
      <c r="T16" s="59">
        <f t="shared" si="34"/>
        <v>443.4702735944341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11.833333333333334</v>
      </c>
      <c r="N17" s="13">
        <f>IF('Données projet'!$A$36&gt;35,N16+M17-V16,IF(A17&lt;'Données projet'!$A$36,$K$205^A17,IF(A17='Données projet'!$A$36,'Données projet'!$B$36,N16+M17-V16)))</f>
        <v>64.708586593325222</v>
      </c>
      <c r="O17" s="13">
        <f>N17*VLOOKUP('Données projet'!$B$9,Paramètres!$A$1:$I$89,3,0)*VLOOKUP('Données projet'!$B$9,Paramètres!$A$1:$I$89,5,0)</f>
        <v>36.172099905668802</v>
      </c>
      <c r="P17" s="13">
        <f t="shared" si="33"/>
        <v>10.978198657169905</v>
      </c>
      <c r="Q17" s="20">
        <f t="shared" si="2"/>
        <v>82.120103330277416</v>
      </c>
      <c r="R17" s="59">
        <f t="shared" si="0"/>
        <v>375.45343666361072</v>
      </c>
      <c r="S17" s="59">
        <f ca="1">AVERAGE(OFFSET($R$3,0,0,'Données projet'!$E$9+1,1))-AVERAGE(OFFSET($H$3,0,0,'Données projet'!$E$9+1,1))</f>
        <v>330.15282863041176</v>
      </c>
      <c r="T17" s="59">
        <f t="shared" si="34"/>
        <v>443.4702735944341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11.833333333333334</v>
      </c>
      <c r="N18" s="13">
        <f>IF('Données projet'!$A$36&gt;35,N17+M18-V17,IF(A18&lt;'Données projet'!$A$36,$K$205^A18,IF(A18='Données projet'!$A$36,'Données projet'!$B$36,N17+M18-V17)))</f>
        <v>87.159822311281673</v>
      </c>
      <c r="O18" s="13">
        <f>N18*VLOOKUP('Données projet'!$B$9,Paramètres!$A$1:$I$89,3,0)*VLOOKUP('Données projet'!$B$9,Paramètres!$A$1:$I$89,5,0)</f>
        <v>48.72234067200646</v>
      </c>
      <c r="P18" s="13">
        <f t="shared" si="33"/>
        <v>14.283303123347656</v>
      </c>
      <c r="Q18" s="20">
        <f t="shared" si="2"/>
        <v>109.73482961024176</v>
      </c>
      <c r="R18" s="59">
        <f t="shared" si="0"/>
        <v>403.06816294357509</v>
      </c>
      <c r="S18" s="59">
        <f ca="1">AVERAGE(OFFSET($R$3,0,0,'Données projet'!$E$9+1,1))-AVERAGE(OFFSET($H$3,0,0,'Données projet'!$E$9+1,1))</f>
        <v>330.15282863041176</v>
      </c>
      <c r="T18" s="59">
        <f t="shared" si="34"/>
        <v>443.4702735944341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11.833333333333334</v>
      </c>
      <c r="N19" s="13">
        <f>IF('Données projet'!$A$36&gt;35,N18+M19-V18,IF(A19&lt;'Données projet'!$A$36,$K$205^A19,IF(A19='Données projet'!$A$36,'Données projet'!$B$36,N18+M19-V18)))</f>
        <v>117.40071952240443</v>
      </c>
      <c r="O19" s="13">
        <f>N19*VLOOKUP('Données projet'!$B$9,Paramètres!$A$1:$I$89,3,0)*VLOOKUP('Données projet'!$B$9,Paramètres!$A$1:$I$89,5,0)</f>
        <v>65.62700221302407</v>
      </c>
      <c r="P19" s="13">
        <f t="shared" si="33"/>
        <v>18.583444742110881</v>
      </c>
      <c r="Q19" s="20">
        <f t="shared" si="2"/>
        <v>146.66652844686004</v>
      </c>
      <c r="R19" s="59">
        <f t="shared" si="0"/>
        <v>439.99986178019333</v>
      </c>
      <c r="S19" s="59">
        <f ca="1">AVERAGE(OFFSET($R$3,0,0,'Données projet'!$E$9+1,1))-AVERAGE(OFFSET($H$3,0,0,'Données projet'!$E$9+1,1))</f>
        <v>330.15282863041176</v>
      </c>
      <c r="T19" s="59">
        <f t="shared" si="34"/>
        <v>443.4702735944341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11.833333333333334</v>
      </c>
      <c r="N20" s="13">
        <f>IF('Données projet'!$A$36&gt;35,N19+M20-V19,IF(A20&lt;'Données projet'!$A$36,$K$205^A20,IF(A20='Données projet'!$A$36,'Données projet'!$B$36,N19+M20-V19)))</f>
        <v>158.13397249886611</v>
      </c>
      <c r="O20" s="13">
        <f>N20*VLOOKUP('Données projet'!$B$9,Paramètres!$A$1:$I$89,3,0)*VLOOKUP('Données projet'!$B$9,Paramètres!$A$1:$I$89,5,0)</f>
        <v>88.396890626866153</v>
      </c>
      <c r="P20" s="13">
        <f t="shared" si="33"/>
        <v>24.178190121764256</v>
      </c>
      <c r="Q20" s="20">
        <f t="shared" si="2"/>
        <v>196.06826563719798</v>
      </c>
      <c r="R20" s="59">
        <f t="shared" si="0"/>
        <v>489.40159897053127</v>
      </c>
      <c r="S20" s="59">
        <f ca="1">AVERAGE(OFFSET($R$3,0,0,'Données projet'!$E$9+1,1))-AVERAGE(OFFSET($H$3,0,0,'Données projet'!$E$9+1,1))</f>
        <v>330.15282863041176</v>
      </c>
      <c r="T20" s="59">
        <f t="shared" si="34"/>
        <v>443.4702735944341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213</v>
      </c>
      <c r="L21" s="12">
        <f>VLOOKUP(A21,'Données projet'!$A$35:$I$55,9,0)</f>
        <v>11.833333333333334</v>
      </c>
      <c r="M21" s="12">
        <f t="array" ref="M21">INDEX(L:L,MIN(IF(ISNUMBER(L21:L217),ROW(L21:L217),"")))</f>
        <v>11.833333333333334</v>
      </c>
      <c r="N21" s="13">
        <f>IF('Données projet'!$A$36&gt;35,N20+M21-V20,IF(A21&lt;'Données projet'!$A$36,$K$205^A21,IF(A21='Données projet'!$A$36,'Données projet'!$B$36,N20+M21-V20)))</f>
        <v>213</v>
      </c>
      <c r="O21" s="13">
        <f>N21*VLOOKUP('Données projet'!$B$9,Paramètres!$A$1:$I$89,3,0)*VLOOKUP('Données projet'!$B$9,Paramètres!$A$1:$I$89,5,0)</f>
        <v>119.06700000000001</v>
      </c>
      <c r="P21" s="13">
        <f t="shared" si="33"/>
        <v>31.457293611419821</v>
      </c>
      <c r="Q21" s="20">
        <f t="shared" si="2"/>
        <v>262.16314470655618</v>
      </c>
      <c r="R21" s="59">
        <f t="shared" si="0"/>
        <v>555.49647803988955</v>
      </c>
      <c r="S21" s="59">
        <f ca="1">AVERAGE(OFFSET($R$3,0,0,'Données projet'!$E$9+1,1))-AVERAGE(OFFSET($H$3,0,0,'Données projet'!$E$9+1,1))</f>
        <v>330.15282863041176</v>
      </c>
      <c r="T21" s="59">
        <f t="shared" si="34"/>
        <v>443.4702735944341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55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0.33</v>
      </c>
      <c r="Y21" s="16">
        <f>IF(ISNA(VLOOKUP(A21,'Données projet'!$A$35:$I$55,7,0)),0%,VLOOKUP(A21,'Données projet'!$A$35:$I$55,7,0))</f>
        <v>0.4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13.406130280782834</v>
      </c>
      <c r="AB21" s="21">
        <f>EXP(-LN(2)/2)*AB20+(1-EXP(-LN(2)/2))/(LN(2)/2)*V21*Y21*VLOOKUP('Données projet'!$B$9,Paramètres!$A$1:$I$89,3,0)*0.475*44/12</f>
        <v>13.924192794980479</v>
      </c>
      <c r="AC21" s="22">
        <f t="shared" si="3"/>
        <v>27.330323075763314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24.666666666666668</v>
      </c>
      <c r="N22" s="13">
        <f>IF('Données projet'!$A$36&gt;35,N21+M22-V21,IF(A22&lt;'Données projet'!$A$36,$K$205^A22,IF(A22='Données projet'!$A$36,'Données projet'!$B$36,N21+M22-V21)))</f>
        <v>182.66666666666666</v>
      </c>
      <c r="O22" s="13">
        <f>N22*VLOOKUP('Données projet'!$B$9,Paramètres!$A$1:$I$89,3,0)*VLOOKUP('Données projet'!$B$9,Paramètres!$A$1:$I$89,5,0)</f>
        <v>102.11066666666667</v>
      </c>
      <c r="P22" s="13">
        <f t="shared" si="33"/>
        <v>27.464221885187857</v>
      </c>
      <c r="Q22" s="20">
        <f t="shared" si="2"/>
        <v>225.67626422781333</v>
      </c>
      <c r="R22" s="59">
        <f t="shared" si="0"/>
        <v>519.00959756114662</v>
      </c>
      <c r="S22" s="59">
        <f ca="1">AVERAGE(OFFSET($R$3,0,0,'Données projet'!$E$9+1,1))-AVERAGE(OFFSET($H$3,0,0,'Données projet'!$E$9+1,1))</f>
        <v>330.15282863041176</v>
      </c>
      <c r="T22" s="59">
        <f t="shared" si="34"/>
        <v>443.4702735944341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13.039538943257076</v>
      </c>
      <c r="AB22" s="21">
        <f>EXP(-LN(2)/2)*AB21+(1-EXP(-LN(2)/2))/(LN(2)/2)*V22*Y22*VLOOKUP('Données projet'!$B$9,Paramètres!$A$1:$I$89,3,0)*0.475*44/12</f>
        <v>9.8458911478795645</v>
      </c>
      <c r="AC22" s="22">
        <f t="shared" si="3"/>
        <v>22.885430091136641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24.666666666666668</v>
      </c>
      <c r="N23" s="13">
        <f>IF('Données projet'!$A$36&gt;35,N22+M23-V22,IF(A23&lt;'Données projet'!$A$36,$K$205^A23,IF(A23='Données projet'!$A$36,'Données projet'!$B$36,N22+M23-V22)))</f>
        <v>207.33333333333331</v>
      </c>
      <c r="O23" s="13">
        <f>N23*VLOOKUP('Données projet'!$B$9,Paramètres!$A$1:$I$89,3,0)*VLOOKUP('Données projet'!$B$9,Paramètres!$A$1:$I$89,5,0)</f>
        <v>115.89933333333332</v>
      </c>
      <c r="P23" s="13">
        <f t="shared" si="33"/>
        <v>30.716659362265833</v>
      </c>
      <c r="Q23" s="20">
        <f t="shared" si="2"/>
        <v>255.35618727816851</v>
      </c>
      <c r="R23" s="59">
        <f t="shared" si="0"/>
        <v>548.68952061150185</v>
      </c>
      <c r="S23" s="59">
        <f ca="1">AVERAGE(OFFSET($R$3,0,0,'Données projet'!$E$9+1,1))-AVERAGE(OFFSET($H$3,0,0,'Données projet'!$E$9+1,1))</f>
        <v>330.15282863041176</v>
      </c>
      <c r="T23" s="59">
        <f t="shared" si="34"/>
        <v>443.4702735944341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12.682972065134161</v>
      </c>
      <c r="AB23" s="21">
        <f>EXP(-LN(2)/2)*AB22+(1-EXP(-LN(2)/2))/(LN(2)/2)*V23*Y23*VLOOKUP('Données projet'!$B$9,Paramètres!$A$1:$I$89,3,0)*0.475*44/12</f>
        <v>6.9620963974902406</v>
      </c>
      <c r="AC23" s="22">
        <f t="shared" si="3"/>
        <v>19.645068462624401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24.666666666666668</v>
      </c>
      <c r="N24" s="13">
        <f>IF('Données projet'!$A$36&gt;35,N23+M24-V23,IF(A24&lt;'Données projet'!$A$36,$K$205^A24,IF(A24='Données projet'!$A$36,'Données projet'!$B$36,N23+M24-V23)))</f>
        <v>231.99999999999997</v>
      </c>
      <c r="O24" s="13">
        <f>N24*VLOOKUP('Données projet'!$B$9,Paramètres!$A$1:$I$89,3,0)*VLOOKUP('Données projet'!$B$9,Paramètres!$A$1:$I$89,5,0)</f>
        <v>129.68799999999999</v>
      </c>
      <c r="P24" s="13">
        <f t="shared" si="33"/>
        <v>33.924255213794552</v>
      </c>
      <c r="Q24" s="20">
        <f t="shared" si="2"/>
        <v>284.95801116402544</v>
      </c>
      <c r="R24" s="59">
        <f t="shared" si="0"/>
        <v>578.29134449735875</v>
      </c>
      <c r="S24" s="59">
        <f ca="1">AVERAGE(OFFSET($R$3,0,0,'Données projet'!$E$9+1,1))-AVERAGE(OFFSET($H$3,0,0,'Données projet'!$E$9+1,1))</f>
        <v>330.15282863041176</v>
      </c>
      <c r="T24" s="59">
        <f t="shared" si="34"/>
        <v>443.4702735944341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12.336155527044554</v>
      </c>
      <c r="AB24" s="21">
        <f>EXP(-LN(2)/2)*AB23+(1-EXP(-LN(2)/2))/(LN(2)/2)*V24*Y24*VLOOKUP('Données projet'!$B$9,Paramètres!$A$1:$I$89,3,0)*0.475*44/12</f>
        <v>4.9229455739397823</v>
      </c>
      <c r="AC24" s="22">
        <f t="shared" si="3"/>
        <v>17.259101100984335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24.666666666666668</v>
      </c>
      <c r="N25" s="13">
        <f>IF('Données projet'!$A$36&gt;35,N24+M25-V24,IF(A25&lt;'Données projet'!$A$36,$K$205^A25,IF(A25='Données projet'!$A$36,'Données projet'!$B$36,N24+M25-V24)))</f>
        <v>256.66666666666663</v>
      </c>
      <c r="O25" s="13">
        <f>N25*VLOOKUP('Données projet'!$B$9,Paramètres!$A$1:$I$89,3,0)*VLOOKUP('Données projet'!$B$9,Paramètres!$A$1:$I$89,5,0)</f>
        <v>143.47666666666663</v>
      </c>
      <c r="P25" s="13">
        <f t="shared" si="33"/>
        <v>37.092320390416546</v>
      </c>
      <c r="Q25" s="20">
        <f t="shared" si="2"/>
        <v>314.49098579108653</v>
      </c>
      <c r="R25" s="59">
        <f t="shared" si="0"/>
        <v>607.82431912441984</v>
      </c>
      <c r="S25" s="59">
        <f ca="1">AVERAGE(OFFSET($R$3,0,0,'Données projet'!$E$9+1,1))-AVERAGE(OFFSET($H$3,0,0,'Données projet'!$E$9+1,1))</f>
        <v>330.15282863041176</v>
      </c>
      <c r="T25" s="59">
        <f t="shared" si="34"/>
        <v>443.4702735944341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11.998822705427296</v>
      </c>
      <c r="AB25" s="21">
        <f>EXP(-LN(2)/2)*AB24+(1-EXP(-LN(2)/2))/(LN(2)/2)*V25*Y25*VLOOKUP('Données projet'!$B$9,Paramètres!$A$1:$I$89,3,0)*0.475*44/12</f>
        <v>3.4810481987451203</v>
      </c>
      <c r="AC25" s="22">
        <f t="shared" si="3"/>
        <v>15.479870904172415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24.666666666666668</v>
      </c>
      <c r="N26" s="13">
        <f>IF('Données projet'!$A$36&gt;35,N25+M26-V25,IF(A26&lt;'Données projet'!$A$36,$K$205^A26,IF(A26='Données projet'!$A$36,'Données projet'!$B$36,N25+M26-V25)))</f>
        <v>281.33333333333331</v>
      </c>
      <c r="O26" s="13">
        <f>N26*VLOOKUP('Données projet'!$B$9,Paramètres!$A$1:$I$89,3,0)*VLOOKUP('Données projet'!$B$9,Paramètres!$A$1:$I$89,5,0)</f>
        <v>157.26533333333333</v>
      </c>
      <c r="P26" s="13">
        <f t="shared" si="33"/>
        <v>40.225086204303899</v>
      </c>
      <c r="Q26" s="20">
        <f t="shared" si="2"/>
        <v>343.96248069471812</v>
      </c>
      <c r="R26" s="59">
        <f t="shared" si="0"/>
        <v>637.29581402805138</v>
      </c>
      <c r="S26" s="59">
        <f ca="1">AVERAGE(OFFSET($R$3,0,0,'Données projet'!$E$9+1,1))-AVERAGE(OFFSET($H$3,0,0,'Données projet'!$E$9+1,1))</f>
        <v>330.15282863041176</v>
      </c>
      <c r="T26" s="59">
        <f t="shared" si="34"/>
        <v>443.4702735944341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11.670714267556724</v>
      </c>
      <c r="AB26" s="21">
        <f>EXP(-LN(2)/2)*AB25+(1-EXP(-LN(2)/2))/(LN(2)/2)*V26*Y26*VLOOKUP('Données projet'!$B$9,Paramètres!$A$1:$I$89,3,0)*0.475*44/12</f>
        <v>2.4614727869698911</v>
      </c>
      <c r="AC26" s="22">
        <f t="shared" si="3"/>
        <v>14.132187054526614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306</v>
      </c>
      <c r="L27" s="12">
        <f>VLOOKUP(A27,'Données projet'!$A$35:$I$55,9,0)</f>
        <v>24.666666666666668</v>
      </c>
      <c r="M27" s="12">
        <f t="array" ref="M27">INDEX(L:L,MIN(IF(ISNUMBER(L27:L223),ROW(L27:L223),"")))</f>
        <v>24.666666666666668</v>
      </c>
      <c r="N27" s="13">
        <f>IF('Données projet'!$A$36&gt;35,N26+M27-V26,IF(A27&lt;'Données projet'!$A$36,$K$205^A27,IF(A27='Données projet'!$A$36,'Données projet'!$B$36,N26+M27-V26)))</f>
        <v>306</v>
      </c>
      <c r="O27" s="13">
        <f>N27*VLOOKUP('Données projet'!$B$9,Paramètres!$A$1:$I$89,3,0)*VLOOKUP('Données projet'!$B$9,Paramètres!$A$1:$I$89,5,0)</f>
        <v>171.05399999999997</v>
      </c>
      <c r="P27" s="13">
        <f t="shared" si="33"/>
        <v>43.32599953897904</v>
      </c>
      <c r="Q27" s="20">
        <f t="shared" si="2"/>
        <v>373.37849919705508</v>
      </c>
      <c r="R27" s="59">
        <f t="shared" si="0"/>
        <v>666.71183253038839</v>
      </c>
      <c r="S27" s="59">
        <f ca="1">AVERAGE(OFFSET($R$3,0,0,'Données projet'!$E$9+1,1))-AVERAGE(OFFSET($H$3,0,0,'Données projet'!$E$9+1,1))</f>
        <v>330.15282863041176</v>
      </c>
      <c r="T27" s="59">
        <f t="shared" si="34"/>
        <v>443.4702735944341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66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0.33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27.438934309113598</v>
      </c>
      <c r="AB27" s="21">
        <f>EXP(-LN(2)/2)*AB26+(1-EXP(-LN(2)/2))/(LN(2)/2)*V27*Y27*VLOOKUP('Données projet'!$B$9,Paramètres!$A$1:$I$89,3,0)*0.475*44/12</f>
        <v>18.449555453349134</v>
      </c>
      <c r="AC27" s="22">
        <f t="shared" si="3"/>
        <v>45.888489762462733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26.166666666666668</v>
      </c>
      <c r="N28" s="13">
        <f>IF('Données projet'!$A$36&gt;35,N27+M28-V27,IF(A28&lt;'Données projet'!$A$36,$K$205^A28,IF(A28='Données projet'!$A$36,'Données projet'!$B$36,N27+M28-V27)))</f>
        <v>266.16666666666669</v>
      </c>
      <c r="O28" s="13">
        <f>N28*VLOOKUP('Données projet'!$B$9,Paramètres!$A$1:$I$89,3,0)*VLOOKUP('Données projet'!$B$9,Paramètres!$A$1:$I$89,5,0)</f>
        <v>148.78716666666668</v>
      </c>
      <c r="P28" s="13">
        <f t="shared" si="33"/>
        <v>38.302834800411077</v>
      </c>
      <c r="Q28" s="20">
        <f t="shared" si="2"/>
        <v>325.84841922182704</v>
      </c>
      <c r="R28" s="59">
        <f t="shared" si="0"/>
        <v>619.1817525551603</v>
      </c>
      <c r="S28" s="59">
        <f ca="1">AVERAGE(OFFSET($R$3,0,0,'Données projet'!$E$9+1,1))-AVERAGE(OFFSET($H$3,0,0,'Données projet'!$E$9+1,1))</f>
        <v>330.15282863041176</v>
      </c>
      <c r="T28" s="59">
        <f t="shared" si="34"/>
        <v>443.4702735944341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26.688615207480044</v>
      </c>
      <c r="AB28" s="21">
        <f>EXP(-LN(2)/2)*AB27+(1-EXP(-LN(2)/2))/(LN(2)/2)*V28*Y28*VLOOKUP('Données projet'!$B$9,Paramètres!$A$1:$I$89,3,0)*0.475*44/12</f>
        <v>13.045805770940422</v>
      </c>
      <c r="AC28" s="22">
        <f t="shared" si="3"/>
        <v>39.734420978420466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26.166666666666668</v>
      </c>
      <c r="N29" s="13">
        <f>IF('Données projet'!$A$36&gt;35,N28+M29-V28,IF(A29&lt;'Données projet'!$A$36,$K$205^A29,IF(A29='Données projet'!$A$36,'Données projet'!$B$36,N28+M29-V28)))</f>
        <v>292.33333333333337</v>
      </c>
      <c r="O29" s="13">
        <f>N29*VLOOKUP('Données projet'!$B$9,Paramètres!$A$1:$I$89,3,0)*VLOOKUP('Données projet'!$B$9,Paramètres!$A$1:$I$89,5,0)</f>
        <v>163.41433333333336</v>
      </c>
      <c r="P29" s="13">
        <f t="shared" si="33"/>
        <v>41.611678879583302</v>
      </c>
      <c r="Q29" s="20">
        <f t="shared" si="2"/>
        <v>357.08697127082979</v>
      </c>
      <c r="R29" s="59">
        <f t="shared" si="0"/>
        <v>650.42030460416311</v>
      </c>
      <c r="S29" s="59">
        <f ca="1">AVERAGE(OFFSET($R$3,0,0,'Données projet'!$E$9+1,1))-AVERAGE(OFFSET($H$3,0,0,'Données projet'!$E$9+1,1))</f>
        <v>330.15282863041176</v>
      </c>
      <c r="T29" s="59">
        <f t="shared" si="34"/>
        <v>443.4702735944341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25.958813621138226</v>
      </c>
      <c r="AB29" s="21">
        <f>EXP(-LN(2)/2)*AB28+(1-EXP(-LN(2)/2))/(LN(2)/2)*V29*Y29*VLOOKUP('Données projet'!$B$9,Paramètres!$A$1:$I$89,3,0)*0.475*44/12</f>
        <v>9.224777726674569</v>
      </c>
      <c r="AC29" s="22">
        <f t="shared" si="3"/>
        <v>35.183591347812794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26.166666666666668</v>
      </c>
      <c r="N30" s="13">
        <f>IF('Données projet'!$A$36&gt;35,N29+M30-V29,IF(A30&lt;'Données projet'!$A$36,$K$205^A30,IF(A30='Données projet'!$A$36,'Données projet'!$B$36,N29+M30-V29)))</f>
        <v>318.50000000000006</v>
      </c>
      <c r="O30" s="13">
        <f>N30*VLOOKUP('Données projet'!$B$9,Paramètres!$A$1:$I$89,3,0)*VLOOKUP('Données projet'!$B$9,Paramètres!$A$1:$I$89,5,0)</f>
        <v>178.04150000000001</v>
      </c>
      <c r="P30" s="13">
        <f t="shared" si="33"/>
        <v>44.886178950681121</v>
      </c>
      <c r="Q30" s="20">
        <f t="shared" si="2"/>
        <v>388.26570750576957</v>
      </c>
      <c r="R30" s="59">
        <f t="shared" si="0"/>
        <v>681.59904083910283</v>
      </c>
      <c r="S30" s="59">
        <f ca="1">AVERAGE(OFFSET($R$3,0,0,'Données projet'!$E$9+1,1))-AVERAGE(OFFSET($H$3,0,0,'Données projet'!$E$9+1,1))</f>
        <v>330.15282863041176</v>
      </c>
      <c r="T30" s="59">
        <f t="shared" si="34"/>
        <v>443.4702735944341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25.248968497553523</v>
      </c>
      <c r="AB30" s="21">
        <f>EXP(-LN(2)/2)*AB29+(1-EXP(-LN(2)/2))/(LN(2)/2)*V30*Y30*VLOOKUP('Données projet'!$B$9,Paramètres!$A$1:$I$89,3,0)*0.475*44/12</f>
        <v>6.522902885470212</v>
      </c>
      <c r="AC30" s="22">
        <f t="shared" si="3"/>
        <v>31.771871383023736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26.166666666666668</v>
      </c>
      <c r="N31" s="13">
        <f>IF('Données projet'!$A$36&gt;35,N30+M31-V30,IF(A31&lt;'Données projet'!$A$36,$K$205^A31,IF(A31='Données projet'!$A$36,'Données projet'!$B$36,N30+M31-V30)))</f>
        <v>344.66666666666674</v>
      </c>
      <c r="O31" s="13">
        <f>N31*VLOOKUP('Données projet'!$B$9,Paramètres!$A$1:$I$89,3,0)*VLOOKUP('Données projet'!$B$9,Paramètres!$A$1:$I$89,5,0)</f>
        <v>192.66866666666672</v>
      </c>
      <c r="P31" s="13">
        <f t="shared" si="33"/>
        <v>48.129477361453141</v>
      </c>
      <c r="Q31" s="20">
        <f t="shared" si="2"/>
        <v>419.39010084897541</v>
      </c>
      <c r="R31" s="59">
        <f t="shared" si="0"/>
        <v>712.72343418230867</v>
      </c>
      <c r="S31" s="59">
        <f ca="1">AVERAGE(OFFSET($R$3,0,0,'Données projet'!$E$9+1,1))-AVERAGE(OFFSET($H$3,0,0,'Données projet'!$E$9+1,1))</f>
        <v>330.15282863041176</v>
      </c>
      <c r="T31" s="59">
        <f t="shared" si="34"/>
        <v>443.4702735944341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24.558534126202375</v>
      </c>
      <c r="AB31" s="21">
        <f>EXP(-LN(2)/2)*AB30+(1-EXP(-LN(2)/2))/(LN(2)/2)*V31*Y31*VLOOKUP('Données projet'!$B$9,Paramètres!$A$1:$I$89,3,0)*0.475*44/12</f>
        <v>4.6123888633372854</v>
      </c>
      <c r="AC31" s="22">
        <f t="shared" si="3"/>
        <v>29.170922989539662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26.166666666666668</v>
      </c>
      <c r="N32" s="13">
        <f>IF('Données projet'!$A$36&gt;35,N31+M32-V31,IF(A32&lt;'Données projet'!$A$36,$K$205^A32,IF(A32='Données projet'!$A$36,'Données projet'!$B$36,N31+M32-V31)))</f>
        <v>370.83333333333343</v>
      </c>
      <c r="O32" s="13">
        <f>N32*VLOOKUP('Données projet'!$B$9,Paramètres!$A$1:$I$89,3,0)*VLOOKUP('Données projet'!$B$9,Paramètres!$A$1:$I$89,5,0)</f>
        <v>207.29583333333338</v>
      </c>
      <c r="P32" s="13">
        <f t="shared" si="33"/>
        <v>51.344212243322843</v>
      </c>
      <c r="Q32" s="20">
        <f t="shared" si="2"/>
        <v>450.46474604600962</v>
      </c>
      <c r="R32" s="59">
        <f t="shared" si="0"/>
        <v>743.79807937934288</v>
      </c>
      <c r="S32" s="59">
        <f ca="1">AVERAGE(OFFSET($R$3,0,0,'Données projet'!$E$9+1,1))-AVERAGE(OFFSET($H$3,0,0,'Données projet'!$E$9+1,1))</f>
        <v>330.15282863041176</v>
      </c>
      <c r="T32" s="59">
        <f t="shared" si="34"/>
        <v>443.4702735944341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23.886979719044191</v>
      </c>
      <c r="AB32" s="21">
        <f>EXP(-LN(2)/2)*AB31+(1-EXP(-LN(2)/2))/(LN(2)/2)*V32*Y32*VLOOKUP('Données projet'!$B$9,Paramètres!$A$1:$I$89,3,0)*0.475*44/12</f>
        <v>3.2614514427351069</v>
      </c>
      <c r="AC32" s="22">
        <f t="shared" si="3"/>
        <v>27.1484311617793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397</v>
      </c>
      <c r="L33" s="12">
        <f>VLOOKUP(A33,'Données projet'!$A$35:$I$55,9,0)</f>
        <v>26.166666666666668</v>
      </c>
      <c r="M33" s="12">
        <f t="array" ref="M33">INDEX(L:L,MIN(IF(ISNUMBER(L33:L229),ROW(L33:L229),"")))</f>
        <v>26.166666666666668</v>
      </c>
      <c r="N33" s="13">
        <f>IF('Données projet'!$A$36&gt;35,N32+M33-V32,IF(A33&lt;'Données projet'!$A$36,$K$205^A33,IF(A33='Données projet'!$A$36,'Données projet'!$B$36,N32+M33-V32)))</f>
        <v>397.00000000000011</v>
      </c>
      <c r="O33" s="13">
        <f>N33*VLOOKUP('Données projet'!$B$9,Paramètres!$A$1:$I$89,3,0)*VLOOKUP('Données projet'!$B$9,Paramètres!$A$1:$I$89,5,0)</f>
        <v>221.92300000000006</v>
      </c>
      <c r="P33" s="13">
        <f t="shared" si="33"/>
        <v>54.532628335641206</v>
      </c>
      <c r="Q33" s="20">
        <f t="shared" si="2"/>
        <v>481.49355268457526</v>
      </c>
      <c r="R33" s="59">
        <f t="shared" si="0"/>
        <v>774.82688601790858</v>
      </c>
      <c r="S33" s="59">
        <f ca="1">AVERAGE(OFFSET($R$3,0,0,'Données projet'!$E$9+1,1))-AVERAGE(OFFSET($H$3,0,0,'Données projet'!$E$9+1,1))</f>
        <v>330.15282863041176</v>
      </c>
      <c r="T33" s="59">
        <f t="shared" si="34"/>
        <v>443.4702735944341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75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6.1177836273733002</v>
      </c>
      <c r="AA33" s="21">
        <f>EXP(-LN(2)/25)*AA32+(1-EXP(-LN(2)/25))/(LN(2)/25)*Calculateur!V33*Calculateur!X33*VLOOKUP('Données projet'!$B$9,Paramètres!$A$1:$I$89,3,0)*0.475*44/12</f>
        <v>41.514875748987308</v>
      </c>
      <c r="AB33" s="21">
        <f>EXP(-LN(2)/2)*AB32+(1-EXP(-LN(2)/2))/(LN(2)/2)*V33*Y33*VLOOKUP('Données projet'!$B$9,Paramètres!$A$1:$I$89,3,0)*0.475*44/12</f>
        <v>11.799962246428061</v>
      </c>
      <c r="AC33" s="22">
        <f t="shared" si="3"/>
        <v>59.432621622788666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</v>
      </c>
      <c r="N34" s="13">
        <f>IF('Données projet'!$A$36&gt;35,N33+M34-V33,IF(A34&lt;'Données projet'!$A$36,$K$205^A34,IF(A34='Données projet'!$A$36,'Données projet'!$B$36,N33+M34-V33)))</f>
        <v>349.00000000000011</v>
      </c>
      <c r="O34" s="13">
        <f>N34*VLOOKUP('Données projet'!$B$9,Paramètres!$A$1:$I$89,3,0)*VLOOKUP('Données projet'!$B$9,Paramètres!$A$1:$I$89,5,0)</f>
        <v>195.09100000000007</v>
      </c>
      <c r="P34" s="13">
        <f t="shared" si="33"/>
        <v>48.663762686246173</v>
      </c>
      <c r="Q34" s="20">
        <f t="shared" si="2"/>
        <v>424.53954501187883</v>
      </c>
      <c r="R34" s="59">
        <f t="shared" si="0"/>
        <v>717.87287834521214</v>
      </c>
      <c r="S34" s="59">
        <f ca="1">AVERAGE(OFFSET($R$3,0,0,'Données projet'!$E$9+1,1))-AVERAGE(OFFSET($H$3,0,0,'Données projet'!$E$9+1,1))</f>
        <v>330.15282863041176</v>
      </c>
      <c r="T34" s="59">
        <f t="shared" si="34"/>
        <v>443.4702735944341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5.9978176219200696</v>
      </c>
      <c r="AA34" s="21">
        <f>EXP(-LN(2)/25)*AA33+(1-EXP(-LN(2)/25))/(LN(2)/25)*Calculateur!V34*Calculateur!X34*VLOOKUP('Données projet'!$B$9,Paramètres!$A$1:$I$89,3,0)*0.475*44/12</f>
        <v>40.379649288458815</v>
      </c>
      <c r="AB34" s="21">
        <f>EXP(-LN(2)/2)*AB33+(1-EXP(-LN(2)/2))/(LN(2)/2)*V34*Y34*VLOOKUP('Données projet'!$B$9,Paramètres!$A$1:$I$89,3,0)*0.475*44/12</f>
        <v>8.3438333221945289</v>
      </c>
      <c r="AC34" s="22">
        <f t="shared" si="3"/>
        <v>54.721300232573412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</v>
      </c>
      <c r="N35" s="13">
        <f>IF('Données projet'!$A$36&gt;35,N34+M35-V34,IF(A35&lt;'Données projet'!$A$36,$K$205^A35,IF(A35='Données projet'!$A$36,'Données projet'!$B$36,N34+M35-V34)))</f>
        <v>376.00000000000011</v>
      </c>
      <c r="O35" s="13">
        <f>N35*VLOOKUP('Données projet'!$B$9,Paramètres!$A$1:$I$89,3,0)*VLOOKUP('Données projet'!$B$9,Paramètres!$A$1:$I$89,5,0)</f>
        <v>210.18400000000005</v>
      </c>
      <c r="P35" s="13">
        <f t="shared" si="33"/>
        <v>51.975792277931433</v>
      </c>
      <c r="Q35" s="20">
        <f t="shared" ref="Q35:Q66" si="53">(O35+P35)*0.475*44/12</f>
        <v>456.59497155073063</v>
      </c>
      <c r="R35" s="59">
        <f t="shared" si="0"/>
        <v>749.92830488406389</v>
      </c>
      <c r="S35" s="59">
        <f ca="1">AVERAGE(OFFSET($R$3,0,0,'Données projet'!$E$9+1,1))-AVERAGE(OFFSET($H$3,0,0,'Données projet'!$E$9+1,1))</f>
        <v>330.15282863041176</v>
      </c>
      <c r="T35" s="59">
        <f t="shared" si="34"/>
        <v>443.4702735944341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5.8802040766617383</v>
      </c>
      <c r="AA35" s="21">
        <f>EXP(-LN(2)/25)*AA34+(1-EXP(-LN(2)/25))/(LN(2)/25)*Calculateur!V35*Calculateur!X35*VLOOKUP('Données projet'!$B$9,Paramètres!$A$1:$I$89,3,0)*0.475*44/12</f>
        <v>39.275465655192441</v>
      </c>
      <c r="AB35" s="21">
        <f>EXP(-LN(2)/2)*AB34+(1-EXP(-LN(2)/2))/(LN(2)/2)*V35*Y35*VLOOKUP('Données projet'!$B$9,Paramètres!$A$1:$I$89,3,0)*0.475*44/12</f>
        <v>5.8999811232140313</v>
      </c>
      <c r="AC35" s="22">
        <f t="shared" si="3"/>
        <v>51.055650855068215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</v>
      </c>
      <c r="N36" s="13">
        <f>IF('Données projet'!$A$36&gt;35,N35+M36-V35,IF(A36&lt;'Données projet'!$A$36,$K$205^A36,IF(A36='Données projet'!$A$36,'Données projet'!$B$36,N35+M36-V35)))</f>
        <v>403.00000000000011</v>
      </c>
      <c r="O36" s="13">
        <f>N36*VLOOKUP('Données projet'!$B$9,Paramètres!$A$1:$I$89,3,0)*VLOOKUP('Données projet'!$B$9,Paramètres!$A$1:$I$89,5,0)</f>
        <v>225.27700000000007</v>
      </c>
      <c r="P36" s="13">
        <f t="shared" si="33"/>
        <v>55.260228589654588</v>
      </c>
      <c r="Q36" s="20">
        <f t="shared" si="53"/>
        <v>488.60233979364853</v>
      </c>
      <c r="R36" s="59">
        <f t="shared" si="0"/>
        <v>781.93567312698178</v>
      </c>
      <c r="S36" s="59">
        <f ca="1">AVERAGE(OFFSET($R$3,0,0,'Données projet'!$E$9+1,1))-AVERAGE(OFFSET($H$3,0,0,'Données projet'!$E$9+1,1))</f>
        <v>330.15282863041176</v>
      </c>
      <c r="T36" s="59">
        <f t="shared" si="34"/>
        <v>443.4702735944341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5.7648968612887437</v>
      </c>
      <c r="AA36" s="21">
        <f>EXP(-LN(2)/25)*AA35+(1-EXP(-LN(2)/25))/(LN(2)/25)*Calculateur!V36*Calculateur!X36*VLOOKUP('Données projet'!$B$9,Paramètres!$A$1:$I$89,3,0)*0.475*44/12</f>
        <v>38.201475981444233</v>
      </c>
      <c r="AB36" s="21">
        <f>EXP(-LN(2)/2)*AB35+(1-EXP(-LN(2)/2))/(LN(2)/2)*V36*Y36*VLOOKUP('Données projet'!$B$9,Paramètres!$A$1:$I$89,3,0)*0.475*44/12</f>
        <v>4.1719166610972653</v>
      </c>
      <c r="AC36" s="22">
        <f t="shared" si="3"/>
        <v>48.138289503830244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</v>
      </c>
      <c r="N37" s="13">
        <f>IF('Données projet'!$A$36&gt;35,N36+M37-V36,IF(A37&lt;'Données projet'!$A$36,$K$205^A37,IF(A37='Données projet'!$A$36,'Données projet'!$B$36,N36+M37-V36)))</f>
        <v>430.00000000000011</v>
      </c>
      <c r="O37" s="13">
        <f>N37*VLOOKUP('Données projet'!$B$9,Paramètres!$A$1:$I$89,3,0)*VLOOKUP('Données projet'!$B$9,Paramètres!$A$1:$I$89,5,0)</f>
        <v>240.37000000000006</v>
      </c>
      <c r="P37" s="13">
        <f t="shared" si="33"/>
        <v>58.51913064595886</v>
      </c>
      <c r="Q37" s="20">
        <f t="shared" si="53"/>
        <v>520.565235875045</v>
      </c>
      <c r="R37" s="59">
        <f t="shared" si="0"/>
        <v>813.89856920837838</v>
      </c>
      <c r="S37" s="59">
        <f ca="1">AVERAGE(OFFSET($R$3,0,0,'Données projet'!$E$9+1,1))-AVERAGE(OFFSET($H$3,0,0,'Données projet'!$E$9+1,1))</f>
        <v>330.15282863041176</v>
      </c>
      <c r="T37" s="59">
        <f t="shared" si="34"/>
        <v>443.4702735944341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5.6518507500787569</v>
      </c>
      <c r="AA37" s="21">
        <f>EXP(-LN(2)/25)*AA36+(1-EXP(-LN(2)/25))/(LN(2)/25)*Calculateur!V37*Calculateur!X37*VLOOKUP('Données projet'!$B$9,Paramètres!$A$1:$I$89,3,0)*0.475*44/12</f>
        <v>37.156854611803332</v>
      </c>
      <c r="AB37" s="21">
        <f>EXP(-LN(2)/2)*AB36+(1-EXP(-LN(2)/2))/(LN(2)/2)*V37*Y37*VLOOKUP('Données projet'!$B$9,Paramètres!$A$1:$I$89,3,0)*0.475*44/12</f>
        <v>2.9499905616070161</v>
      </c>
      <c r="AC37" s="22">
        <f t="shared" si="3"/>
        <v>45.758695923489107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27</v>
      </c>
      <c r="N38" s="13">
        <f>IF('Données projet'!$A$36&gt;35,N37+M38-V37,IF(A38&lt;'Données projet'!$A$36,$K$205^A38,IF(A38='Données projet'!$A$36,'Données projet'!$B$36,N37+M38-V37)))</f>
        <v>457.00000000000011</v>
      </c>
      <c r="O38" s="13">
        <f>N38*VLOOKUP('Données projet'!$B$9,Paramètres!$A$1:$I$89,3,0)*VLOOKUP('Données projet'!$B$9,Paramètres!$A$1:$I$89,5,0)</f>
        <v>255.46300000000008</v>
      </c>
      <c r="P38" s="13">
        <f t="shared" si="33"/>
        <v>61.754284280703082</v>
      </c>
      <c r="Q38" s="20">
        <f t="shared" si="53"/>
        <v>552.48677012222458</v>
      </c>
      <c r="R38" s="59">
        <f t="shared" si="0"/>
        <v>845.82010345555796</v>
      </c>
      <c r="S38" s="59">
        <f ca="1">AVERAGE(OFFSET($R$3,0,0,'Données projet'!$E$9+1,1))-AVERAGE(OFFSET($H$3,0,0,'Données projet'!$E$9+1,1))</f>
        <v>330.15282863041176</v>
      </c>
      <c r="T38" s="59">
        <f t="shared" si="34"/>
        <v>443.4702735944341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5.5410214041582782</v>
      </c>
      <c r="AA38" s="21">
        <f>EXP(-LN(2)/25)*AA37+(1-EXP(-LN(2)/25))/(LN(2)/25)*Calculateur!V38*Calculateur!X38*VLOOKUP('Données projet'!$B$9,Paramètres!$A$1:$I$89,3,0)*0.475*44/12</f>
        <v>36.14079846844951</v>
      </c>
      <c r="AB38" s="21">
        <f>EXP(-LN(2)/2)*AB37+(1-EXP(-LN(2)/2))/(LN(2)/2)*V38*Y38*VLOOKUP('Données projet'!$B$9,Paramètres!$A$1:$I$89,3,0)*0.475*44/12</f>
        <v>2.0859583305486331</v>
      </c>
      <c r="AC38" s="22">
        <f t="shared" si="3"/>
        <v>43.767778203156425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484</v>
      </c>
      <c r="L39" s="12">
        <f>VLOOKUP(A39,'Données projet'!$A$35:$I$55,9,0)</f>
        <v>27</v>
      </c>
      <c r="M39" s="12">
        <f t="array" ref="M39">INDEX(L:L,MIN(IF(ISNUMBER(L39:L235),ROW(L39:L235),"")))</f>
        <v>27</v>
      </c>
      <c r="N39" s="13">
        <f>IF('Données projet'!$A$36&gt;35,N38+M39-V38,IF(A39&lt;'Données projet'!$A$36,$K$205^A39,IF(A39='Données projet'!$A$36,'Données projet'!$B$36,N38+M39-V38)))</f>
        <v>484.00000000000011</v>
      </c>
      <c r="O39" s="13">
        <f>N39*VLOOKUP('Données projet'!$B$9,Paramètres!$A$1:$I$89,3,0)*VLOOKUP('Données projet'!$B$9,Paramètres!$A$1:$I$89,5,0)</f>
        <v>270.55600000000004</v>
      </c>
      <c r="P39" s="13">
        <f t="shared" si="33"/>
        <v>64.967252389325225</v>
      </c>
      <c r="Q39" s="20">
        <f t="shared" si="53"/>
        <v>584.36966457807478</v>
      </c>
      <c r="R39" s="59">
        <f t="shared" si="0"/>
        <v>877.70299791140815</v>
      </c>
      <c r="S39" s="59">
        <f ca="1">AVERAGE(OFFSET($R$3,0,0,'Données projet'!$E$9+1,1))-AVERAGE(OFFSET($H$3,0,0,'Données projet'!$E$9+1,1))</f>
        <v>330.15282863041176</v>
      </c>
      <c r="T39" s="59">
        <f t="shared" si="34"/>
        <v>443.4702735944341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89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5.4323653541120747</v>
      </c>
      <c r="AA39" s="21">
        <f>EXP(-LN(2)/25)*AA38+(1-EXP(-LN(2)/25))/(LN(2)/25)*Calculateur!V39*Calculateur!X39*VLOOKUP('Données projet'!$B$9,Paramètres!$A$1:$I$89,3,0)*0.475*44/12</f>
        <v>35.152526433767768</v>
      </c>
      <c r="AB39" s="21">
        <f>EXP(-LN(2)/2)*AB38+(1-EXP(-LN(2)/2))/(LN(2)/2)*V39*Y39*VLOOKUP('Données projet'!$B$9,Paramètres!$A$1:$I$89,3,0)*0.475*44/12</f>
        <v>1.4749952808035083</v>
      </c>
      <c r="AC39" s="22">
        <f t="shared" si="3"/>
        <v>42.059887068683352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26.5</v>
      </c>
      <c r="N40" s="13">
        <f>IF('Données projet'!$A$36&gt;35,N39+M40-V39,IF(A40&lt;'Données projet'!$A$36,$K$205^A40,IF(A40='Données projet'!$A$36,'Données projet'!$B$36,N39+M40-V39)))</f>
        <v>421.50000000000011</v>
      </c>
      <c r="O40" s="13">
        <f>N40*VLOOKUP('Données projet'!$B$9,Paramètres!$A$1:$I$89,3,0)*VLOOKUP('Données projet'!$B$9,Paramètres!$A$1:$I$89,5,0)</f>
        <v>235.61850000000004</v>
      </c>
      <c r="P40" s="13">
        <f t="shared" si="33"/>
        <v>57.495820909021994</v>
      </c>
      <c r="Q40" s="20">
        <f t="shared" si="53"/>
        <v>510.50744224987994</v>
      </c>
      <c r="R40" s="59">
        <f t="shared" si="0"/>
        <v>803.84077558321326</v>
      </c>
      <c r="S40" s="59">
        <f ca="1">AVERAGE(OFFSET($R$3,0,0,'Données projet'!$E$9+1,1))-AVERAGE(OFFSET($H$3,0,0,'Données projet'!$E$9+1,1))</f>
        <v>330.15282863041176</v>
      </c>
      <c r="T40" s="59">
        <f t="shared" si="34"/>
        <v>443.4702735944341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5.3258399829336307</v>
      </c>
      <c r="AA40" s="21">
        <f>EXP(-LN(2)/25)*AA39+(1-EXP(-LN(2)/25))/(LN(2)/25)*Calculateur!V40*Calculateur!X40*VLOOKUP('Données projet'!$B$9,Paramètres!$A$1:$I$89,3,0)*0.475*44/12</f>
        <v>34.191278749845367</v>
      </c>
      <c r="AB40" s="21">
        <f>EXP(-LN(2)/2)*AB39+(1-EXP(-LN(2)/2))/(LN(2)/2)*V40*Y40*VLOOKUP('Données projet'!$B$9,Paramètres!$A$1:$I$89,3,0)*0.475*44/12</f>
        <v>1.0429791652743166</v>
      </c>
      <c r="AC40" s="22">
        <f t="shared" si="3"/>
        <v>40.560097898053314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26.5</v>
      </c>
      <c r="N41" s="13">
        <f>IF('Données projet'!$A$36&gt;35,N40+M41-V40,IF(A41&lt;'Données projet'!$A$36,$K$205^A41,IF(A41='Données projet'!$A$36,'Données projet'!$B$36,N40+M41-V40)))</f>
        <v>448.00000000000011</v>
      </c>
      <c r="O41" s="13">
        <f>N41*VLOOKUP('Données projet'!$B$9,Paramètres!$A$1:$I$89,3,0)*VLOOKUP('Données projet'!$B$9,Paramètres!$A$1:$I$89,5,0)</f>
        <v>250.43200000000007</v>
      </c>
      <c r="P41" s="13">
        <f t="shared" si="33"/>
        <v>60.67843785311895</v>
      </c>
      <c r="Q41" s="20">
        <f t="shared" si="53"/>
        <v>541.85067926084901</v>
      </c>
      <c r="R41" s="59">
        <f t="shared" si="0"/>
        <v>835.18401259418238</v>
      </c>
      <c r="S41" s="59">
        <f ca="1">AVERAGE(OFFSET($R$3,0,0,'Données projet'!$E$9+1,1))-AVERAGE(OFFSET($H$3,0,0,'Données projet'!$E$9+1,1))</f>
        <v>330.15282863041176</v>
      </c>
      <c r="T41" s="59">
        <f t="shared" si="34"/>
        <v>443.4702735944341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5.2214035093099351</v>
      </c>
      <c r="AA41" s="21">
        <f>EXP(-LN(2)/25)*AA40+(1-EXP(-LN(2)/25))/(LN(2)/25)*Calculateur!V41*Calculateur!X41*VLOOKUP('Données projet'!$B$9,Paramètres!$A$1:$I$89,3,0)*0.475*44/12</f>
        <v>33.256316434389639</v>
      </c>
      <c r="AB41" s="21">
        <f>EXP(-LN(2)/2)*AB40+(1-EXP(-LN(2)/2))/(LN(2)/2)*V41*Y41*VLOOKUP('Données projet'!$B$9,Paramètres!$A$1:$I$89,3,0)*0.475*44/12</f>
        <v>0.73749764040175414</v>
      </c>
      <c r="AC41" s="22">
        <f t="shared" si="3"/>
        <v>39.215217584101332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26.5</v>
      </c>
      <c r="N42" s="13">
        <f>IF('Données projet'!$A$36&gt;35,N41+M42-V41,IF(A42&lt;'Données projet'!$A$36,$K$205^A42,IF(A42='Données projet'!$A$36,'Données projet'!$B$36,N41+M42-V41)))</f>
        <v>474.50000000000011</v>
      </c>
      <c r="O42" s="13">
        <f>N42*VLOOKUP('Données projet'!$B$9,Paramètres!$A$1:$I$89,3,0)*VLOOKUP('Données projet'!$B$9,Paramètres!$A$1:$I$89,5,0)</f>
        <v>265.24550000000011</v>
      </c>
      <c r="P42" s="13">
        <f t="shared" si="33"/>
        <v>63.839203443836347</v>
      </c>
      <c r="Q42" s="20">
        <f t="shared" si="53"/>
        <v>573.15585849801516</v>
      </c>
      <c r="R42" s="59">
        <f t="shared" si="0"/>
        <v>866.48919183134853</v>
      </c>
      <c r="S42" s="59">
        <f ca="1">AVERAGE(OFFSET($R$3,0,0,'Données projet'!$E$9+1,1))-AVERAGE(OFFSET($H$3,0,0,'Données projet'!$E$9+1,1))</f>
        <v>330.15282863041176</v>
      </c>
      <c r="T42" s="59">
        <f t="shared" si="34"/>
        <v>443.4702735944341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5.1190149712340407</v>
      </c>
      <c r="AA42" s="21">
        <f>EXP(-LN(2)/25)*AA41+(1-EXP(-LN(2)/25))/(LN(2)/25)*Calculateur!V42*Calculateur!X42*VLOOKUP('Données projet'!$B$9,Paramètres!$A$1:$I$89,3,0)*0.475*44/12</f>
        <v>32.346920712617582</v>
      </c>
      <c r="AB42" s="21">
        <f>EXP(-LN(2)/2)*AB41+(1-EXP(-LN(2)/2))/(LN(2)/2)*V42*Y42*VLOOKUP('Données projet'!$B$9,Paramètres!$A$1:$I$89,3,0)*0.475*44/12</f>
        <v>0.52148958263715828</v>
      </c>
      <c r="AC42" s="22">
        <f t="shared" si="3"/>
        <v>37.987425266488785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26.5</v>
      </c>
      <c r="N43" s="13">
        <f>IF('Données projet'!$A$36&gt;35,N42+M43-V42,IF(A43&lt;'Données projet'!$A$36,$K$205^A43,IF(A43='Données projet'!$A$36,'Données projet'!$B$36,N42+M43-V42)))</f>
        <v>501.00000000000011</v>
      </c>
      <c r="O43" s="13">
        <f>N43*VLOOKUP('Données projet'!$B$9,Paramètres!$A$1:$I$89,3,0)*VLOOKUP('Données projet'!$B$9,Paramètres!$A$1:$I$89,5,0)</f>
        <v>280.05900000000008</v>
      </c>
      <c r="P43" s="13">
        <f t="shared" si="33"/>
        <v>66.979477124262175</v>
      </c>
      <c r="Q43" s="20">
        <f t="shared" si="53"/>
        <v>604.42534765809012</v>
      </c>
      <c r="R43" s="59">
        <f t="shared" si="0"/>
        <v>897.75868099142349</v>
      </c>
      <c r="S43" s="59">
        <f ca="1">AVERAGE(OFFSET($R$3,0,0,'Données projet'!$E$9+1,1))-AVERAGE(OFFSET($H$3,0,0,'Données projet'!$E$9+1,1))</f>
        <v>330.15282863041176</v>
      </c>
      <c r="T43" s="59">
        <f t="shared" si="34"/>
        <v>443.4702735944341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5.0186342099389734</v>
      </c>
      <c r="AA43" s="21">
        <f>EXP(-LN(2)/25)*AA42+(1-EXP(-LN(2)/25))/(LN(2)/25)*Calculateur!V43*Calculateur!X43*VLOOKUP('Données projet'!$B$9,Paramètres!$A$1:$I$89,3,0)*0.475*44/12</f>
        <v>31.462392464680423</v>
      </c>
      <c r="AB43" s="21">
        <f>EXP(-LN(2)/2)*AB42+(1-EXP(-LN(2)/2))/(LN(2)/2)*V43*Y43*VLOOKUP('Données projet'!$B$9,Paramètres!$A$1:$I$89,3,0)*0.475*44/12</f>
        <v>0.36874882020087707</v>
      </c>
      <c r="AC43" s="22">
        <f t="shared" si="3"/>
        <v>36.849775494820278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26.5</v>
      </c>
      <c r="N44" s="13">
        <f>IF('Données projet'!$A$36&gt;35,N43+M44-V43,IF(A44&lt;'Données projet'!$A$36,$K$205^A44,IF(A44='Données projet'!$A$36,'Données projet'!$B$36,N43+M44-V43)))</f>
        <v>527.50000000000011</v>
      </c>
      <c r="O44" s="13">
        <f>N44*VLOOKUP('Données projet'!$B$9,Paramètres!$A$1:$I$89,3,0)*VLOOKUP('Données projet'!$B$9,Paramètres!$A$1:$I$89,5,0)</f>
        <v>294.87250000000006</v>
      </c>
      <c r="P44" s="13">
        <f t="shared" si="33"/>
        <v>70.100466401676869</v>
      </c>
      <c r="Q44" s="20">
        <f t="shared" si="53"/>
        <v>635.66124981625387</v>
      </c>
      <c r="R44" s="59">
        <f t="shared" si="0"/>
        <v>928.99458314958724</v>
      </c>
      <c r="S44" s="59">
        <f ca="1">AVERAGE(OFFSET($R$3,0,0,'Données projet'!$E$9+1,1))-AVERAGE(OFFSET($H$3,0,0,'Données projet'!$E$9+1,1))</f>
        <v>330.15282863041176</v>
      </c>
      <c r="T44" s="59">
        <f t="shared" si="34"/>
        <v>443.4702735944341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4.9202218541466829</v>
      </c>
      <c r="AA44" s="21">
        <f>EXP(-LN(2)/25)*AA43+(1-EXP(-LN(2)/25))/(LN(2)/25)*Calculateur!V44*Calculateur!X44*VLOOKUP('Données projet'!$B$9,Paramètres!$A$1:$I$89,3,0)*0.475*44/12</f>
        <v>30.602051688198426</v>
      </c>
      <c r="AB44" s="21">
        <f>EXP(-LN(2)/2)*AB43+(1-EXP(-LN(2)/2))/(LN(2)/2)*V44*Y44*VLOOKUP('Données projet'!$B$9,Paramètres!$A$1:$I$89,3,0)*0.475*44/12</f>
        <v>0.26074479131857914</v>
      </c>
      <c r="AC44" s="22">
        <f t="shared" si="3"/>
        <v>35.783018333663691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554</v>
      </c>
      <c r="L45" s="12">
        <f>VLOOKUP(A45,'Données projet'!$A$35:$I$55,9,0)</f>
        <v>26.5</v>
      </c>
      <c r="M45" s="12">
        <f t="array" ref="M45">INDEX(L:L,MIN(IF(ISNUMBER(L45:L241),ROW(L45:L241),"")))</f>
        <v>26.5</v>
      </c>
      <c r="N45" s="13">
        <f>IF('Données projet'!$A$36&gt;35,N44+M45-V44,IF(A45&lt;'Données projet'!$A$36,$K$205^A45,IF(A45='Données projet'!$A$36,'Données projet'!$B$36,N44+M45-V44)))</f>
        <v>554.00000000000011</v>
      </c>
      <c r="O45" s="13">
        <f>N45*VLOOKUP('Données projet'!$B$9,Paramètres!$A$1:$I$89,3,0)*VLOOKUP('Données projet'!$B$9,Paramètres!$A$1:$I$89,5,0)</f>
        <v>309.68600000000009</v>
      </c>
      <c r="P45" s="13">
        <f t="shared" si="33"/>
        <v>73.203250607027869</v>
      </c>
      <c r="Q45" s="20">
        <f t="shared" si="53"/>
        <v>666.86544480724035</v>
      </c>
      <c r="R45" s="59">
        <f t="shared" si="0"/>
        <v>960.19877814057372</v>
      </c>
      <c r="S45" s="59">
        <f ca="1">AVERAGE(OFFSET($R$3,0,0,'Données projet'!$E$9+1,1))-AVERAGE(OFFSET($H$3,0,0,'Données projet'!$E$9+1,1))</f>
        <v>330.15282863041176</v>
      </c>
      <c r="T45" s="59">
        <f t="shared" si="34"/>
        <v>443.4702735944341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4.8237393046258692</v>
      </c>
      <c r="AA45" s="21">
        <f>EXP(-LN(2)/25)*AA44+(1-EXP(-LN(2)/25))/(LN(2)/25)*Calculateur!V45*Calculateur!X45*VLOOKUP('Données projet'!$B$9,Paramètres!$A$1:$I$89,3,0)*0.475*44/12</f>
        <v>29.765236975492684</v>
      </c>
      <c r="AB45" s="21">
        <f>EXP(-LN(2)/2)*AB44+(1-EXP(-LN(2)/2))/(LN(2)/2)*V45*Y45*VLOOKUP('Données projet'!$B$9,Paramètres!$A$1:$I$89,3,0)*0.475*44/12</f>
        <v>0.18437441010043853</v>
      </c>
      <c r="AC45" s="22">
        <f t="shared" si="3"/>
        <v>34.77335069021899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25.166666666666668</v>
      </c>
      <c r="N46" s="13">
        <f>IF('Données projet'!$A$36&gt;35,N45+M46-V45,IF(A46&lt;'Données projet'!$A$36,$K$205^A46,IF(A46='Données projet'!$A$36,'Données projet'!$B$36,N45+M46-V45)))</f>
        <v>485.16666666666674</v>
      </c>
      <c r="O46" s="13">
        <f>N46*VLOOKUP('Données projet'!$B$9,Paramètres!$A$1:$I$89,3,0)*VLOOKUP('Données projet'!$B$9,Paramètres!$A$1:$I$89,5,0)</f>
        <v>271.20816666666673</v>
      </c>
      <c r="P46" s="13">
        <f t="shared" si="33"/>
        <v>65.105606083121856</v>
      </c>
      <c r="Q46" s="20">
        <f t="shared" si="53"/>
        <v>585.74648753921508</v>
      </c>
      <c r="R46" s="59">
        <f t="shared" si="0"/>
        <v>879.07982087254845</v>
      </c>
      <c r="S46" s="59">
        <f ca="1">AVERAGE(OFFSET($R$3,0,0,'Données projet'!$E$9+1,1))-AVERAGE(OFFSET($H$3,0,0,'Données projet'!$E$9+1,1))</f>
        <v>330.15282863041176</v>
      </c>
      <c r="T46" s="59">
        <f t="shared" si="34"/>
        <v>443.4702735944341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4.7291487190526142</v>
      </c>
      <c r="AA46" s="21">
        <f>EXP(-LN(2)/25)*AA45+(1-EXP(-LN(2)/25))/(LN(2)/25)*Calculateur!V46*Calculateur!X46*VLOOKUP('Données projet'!$B$9,Paramètres!$A$1:$I$89,3,0)*0.475*44/12</f>
        <v>28.951305005112054</v>
      </c>
      <c r="AB46" s="21">
        <f>EXP(-LN(2)/2)*AB45+(1-EXP(-LN(2)/2))/(LN(2)/2)*V46*Y46*VLOOKUP('Données projet'!$B$9,Paramètres!$A$1:$I$89,3,0)*0.475*44/12</f>
        <v>0.13037239565928957</v>
      </c>
      <c r="AC46" s="22">
        <f t="shared" si="3"/>
        <v>33.810826119823957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25.166666666666668</v>
      </c>
      <c r="N47" s="13">
        <f>IF('Données projet'!$A$36&gt;35,N46+M47-V46,IF(A47&lt;'Données projet'!$A$36,$K$205^A47,IF(A47='Données projet'!$A$36,'Données projet'!$B$36,N46+M47-V46)))</f>
        <v>510.33333333333343</v>
      </c>
      <c r="O47" s="13">
        <f>N47*VLOOKUP('Données projet'!$B$9,Paramètres!$A$1:$I$89,3,0)*VLOOKUP('Données projet'!$B$9,Paramètres!$A$1:$I$89,5,0)</f>
        <v>285.27633333333341</v>
      </c>
      <c r="P47" s="13">
        <f t="shared" si="33"/>
        <v>68.080835390439418</v>
      </c>
      <c r="Q47" s="20">
        <f t="shared" si="53"/>
        <v>615.43040219390423</v>
      </c>
      <c r="R47" s="59">
        <f t="shared" si="0"/>
        <v>908.76373552723749</v>
      </c>
      <c r="S47" s="59">
        <f ca="1">AVERAGE(OFFSET($R$3,0,0,'Données projet'!$E$9+1,1))-AVERAGE(OFFSET($H$3,0,0,'Données projet'!$E$9+1,1))</f>
        <v>330.15282863041176</v>
      </c>
      <c r="T47" s="59">
        <f t="shared" si="34"/>
        <v>443.4702735944341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4.6364129971678905</v>
      </c>
      <c r="AA47" s="21">
        <f>EXP(-LN(2)/25)*AA46+(1-EXP(-LN(2)/25))/(LN(2)/25)*Calculateur!V47*Calculateur!X47*VLOOKUP('Données projet'!$B$9,Paramètres!$A$1:$I$89,3,0)*0.475*44/12</f>
        <v>28.159630047264304</v>
      </c>
      <c r="AB47" s="21">
        <f>EXP(-LN(2)/2)*AB46+(1-EXP(-LN(2)/2))/(LN(2)/2)*V47*Y47*VLOOKUP('Données projet'!$B$9,Paramètres!$A$1:$I$89,3,0)*0.475*44/12</f>
        <v>9.2187205050219267E-2</v>
      </c>
      <c r="AC47" s="22">
        <f t="shared" si="3"/>
        <v>32.888230249482412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25.166666666666668</v>
      </c>
      <c r="N48" s="13">
        <f>IF('Données projet'!$A$36&gt;35,N47+M48-V47,IF(A48&lt;'Données projet'!$A$36,$K$205^A48,IF(A48='Données projet'!$A$36,'Données projet'!$B$36,N47+M48-V47)))</f>
        <v>535.50000000000011</v>
      </c>
      <c r="O48" s="13">
        <f>N48*VLOOKUP('Données projet'!$B$9,Paramètres!$A$1:$I$89,3,0)*VLOOKUP('Données projet'!$B$9,Paramètres!$A$1:$I$89,5,0)</f>
        <v>299.34450000000004</v>
      </c>
      <c r="P48" s="13">
        <f t="shared" si="33"/>
        <v>71.039028008397935</v>
      </c>
      <c r="Q48" s="20">
        <f t="shared" si="53"/>
        <v>645.08464461462654</v>
      </c>
      <c r="R48" s="59">
        <f t="shared" si="0"/>
        <v>938.4179779479598</v>
      </c>
      <c r="S48" s="59">
        <f ca="1">AVERAGE(OFFSET($R$3,0,0,'Données projet'!$E$9+1,1))-AVERAGE(OFFSET($H$3,0,0,'Données projet'!$E$9+1,1))</f>
        <v>330.15282863041176</v>
      </c>
      <c r="T48" s="59">
        <f t="shared" si="34"/>
        <v>443.4702735944341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4.5454957662261215</v>
      </c>
      <c r="AA48" s="21">
        <f>EXP(-LN(2)/25)*AA47+(1-EXP(-LN(2)/25))/(LN(2)/25)*Calculateur!V48*Calculateur!X48*VLOOKUP('Données projet'!$B$9,Paramètres!$A$1:$I$89,3,0)*0.475*44/12</f>
        <v>27.389603482771278</v>
      </c>
      <c r="AB48" s="21">
        <f>EXP(-LN(2)/2)*AB47+(1-EXP(-LN(2)/2))/(LN(2)/2)*V48*Y48*VLOOKUP('Données projet'!$B$9,Paramètres!$A$1:$I$89,3,0)*0.475*44/12</f>
        <v>6.5186197829644785E-2</v>
      </c>
      <c r="AC48" s="22">
        <f t="shared" si="3"/>
        <v>32.000285446827043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25.166666666666668</v>
      </c>
      <c r="N49" s="13">
        <f>IF('Données projet'!$A$36&gt;35,N48+M49-V48,IF(A49&lt;'Données projet'!$A$36,$K$205^A49,IF(A49='Données projet'!$A$36,'Données projet'!$B$36,N48+M49-V48)))</f>
        <v>560.66666666666674</v>
      </c>
      <c r="O49" s="13">
        <f>N49*VLOOKUP('Données projet'!$B$9,Paramètres!$A$1:$I$89,3,0)*VLOOKUP('Données projet'!$B$9,Paramètres!$A$1:$I$89,5,0)</f>
        <v>313.41266666666672</v>
      </c>
      <c r="P49" s="13">
        <f t="shared" si="33"/>
        <v>73.981076031733153</v>
      </c>
      <c r="Q49" s="20">
        <f t="shared" si="53"/>
        <v>674.71076853304646</v>
      </c>
      <c r="R49" s="59">
        <f t="shared" si="0"/>
        <v>968.04410186637983</v>
      </c>
      <c r="S49" s="59">
        <f ca="1">AVERAGE(OFFSET($R$3,0,0,'Données projet'!$E$9+1,1))-AVERAGE(OFFSET($H$3,0,0,'Données projet'!$E$9+1,1))</f>
        <v>330.15282863041176</v>
      </c>
      <c r="T49" s="59">
        <f t="shared" si="34"/>
        <v>443.4702735944341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4.4563613667290856</v>
      </c>
      <c r="AA49" s="21">
        <f>EXP(-LN(2)/25)*AA48+(1-EXP(-LN(2)/25))/(LN(2)/25)*Calculateur!V49*Calculateur!X49*VLOOKUP('Données projet'!$B$9,Paramètres!$A$1:$I$89,3,0)*0.475*44/12</f>
        <v>26.640633335178251</v>
      </c>
      <c r="AB49" s="21">
        <f>EXP(-LN(2)/2)*AB48+(1-EXP(-LN(2)/2))/(LN(2)/2)*V49*Y49*VLOOKUP('Données projet'!$B$9,Paramètres!$A$1:$I$89,3,0)*0.475*44/12</f>
        <v>4.6093602525109634E-2</v>
      </c>
      <c r="AC49" s="22">
        <f t="shared" si="3"/>
        <v>31.143088304432442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25.166666666666668</v>
      </c>
      <c r="N50" s="13">
        <f>IF('Données projet'!$A$36&gt;35,N49+M50-V49,IF(A50&lt;'Données projet'!$A$36,$K$205^A50,IF(A50='Données projet'!$A$36,'Données projet'!$B$36,N49+M50-V49)))</f>
        <v>585.83333333333337</v>
      </c>
      <c r="O50" s="13">
        <f>N50*VLOOKUP('Données projet'!$B$9,Paramètres!$A$1:$I$89,3,0)*VLOOKUP('Données projet'!$B$9,Paramètres!$A$1:$I$89,5,0)</f>
        <v>327.48083333333335</v>
      </c>
      <c r="P50" s="13">
        <f t="shared" si="33"/>
        <v>76.907786940671016</v>
      </c>
      <c r="Q50" s="20">
        <f t="shared" si="53"/>
        <v>704.31018031055771</v>
      </c>
      <c r="R50" s="59">
        <f t="shared" si="0"/>
        <v>997.64351364389108</v>
      </c>
      <c r="S50" s="59">
        <f ca="1">AVERAGE(OFFSET($R$3,0,0,'Données projet'!$E$9+1,1))-AVERAGE(OFFSET($H$3,0,0,'Données projet'!$E$9+1,1))</f>
        <v>330.15282863041176</v>
      </c>
      <c r="T50" s="59">
        <f t="shared" si="34"/>
        <v>443.4702735944341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4.3689748384395708</v>
      </c>
      <c r="AA50" s="21">
        <f>EXP(-LN(2)/25)*AA49+(1-EXP(-LN(2)/25))/(LN(2)/25)*Calculateur!V50*Calculateur!X50*VLOOKUP('Données projet'!$B$9,Paramètres!$A$1:$I$89,3,0)*0.475*44/12</f>
        <v>25.912143815657782</v>
      </c>
      <c r="AB50" s="21">
        <f>EXP(-LN(2)/2)*AB49+(1-EXP(-LN(2)/2))/(LN(2)/2)*V50*Y50*VLOOKUP('Données projet'!$B$9,Paramètres!$A$1:$I$89,3,0)*0.475*44/12</f>
        <v>3.2593098914822392E-2</v>
      </c>
      <c r="AC50" s="22">
        <f t="shared" si="3"/>
        <v>30.313711753012175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611</v>
      </c>
      <c r="L51" s="12">
        <f>VLOOKUP(A51,'Données projet'!$A$35:$I$55,9,0)</f>
        <v>25.166666666666668</v>
      </c>
      <c r="M51" s="12">
        <f t="array" ref="M51">INDEX(L:L,MIN(IF(ISNUMBER(L51:L247),ROW(L51:L247),"")))</f>
        <v>25.166666666666668</v>
      </c>
      <c r="N51" s="13">
        <f>IF('Données projet'!$A$36&gt;35,N50+M51-V50,IF(A51&lt;'Données projet'!$A$36,$K$205^A51,IF(A51='Données projet'!$A$36,'Données projet'!$B$36,N50+M51-V50)))</f>
        <v>611</v>
      </c>
      <c r="O51" s="13">
        <f>N51*VLOOKUP('Données projet'!$B$9,Paramètres!$A$1:$I$89,3,0)*VLOOKUP('Données projet'!$B$9,Paramètres!$A$1:$I$89,5,0)</f>
        <v>341.54900000000004</v>
      </c>
      <c r="P51" s="13">
        <f t="shared" si="33"/>
        <v>79.819894915016846</v>
      </c>
      <c r="Q51" s="20">
        <f t="shared" si="53"/>
        <v>733.88415864365436</v>
      </c>
      <c r="R51" s="59">
        <f t="shared" si="0"/>
        <v>1027.2174919769877</v>
      </c>
      <c r="S51" s="59">
        <f ca="1">AVERAGE(OFFSET($R$3,0,0,'Données projet'!$E$9+1,1))-AVERAGE(OFFSET($H$3,0,0,'Données projet'!$E$9+1,1))</f>
        <v>330.15282863041176</v>
      </c>
      <c r="T51" s="59">
        <f t="shared" si="34"/>
        <v>443.4702735944341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103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4.2833019066692941</v>
      </c>
      <c r="AA51" s="21">
        <f>EXP(-LN(2)/25)*AA50+(1-EXP(-LN(2)/25))/(LN(2)/25)*Calculateur!V51*Calculateur!X51*VLOOKUP('Données projet'!$B$9,Paramètres!$A$1:$I$89,3,0)*0.475*44/12</f>
        <v>25.2035748803582</v>
      </c>
      <c r="AB51" s="21">
        <f>EXP(-LN(2)/2)*AB50+(1-EXP(-LN(2)/2))/(LN(2)/2)*V51*Y51*VLOOKUP('Données projet'!$B$9,Paramètres!$A$1:$I$89,3,0)*0.475*44/12</f>
        <v>2.3046801262554817E-2</v>
      </c>
      <c r="AC51" s="22">
        <f t="shared" si="3"/>
        <v>29.50992358829005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23.666666666666668</v>
      </c>
      <c r="N52" s="13">
        <f>IF('Données projet'!$A$36&gt;35,N51+M52-V51,IF(A52&lt;'Données projet'!$A$36,$K$205^A52,IF(A52='Données projet'!$A$36,'Données projet'!$B$36,N51+M52-V51)))</f>
        <v>531.66666666666663</v>
      </c>
      <c r="O52" s="13">
        <f>N52*VLOOKUP('Données projet'!$B$9,Paramètres!$A$1:$I$89,3,0)*VLOOKUP('Données projet'!$B$9,Paramètres!$A$1:$I$89,5,0)</f>
        <v>297.20166666666665</v>
      </c>
      <c r="P52" s="13">
        <f t="shared" si="33"/>
        <v>70.589505740727105</v>
      </c>
      <c r="Q52" s="20">
        <f t="shared" si="53"/>
        <v>640.56962527621079</v>
      </c>
      <c r="R52" s="59">
        <f t="shared" si="0"/>
        <v>933.90295860954416</v>
      </c>
      <c r="S52" s="59">
        <f ca="1">AVERAGE(OFFSET($R$3,0,0,'Données projet'!$E$9+1,1))-AVERAGE(OFFSET($H$3,0,0,'Données projet'!$E$9+1,1))</f>
        <v>330.15282863041176</v>
      </c>
      <c r="T52" s="59">
        <f t="shared" si="34"/>
        <v>443.4702735944341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4.1993089688357035</v>
      </c>
      <c r="AA52" s="21">
        <f>EXP(-LN(2)/25)*AA51+(1-EXP(-LN(2)/25))/(LN(2)/25)*Calculateur!V52*Calculateur!X52*VLOOKUP('Données projet'!$B$9,Paramètres!$A$1:$I$89,3,0)*0.475*44/12</f>
        <v>24.514381799856405</v>
      </c>
      <c r="AB52" s="21">
        <f>EXP(-LN(2)/2)*AB51+(1-EXP(-LN(2)/2))/(LN(2)/2)*V52*Y52*VLOOKUP('Données projet'!$B$9,Paramètres!$A$1:$I$89,3,0)*0.475*44/12</f>
        <v>1.6296549457411196E-2</v>
      </c>
      <c r="AC52" s="22">
        <f t="shared" si="3"/>
        <v>28.729987318149522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23.666666666666668</v>
      </c>
      <c r="N53" s="13">
        <f>IF('Données projet'!$A$36&gt;35,N52+M53-V52,IF(A53&lt;'Données projet'!$A$36,$K$205^A53,IF(A53='Données projet'!$A$36,'Données projet'!$B$36,N52+M53-V52)))</f>
        <v>555.33333333333326</v>
      </c>
      <c r="O53" s="13">
        <f>N53*VLOOKUP('Données projet'!$B$9,Paramètres!$A$1:$I$89,3,0)*VLOOKUP('Données projet'!$B$9,Paramètres!$A$1:$I$89,5,0)</f>
        <v>310.43133333333327</v>
      </c>
      <c r="P53" s="13">
        <f t="shared" si="33"/>
        <v>73.35890244850917</v>
      </c>
      <c r="Q53" s="20">
        <f t="shared" si="53"/>
        <v>668.43466065337554</v>
      </c>
      <c r="R53" s="59">
        <f t="shared" si="0"/>
        <v>961.76799398670892</v>
      </c>
      <c r="S53" s="59">
        <f ca="1">AVERAGE(OFFSET($R$3,0,0,'Données projet'!$E$9+1,1))-AVERAGE(OFFSET($H$3,0,0,'Données projet'!$E$9+1,1))</f>
        <v>330.15282863041176</v>
      </c>
      <c r="T53" s="59">
        <f t="shared" si="34"/>
        <v>443.4702735944341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4.1169630812823961</v>
      </c>
      <c r="AA53" s="21">
        <f>EXP(-LN(2)/25)*AA52+(1-EXP(-LN(2)/25))/(LN(2)/25)*Calculateur!V53*Calculateur!X53*VLOOKUP('Données projet'!$B$9,Paramètres!$A$1:$I$89,3,0)*0.475*44/12</f>
        <v>23.844034740384021</v>
      </c>
      <c r="AB53" s="21">
        <f>EXP(-LN(2)/2)*AB52+(1-EXP(-LN(2)/2))/(LN(2)/2)*V53*Y53*VLOOKUP('Données projet'!$B$9,Paramètres!$A$1:$I$89,3,0)*0.475*44/12</f>
        <v>1.1523400631277408E-2</v>
      </c>
      <c r="AC53" s="22">
        <f t="shared" si="3"/>
        <v>27.972521222297694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23.666666666666668</v>
      </c>
      <c r="N54" s="13">
        <f>IF('Données projet'!$A$36&gt;35,N53+M54-V53,IF(A54&lt;'Données projet'!$A$36,$K$205^A54,IF(A54='Données projet'!$A$36,'Données projet'!$B$36,N53+M54-V53)))</f>
        <v>578.99999999999989</v>
      </c>
      <c r="O54" s="13">
        <f>N54*VLOOKUP('Données projet'!$B$9,Paramètres!$A$1:$I$89,3,0)*VLOOKUP('Données projet'!$B$9,Paramètres!$A$1:$I$89,5,0)</f>
        <v>323.66099999999994</v>
      </c>
      <c r="P54" s="13">
        <f t="shared" si="33"/>
        <v>76.114590855840419</v>
      </c>
      <c r="Q54" s="20">
        <f t="shared" si="53"/>
        <v>696.27582074058864</v>
      </c>
      <c r="R54" s="59">
        <f t="shared" si="0"/>
        <v>989.6091540739219</v>
      </c>
      <c r="S54" s="59">
        <f ca="1">AVERAGE(OFFSET($R$3,0,0,'Données projet'!$E$9+1,1))-AVERAGE(OFFSET($H$3,0,0,'Données projet'!$E$9+1,1))</f>
        <v>330.15282863041176</v>
      </c>
      <c r="T54" s="59">
        <f t="shared" si="34"/>
        <v>443.4702735944341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4.0362319463579777</v>
      </c>
      <c r="AA54" s="21">
        <f>EXP(-LN(2)/25)*AA53+(1-EXP(-LN(2)/25))/(LN(2)/25)*Calculateur!V54*Calculateur!X54*VLOOKUP('Données projet'!$B$9,Paramètres!$A$1:$I$89,3,0)*0.475*44/12</f>
        <v>23.192018356504928</v>
      </c>
      <c r="AB54" s="21">
        <f>EXP(-LN(2)/2)*AB53+(1-EXP(-LN(2)/2))/(LN(2)/2)*V54*Y54*VLOOKUP('Données projet'!$B$9,Paramètres!$A$1:$I$89,3,0)*0.475*44/12</f>
        <v>8.1482747287055981E-3</v>
      </c>
      <c r="AC54" s="22">
        <f t="shared" si="3"/>
        <v>27.236398577591608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23.666666666666668</v>
      </c>
      <c r="N55" s="13">
        <f>IF('Données projet'!$A$36&gt;35,N54+M55-V54,IF(A55&lt;'Données projet'!$A$36,$K$205^A55,IF(A55='Données projet'!$A$36,'Données projet'!$B$36,N54+M55-V54)))</f>
        <v>602.66666666666652</v>
      </c>
      <c r="O55" s="13">
        <f>N55*VLOOKUP('Données projet'!$B$9,Paramètres!$A$1:$I$89,3,0)*VLOOKUP('Données projet'!$B$9,Paramètres!$A$1:$I$89,5,0)</f>
        <v>336.89066666666656</v>
      </c>
      <c r="P55" s="13">
        <f t="shared" si="33"/>
        <v>78.857195381348276</v>
      </c>
      <c r="Q55" s="20">
        <f t="shared" si="53"/>
        <v>724.09419306695918</v>
      </c>
      <c r="R55" s="59">
        <f t="shared" si="0"/>
        <v>1017.4275264002924</v>
      </c>
      <c r="S55" s="59">
        <f ca="1">AVERAGE(OFFSET($R$3,0,0,'Données projet'!$E$9+1,1))-AVERAGE(OFFSET($H$3,0,0,'Données projet'!$E$9+1,1))</f>
        <v>330.15282863041176</v>
      </c>
      <c r="T55" s="59">
        <f t="shared" si="34"/>
        <v>443.4702735944341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3.9570838997482967</v>
      </c>
      <c r="AA55" s="21">
        <f>EXP(-LN(2)/25)*AA54+(1-EXP(-LN(2)/25))/(LN(2)/25)*Calculateur!V55*Calculateur!X55*VLOOKUP('Données projet'!$B$9,Paramètres!$A$1:$I$89,3,0)*0.475*44/12</f>
        <v>22.55783139493106</v>
      </c>
      <c r="AB55" s="21">
        <f>EXP(-LN(2)/2)*AB54+(1-EXP(-LN(2)/2))/(LN(2)/2)*V55*Y55*VLOOKUP('Données projet'!$B$9,Paramètres!$A$1:$I$89,3,0)*0.475*44/12</f>
        <v>5.7617003156387042E-3</v>
      </c>
      <c r="AC55" s="22">
        <f t="shared" si="3"/>
        <v>26.520676994994997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23.666666666666668</v>
      </c>
      <c r="N56" s="13">
        <f>IF('Données projet'!$A$36&gt;35,N55+M56-V55,IF(A56&lt;'Données projet'!$A$36,$K$205^A56,IF(A56='Données projet'!$A$36,'Données projet'!$B$36,N55+M56-V55)))</f>
        <v>626.33333333333314</v>
      </c>
      <c r="O56" s="13">
        <f>N56*VLOOKUP('Données projet'!$B$9,Paramètres!$A$1:$I$89,3,0)*VLOOKUP('Données projet'!$B$9,Paramètres!$A$1:$I$89,5,0)</f>
        <v>350.12033333333324</v>
      </c>
      <c r="P56" s="13">
        <f t="shared" si="33"/>
        <v>81.587288625376857</v>
      </c>
      <c r="Q56" s="20">
        <f t="shared" si="53"/>
        <v>751.89077491142007</v>
      </c>
      <c r="R56" s="59">
        <f t="shared" si="0"/>
        <v>1045.2241082447533</v>
      </c>
      <c r="S56" s="59">
        <f ca="1">AVERAGE(OFFSET($R$3,0,0,'Données projet'!$E$9+1,1))-AVERAGE(OFFSET($H$3,0,0,'Données projet'!$E$9+1,1))</f>
        <v>330.15282863041176</v>
      </c>
      <c r="T56" s="59">
        <f t="shared" si="34"/>
        <v>443.4702735944341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3.8794878980570897</v>
      </c>
      <c r="AA56" s="21">
        <f>EXP(-LN(2)/25)*AA55+(1-EXP(-LN(2)/25))/(LN(2)/25)*Calculateur!V56*Calculateur!X56*VLOOKUP('Données projet'!$B$9,Paramètres!$A$1:$I$89,3,0)*0.475*44/12</f>
        <v>21.940986309171873</v>
      </c>
      <c r="AB56" s="21">
        <f>EXP(-LN(2)/2)*AB55+(1-EXP(-LN(2)/2))/(LN(2)/2)*V56*Y56*VLOOKUP('Données projet'!$B$9,Paramètres!$A$1:$I$89,3,0)*0.475*44/12</f>
        <v>4.074137364352799E-3</v>
      </c>
      <c r="AC56" s="22">
        <f t="shared" si="3"/>
        <v>25.824548344593314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650</v>
      </c>
      <c r="L57" s="12">
        <f>VLOOKUP(A57,'Données projet'!$A$35:$I$55,9,0)</f>
        <v>23.666666666666668</v>
      </c>
      <c r="M57" s="12">
        <f t="array" ref="M57">INDEX(L:L,MIN(IF(ISNUMBER(L57:L253),ROW(L57:L253),"")))</f>
        <v>23.666666666666668</v>
      </c>
      <c r="N57" s="13">
        <f>IF('Données projet'!$A$36&gt;35,N56+M57-V56,IF(A57&lt;'Données projet'!$A$36,$K$205^A57,IF(A57='Données projet'!$A$36,'Données projet'!$B$36,N56+M57-V56)))</f>
        <v>649.99999999999977</v>
      </c>
      <c r="O57" s="13">
        <f>N57*VLOOKUP('Données projet'!$B$9,Paramètres!$A$1:$I$89,3,0)*VLOOKUP('Données projet'!$B$9,Paramètres!$A$1:$I$89,5,0)</f>
        <v>363.34999999999985</v>
      </c>
      <c r="P57" s="13">
        <f t="shared" si="33"/>
        <v>84.305397464498199</v>
      </c>
      <c r="Q57" s="20">
        <f t="shared" si="53"/>
        <v>779.66648391733406</v>
      </c>
      <c r="R57" s="59">
        <f t="shared" si="0"/>
        <v>1072.9998172506673</v>
      </c>
      <c r="S57" s="59">
        <f ca="1">AVERAGE(OFFSET($R$3,0,0,'Données projet'!$E$9+1,1))-AVERAGE(OFFSET($H$3,0,0,'Données projet'!$E$9+1,1))</f>
        <v>330.15282863041176</v>
      </c>
      <c r="T57" s="59">
        <f t="shared" si="34"/>
        <v>443.4702735944341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650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3.80341350663016</v>
      </c>
      <c r="AA57" s="21">
        <f>EXP(-LN(2)/25)*AA56+(1-EXP(-LN(2)/25))/(LN(2)/25)*Calculateur!V57*Calculateur!X57*VLOOKUP('Données projet'!$B$9,Paramètres!$A$1:$I$89,3,0)*0.475*44/12</f>
        <v>21.341008884721244</v>
      </c>
      <c r="AB57" s="21">
        <f>EXP(-LN(2)/2)*AB56+(1-EXP(-LN(2)/2))/(LN(2)/2)*V57*Y57*VLOOKUP('Données projet'!$B$9,Paramètres!$A$1:$I$89,3,0)*0.475*44/12</f>
        <v>2.8808501578193521E-3</v>
      </c>
      <c r="AC57" s="22">
        <f t="shared" si="3"/>
        <v>25.147303241509224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330.15282863041176</v>
      </c>
      <c r="T58" s="59">
        <f t="shared" si="34"/>
        <v>443.4702735944341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3.7288308876183152</v>
      </c>
      <c r="AA58" s="21">
        <f>EXP(-LN(2)/25)*AA57+(1-EXP(-LN(2)/25))/(LN(2)/25)*Calculateur!V58*Calculateur!X58*VLOOKUP('Données projet'!$B$9,Paramètres!$A$1:$I$89,3,0)*0.475*44/12</f>
        <v>20.757437874493661</v>
      </c>
      <c r="AB58" s="21">
        <f>EXP(-LN(2)/2)*AB57+(1-EXP(-LN(2)/2))/(LN(2)/2)*V58*Y58*VLOOKUP('Données projet'!$B$9,Paramètres!$A$1:$I$89,3,0)*0.475*44/12</f>
        <v>2.0370686821763995E-3</v>
      </c>
      <c r="AC58" s="22">
        <f t="shared" si="3"/>
        <v>24.488305830794154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330.15282863041176</v>
      </c>
      <c r="T59" s="59">
        <f t="shared" si="34"/>
        <v>443.4702735944341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3.6557107882743867</v>
      </c>
      <c r="AA59" s="21">
        <f>EXP(-LN(2)/25)*AA58+(1-EXP(-LN(2)/25))/(LN(2)/25)*Calculateur!V59*Calculateur!X59*VLOOKUP('Données projet'!$B$9,Paramètres!$A$1:$I$89,3,0)*0.475*44/12</f>
        <v>20.189824644229414</v>
      </c>
      <c r="AB59" s="21">
        <f>EXP(-LN(2)/2)*AB58+(1-EXP(-LN(2)/2))/(LN(2)/2)*V59*Y59*VLOOKUP('Données projet'!$B$9,Paramètres!$A$1:$I$89,3,0)*0.475*44/12</f>
        <v>1.4404250789096761E-3</v>
      </c>
      <c r="AC59" s="22">
        <f t="shared" si="3"/>
        <v>23.846975857582713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330.15282863041176</v>
      </c>
      <c r="T60" s="59">
        <f t="shared" si="34"/>
        <v>443.4702735944341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3.5840245294797359</v>
      </c>
      <c r="AA60" s="21">
        <f>EXP(-LN(2)/25)*AA59+(1-EXP(-LN(2)/25))/(LN(2)/25)*Calculateur!V60*Calculateur!X60*VLOOKUP('Données projet'!$B$9,Paramètres!$A$1:$I$89,3,0)*0.475*44/12</f>
        <v>19.637732827596228</v>
      </c>
      <c r="AB60" s="21">
        <f>EXP(-LN(2)/2)*AB59+(1-EXP(-LN(2)/2))/(LN(2)/2)*V60*Y60*VLOOKUP('Données projet'!$B$9,Paramètres!$A$1:$I$89,3,0)*0.475*44/12</f>
        <v>1.0185343410881998E-3</v>
      </c>
      <c r="AC60" s="22">
        <f t="shared" si="3"/>
        <v>23.222775891417054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330.15282863041176</v>
      </c>
      <c r="T61" s="59">
        <f t="shared" si="34"/>
        <v>443.4702735944341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3.5137439944957478</v>
      </c>
      <c r="AA61" s="21">
        <f>EXP(-LN(2)/25)*AA60+(1-EXP(-LN(2)/25))/(LN(2)/25)*Calculateur!V61*Calculateur!X61*VLOOKUP('Données projet'!$B$9,Paramètres!$A$1:$I$89,3,0)*0.475*44/12</f>
        <v>19.100737990722124</v>
      </c>
      <c r="AB61" s="21">
        <f>EXP(-LN(2)/2)*AB60+(1-EXP(-LN(2)/2))/(LN(2)/2)*V61*Y61*VLOOKUP('Données projet'!$B$9,Paramètres!$A$1:$I$89,3,0)*0.475*44/12</f>
        <v>7.2021253945483803E-4</v>
      </c>
      <c r="AC61" s="22">
        <f t="shared" si="3"/>
        <v>22.615202197757327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330.15282863041176</v>
      </c>
      <c r="T62" s="59">
        <f t="shared" si="34"/>
        <v>443.4702735944341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3.4448416179359023</v>
      </c>
      <c r="AA62" s="21">
        <f>EXP(-LN(2)/25)*AA61+(1-EXP(-LN(2)/25))/(LN(2)/25)*Calculateur!V62*Calculateur!X62*VLOOKUP('Données projet'!$B$9,Paramètres!$A$1:$I$89,3,0)*0.475*44/12</f>
        <v>18.57842730590167</v>
      </c>
      <c r="AB62" s="21">
        <f>EXP(-LN(2)/2)*AB61+(1-EXP(-LN(2)/2))/(LN(2)/2)*V62*Y62*VLOOKUP('Données projet'!$B$9,Paramètres!$A$1:$I$89,3,0)*0.475*44/12</f>
        <v>5.0926717054409988E-4</v>
      </c>
      <c r="AC62" s="22">
        <f t="shared" si="3"/>
        <v>22.023778191008116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330.15282863041176</v>
      </c>
      <c r="T63" s="59">
        <f t="shared" si="34"/>
        <v>443.4702735944341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3.3772903749540952</v>
      </c>
      <c r="AA63" s="21">
        <f>EXP(-LN(2)/25)*AA62+(1-EXP(-LN(2)/25))/(LN(2)/25)*Calculateur!V63*Calculateur!X63*VLOOKUP('Données projet'!$B$9,Paramètres!$A$1:$I$89,3,0)*0.475*44/12</f>
        <v>18.070399234224759</v>
      </c>
      <c r="AB63" s="21">
        <f>EXP(-LN(2)/2)*AB62+(1-EXP(-LN(2)/2))/(LN(2)/2)*V63*Y63*VLOOKUP('Données projet'!$B$9,Paramètres!$A$1:$I$89,3,0)*0.475*44/12</f>
        <v>3.6010626972741901E-4</v>
      </c>
      <c r="AC63" s="22">
        <f t="shared" si="3"/>
        <v>21.448049715448583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330.15282863041176</v>
      </c>
      <c r="T64" s="59">
        <f t="shared" si="34"/>
        <v>443.4702735944341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3.3110637706449717</v>
      </c>
      <c r="AA64" s="21">
        <f>EXP(-LN(2)/25)*AA63+(1-EXP(-LN(2)/25))/(LN(2)/25)*Calculateur!V64*Calculateur!X64*VLOOKUP('Données projet'!$B$9,Paramètres!$A$1:$I$89,3,0)*0.475*44/12</f>
        <v>17.576263216883888</v>
      </c>
      <c r="AB64" s="21">
        <f>EXP(-LN(2)/2)*AB63+(1-EXP(-LN(2)/2))/(LN(2)/2)*V64*Y64*VLOOKUP('Données projet'!$B$9,Paramètres!$A$1:$I$89,3,0)*0.475*44/12</f>
        <v>2.5463358527204994E-4</v>
      </c>
      <c r="AC64" s="22">
        <f t="shared" si="3"/>
        <v>20.88758162111413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330.15282863041176</v>
      </c>
      <c r="T65" s="59">
        <f t="shared" si="34"/>
        <v>443.4702735944341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3.2461358296521099</v>
      </c>
      <c r="AA65" s="21">
        <f>EXP(-LN(2)/25)*AA64+(1-EXP(-LN(2)/25))/(LN(2)/25)*Calculateur!V65*Calculateur!X65*VLOOKUP('Données projet'!$B$9,Paramètres!$A$1:$I$89,3,0)*0.475*44/12</f>
        <v>17.095639374922687</v>
      </c>
      <c r="AB65" s="21">
        <f>EXP(-LN(2)/2)*AB64+(1-EXP(-LN(2)/2))/(LN(2)/2)*V65*Y65*VLOOKUP('Données projet'!$B$9,Paramètres!$A$1:$I$89,3,0)*0.475*44/12</f>
        <v>1.8005313486370951E-4</v>
      </c>
      <c r="AC65" s="22">
        <f t="shared" si="3"/>
        <v>20.34195525770966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330.15282863041176</v>
      </c>
      <c r="T66" s="59">
        <f t="shared" si="34"/>
        <v>443.4702735944341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3.1824810859799846</v>
      </c>
      <c r="AA66" s="21">
        <f>EXP(-LN(2)/25)*AA65+(1-EXP(-LN(2)/25))/(LN(2)/25)*Calculateur!V66*Calculateur!X66*VLOOKUP('Données projet'!$B$9,Paramètres!$A$1:$I$89,3,0)*0.475*44/12</f>
        <v>16.628158217194823</v>
      </c>
      <c r="AB66" s="21">
        <f>EXP(-LN(2)/2)*AB65+(1-EXP(-LN(2)/2))/(LN(2)/2)*V66*Y66*VLOOKUP('Données projet'!$B$9,Paramètres!$A$1:$I$89,3,0)*0.475*44/12</f>
        <v>1.2731679263602497E-4</v>
      </c>
      <c r="AC66" s="22">
        <f t="shared" si="3"/>
        <v>19.810766619967442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330.15282863041176</v>
      </c>
      <c r="T67" s="59">
        <f t="shared" si="34"/>
        <v>443.4702735944341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3.1200745730057098</v>
      </c>
      <c r="AA67" s="21">
        <f>EXP(-LN(2)/25)*AA66+(1-EXP(-LN(2)/25))/(LN(2)/25)*Calculateur!V67*Calculateur!X67*VLOOKUP('Données projet'!$B$9,Paramètres!$A$1:$I$89,3,0)*0.475*44/12</f>
        <v>16.173460356308794</v>
      </c>
      <c r="AB67" s="21">
        <f>EXP(-LN(2)/2)*AB66+(1-EXP(-LN(2)/2))/(LN(2)/2)*V67*Y67*VLOOKUP('Données projet'!$B$9,Paramètres!$A$1:$I$89,3,0)*0.475*44/12</f>
        <v>9.0026567431854753E-5</v>
      </c>
      <c r="AC67" s="22">
        <f t="shared" si="3"/>
        <v>19.293624955881935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330.15282863041176</v>
      </c>
      <c r="T68" s="59">
        <f t="shared" si="34"/>
        <v>443.4702735944341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3.0588918136866461</v>
      </c>
      <c r="AA68" s="21">
        <f>EXP(-LN(2)/25)*AA67+(1-EXP(-LN(2)/25))/(LN(2)/25)*Calculateur!V68*Calculateur!X68*VLOOKUP('Données projet'!$B$9,Paramètres!$A$1:$I$89,3,0)*0.475*44/12</f>
        <v>15.731196232340215</v>
      </c>
      <c r="AB68" s="21">
        <f>EXP(-LN(2)/2)*AB67+(1-EXP(-LN(2)/2))/(LN(2)/2)*V68*Y68*VLOOKUP('Données projet'!$B$9,Paramètres!$A$1:$I$89,3,0)*0.475*44/12</f>
        <v>6.3658396318012485E-5</v>
      </c>
      <c r="AC68" s="22">
        <f t="shared" ref="AC68:AC131" si="57">SUM(Z68:AB68)</f>
        <v>18.790151704423177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330.15282863041176</v>
      </c>
      <c r="T69" s="59">
        <f t="shared" ref="T69:T132" si="88">$T$3</f>
        <v>443.4702735944341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2.9989088109600308</v>
      </c>
      <c r="AA69" s="21">
        <f>EXP(-LN(2)/25)*AA68+(1-EXP(-LN(2)/25))/(LN(2)/25)*Calculateur!V69*Calculateur!X69*VLOOKUP('Données projet'!$B$9,Paramètres!$A$1:$I$89,3,0)*0.475*44/12</f>
        <v>15.301025844099216</v>
      </c>
      <c r="AB69" s="21">
        <f>EXP(-LN(2)/2)*AB68+(1-EXP(-LN(2)/2))/(LN(2)/2)*V69*Y69*VLOOKUP('Données projet'!$B$9,Paramètres!$A$1:$I$89,3,0)*0.475*44/12</f>
        <v>4.5013283715927377E-5</v>
      </c>
      <c r="AC69" s="22">
        <f t="shared" si="57"/>
        <v>18.299979668342964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330.15282863041176</v>
      </c>
      <c r="T70" s="59">
        <f t="shared" si="88"/>
        <v>443.4702735944341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2.9401020383308651</v>
      </c>
      <c r="AA70" s="21">
        <f>EXP(-LN(2)/25)*AA69+(1-EXP(-LN(2)/25))/(LN(2)/25)*Calculateur!V70*Calculateur!X70*VLOOKUP('Données projet'!$B$9,Paramètres!$A$1:$I$89,3,0)*0.475*44/12</f>
        <v>14.882618487746345</v>
      </c>
      <c r="AB70" s="21">
        <f>EXP(-LN(2)/2)*AB69+(1-EXP(-LN(2)/2))/(LN(2)/2)*V70*Y70*VLOOKUP('Données projet'!$B$9,Paramètres!$A$1:$I$89,3,0)*0.475*44/12</f>
        <v>3.1829198159006243E-5</v>
      </c>
      <c r="AC70" s="22">
        <f t="shared" si="57"/>
        <v>17.822752355275373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330.15282863041176</v>
      </c>
      <c r="T71" s="59">
        <f t="shared" si="88"/>
        <v>443.4702735944341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2.8824484306443678</v>
      </c>
      <c r="AA71" s="21">
        <f>EXP(-LN(2)/25)*AA70+(1-EXP(-LN(2)/25))/(LN(2)/25)*Calculateur!V71*Calculateur!X71*VLOOKUP('Données projet'!$B$9,Paramètres!$A$1:$I$89,3,0)*0.475*44/12</f>
        <v>14.475652502556031</v>
      </c>
      <c r="AB71" s="21">
        <f>EXP(-LN(2)/2)*AB70+(1-EXP(-LN(2)/2))/(LN(2)/2)*V71*Y71*VLOOKUP('Données projet'!$B$9,Paramètres!$A$1:$I$89,3,0)*0.475*44/12</f>
        <v>2.2506641857963688E-5</v>
      </c>
      <c r="AC71" s="22">
        <f t="shared" si="57"/>
        <v>17.358123439842256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330.15282863041176</v>
      </c>
      <c r="T72" s="59">
        <f t="shared" si="88"/>
        <v>443.4702735944341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2.8259253750393745</v>
      </c>
      <c r="AA72" s="21">
        <f>EXP(-LN(2)/25)*AA71+(1-EXP(-LN(2)/25))/(LN(2)/25)*Calculateur!V72*Calculateur!X72*VLOOKUP('Données projet'!$B$9,Paramètres!$A$1:$I$89,3,0)*0.475*44/12</f>
        <v>14.079815023632156</v>
      </c>
      <c r="AB72" s="21">
        <f>EXP(-LN(2)/2)*AB71+(1-EXP(-LN(2)/2))/(LN(2)/2)*V72*Y72*VLOOKUP('Données projet'!$B$9,Paramètres!$A$1:$I$89,3,0)*0.475*44/12</f>
        <v>1.5914599079503121E-5</v>
      </c>
      <c r="AC72" s="22">
        <f t="shared" si="57"/>
        <v>16.905756313270608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330.15282863041176</v>
      </c>
      <c r="T73" s="59">
        <f t="shared" si="88"/>
        <v>443.4702735944341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2.7705107020791355</v>
      </c>
      <c r="AA73" s="21">
        <f>EXP(-LN(2)/25)*AA72+(1-EXP(-LN(2)/25))/(LN(2)/25)*Calculateur!V73*Calculateur!X73*VLOOKUP('Données projet'!$B$9,Paramètres!$A$1:$I$89,3,0)*0.475*44/12</f>
        <v>13.694801741385643</v>
      </c>
      <c r="AB73" s="21">
        <f>EXP(-LN(2)/2)*AB72+(1-EXP(-LN(2)/2))/(LN(2)/2)*V73*Y73*VLOOKUP('Données projet'!$B$9,Paramètres!$A$1:$I$89,3,0)*0.475*44/12</f>
        <v>1.1253320928981844E-5</v>
      </c>
      <c r="AC73" s="22">
        <f t="shared" si="57"/>
        <v>16.465323696785706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330.15282863041176</v>
      </c>
      <c r="T74" s="59">
        <f t="shared" si="88"/>
        <v>443.4702735944341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2.7161826770560338</v>
      </c>
      <c r="AA74" s="21">
        <f>EXP(-LN(2)/25)*AA73+(1-EXP(-LN(2)/25))/(LN(2)/25)*Calculateur!V74*Calculateur!X74*VLOOKUP('Données projet'!$B$9,Paramètres!$A$1:$I$89,3,0)*0.475*44/12</f>
        <v>13.320316667589129</v>
      </c>
      <c r="AB74" s="21">
        <f>EXP(-LN(2)/2)*AB73+(1-EXP(-LN(2)/2))/(LN(2)/2)*V74*Y74*VLOOKUP('Données projet'!$B$9,Paramètres!$A$1:$I$89,3,0)*0.475*44/12</f>
        <v>7.9572995397515606E-6</v>
      </c>
      <c r="AC74" s="22">
        <f t="shared" si="57"/>
        <v>16.036507301944702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330.15282863041176</v>
      </c>
      <c r="T75" s="59">
        <f t="shared" si="88"/>
        <v>443.4702735944341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2.6629199914668118</v>
      </c>
      <c r="AA75" s="21">
        <f>EXP(-LN(2)/25)*AA74+(1-EXP(-LN(2)/25))/(LN(2)/25)*Calculateur!V75*Calculateur!X75*VLOOKUP('Données projet'!$B$9,Paramètres!$A$1:$I$89,3,0)*0.475*44/12</f>
        <v>12.956071907828894</v>
      </c>
      <c r="AB75" s="21">
        <f>EXP(-LN(2)/2)*AB74+(1-EXP(-LN(2)/2))/(LN(2)/2)*V75*Y75*VLOOKUP('Données projet'!$B$9,Paramètres!$A$1:$I$89,3,0)*0.475*44/12</f>
        <v>5.6266604644909221E-6</v>
      </c>
      <c r="AC75" s="22">
        <f t="shared" si="57"/>
        <v>15.61899752595617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330.15282863041176</v>
      </c>
      <c r="T76" s="59">
        <f t="shared" si="88"/>
        <v>443.4702735944341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2.610701754654964</v>
      </c>
      <c r="AA76" s="21">
        <f>EXP(-LN(2)/25)*AA75+(1-EXP(-LN(2)/25))/(LN(2)/25)*Calculateur!V76*Calculateur!X76*VLOOKUP('Données projet'!$B$9,Paramètres!$A$1:$I$89,3,0)*0.475*44/12</f>
        <v>12.601787440179104</v>
      </c>
      <c r="AB76" s="21">
        <f>EXP(-LN(2)/2)*AB75+(1-EXP(-LN(2)/2))/(LN(2)/2)*V76*Y76*VLOOKUP('Données projet'!$B$9,Paramètres!$A$1:$I$89,3,0)*0.475*44/12</f>
        <v>3.9786497698757803E-6</v>
      </c>
      <c r="AC76" s="22">
        <f t="shared" si="57"/>
        <v>15.212493173483837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330.15282863041176</v>
      </c>
      <c r="T77" s="59">
        <f t="shared" si="88"/>
        <v>443.4702735944341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2.5595074856170168</v>
      </c>
      <c r="AA77" s="21">
        <f>EXP(-LN(2)/25)*AA76+(1-EXP(-LN(2)/25))/(LN(2)/25)*Calculateur!V77*Calculateur!X77*VLOOKUP('Données projet'!$B$9,Paramètres!$A$1:$I$89,3,0)*0.475*44/12</f>
        <v>12.257190899928206</v>
      </c>
      <c r="AB77" s="21">
        <f>EXP(-LN(2)/2)*AB76+(1-EXP(-LN(2)/2))/(LN(2)/2)*V77*Y77*VLOOKUP('Données projet'!$B$9,Paramètres!$A$1:$I$89,3,0)*0.475*44/12</f>
        <v>2.813330232245461E-6</v>
      </c>
      <c r="AC77" s="22">
        <f t="shared" si="57"/>
        <v>14.816701198875455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330.15282863041176</v>
      </c>
      <c r="T78" s="59">
        <f t="shared" si="88"/>
        <v>443.4702735944341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2.5093171049694831</v>
      </c>
      <c r="AA78" s="21">
        <f>EXP(-LN(2)/25)*AA77+(1-EXP(-LN(2)/25))/(LN(2)/25)*Calculateur!V78*Calculateur!X78*VLOOKUP('Données projet'!$B$9,Paramètres!$A$1:$I$89,3,0)*0.475*44/12</f>
        <v>11.922017370192014</v>
      </c>
      <c r="AB78" s="21">
        <f>EXP(-LN(2)/2)*AB77+(1-EXP(-LN(2)/2))/(LN(2)/2)*V78*Y78*VLOOKUP('Données projet'!$B$9,Paramètres!$A$1:$I$89,3,0)*0.475*44/12</f>
        <v>1.9893248849378902E-6</v>
      </c>
      <c r="AC78" s="22">
        <f t="shared" si="57"/>
        <v>14.431336464486382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330.15282863041176</v>
      </c>
      <c r="T79" s="59">
        <f t="shared" si="88"/>
        <v>443.4702735944341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2.4601109270733379</v>
      </c>
      <c r="AA79" s="21">
        <f>EXP(-LN(2)/25)*AA78+(1-EXP(-LN(2)/25))/(LN(2)/25)*Calculateur!V79*Calculateur!X79*VLOOKUP('Données projet'!$B$9,Paramètres!$A$1:$I$89,3,0)*0.475*44/12</f>
        <v>11.596009178252467</v>
      </c>
      <c r="AB79" s="21">
        <f>EXP(-LN(2)/2)*AB78+(1-EXP(-LN(2)/2))/(LN(2)/2)*V79*Y79*VLOOKUP('Données projet'!$B$9,Paramètres!$A$1:$I$89,3,0)*0.475*44/12</f>
        <v>1.4066651161227305E-6</v>
      </c>
      <c r="AC79" s="22">
        <f t="shared" si="57"/>
        <v>14.056121511990922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330.15282863041176</v>
      </c>
      <c r="T80" s="59">
        <f t="shared" si="88"/>
        <v>443.4702735944341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2.411869652312931</v>
      </c>
      <c r="AA80" s="21">
        <f>EXP(-LN(2)/25)*AA79+(1-EXP(-LN(2)/25))/(LN(2)/25)*Calculateur!V80*Calculateur!X80*VLOOKUP('Données projet'!$B$9,Paramètres!$A$1:$I$89,3,0)*0.475*44/12</f>
        <v>11.278915697465534</v>
      </c>
      <c r="AB80" s="21">
        <f>EXP(-LN(2)/2)*AB79+(1-EXP(-LN(2)/2))/(LN(2)/2)*V80*Y80*VLOOKUP('Données projet'!$B$9,Paramètres!$A$1:$I$89,3,0)*0.475*44/12</f>
        <v>9.9466244246894508E-7</v>
      </c>
      <c r="AC80" s="22">
        <f t="shared" si="57"/>
        <v>13.690786344440909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330.15282863041176</v>
      </c>
      <c r="T81" s="59">
        <f t="shared" si="88"/>
        <v>443.4702735944341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2.3645743595263036</v>
      </c>
      <c r="AA81" s="21">
        <f>EXP(-LN(2)/25)*AA80+(1-EXP(-LN(2)/25))/(LN(2)/25)*Calculateur!V81*Calculateur!X81*VLOOKUP('Données projet'!$B$9,Paramètres!$A$1:$I$89,3,0)*0.475*44/12</f>
        <v>10.97049315458594</v>
      </c>
      <c r="AB81" s="21">
        <f>EXP(-LN(2)/2)*AB80+(1-EXP(-LN(2)/2))/(LN(2)/2)*V81*Y81*VLOOKUP('Données projet'!$B$9,Paramètres!$A$1:$I$89,3,0)*0.475*44/12</f>
        <v>7.0333255806136526E-7</v>
      </c>
      <c r="AC81" s="22">
        <f t="shared" si="57"/>
        <v>13.335068217444801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330.15282863041176</v>
      </c>
      <c r="T82" s="59">
        <f t="shared" si="88"/>
        <v>443.4702735944341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2.3182064985839421</v>
      </c>
      <c r="AA82" s="21">
        <f>EXP(-LN(2)/25)*AA81+(1-EXP(-LN(2)/25))/(LN(2)/25)*Calculateur!V82*Calculateur!X82*VLOOKUP('Données projet'!$B$9,Paramètres!$A$1:$I$89,3,0)*0.475*44/12</f>
        <v>10.670504442360626</v>
      </c>
      <c r="AB82" s="21">
        <f>EXP(-LN(2)/2)*AB81+(1-EXP(-LN(2)/2))/(LN(2)/2)*V82*Y82*VLOOKUP('Données projet'!$B$9,Paramètres!$A$1:$I$89,3,0)*0.475*44/12</f>
        <v>4.9733122123447254E-7</v>
      </c>
      <c r="AC82" s="22">
        <f t="shared" si="57"/>
        <v>12.988711438275789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330.15282863041176</v>
      </c>
      <c r="T83" s="59">
        <f t="shared" si="88"/>
        <v>443.4702735944341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2.2727478831130576</v>
      </c>
      <c r="AA83" s="21">
        <f>EXP(-LN(2)/25)*AA82+(1-EXP(-LN(2)/25))/(LN(2)/25)*Calculateur!V83*Calculateur!X83*VLOOKUP('Données projet'!$B$9,Paramètres!$A$1:$I$89,3,0)*0.475*44/12</f>
        <v>10.378718937246834</v>
      </c>
      <c r="AB83" s="21">
        <f>EXP(-LN(2)/2)*AB82+(1-EXP(-LN(2)/2))/(LN(2)/2)*V83*Y83*VLOOKUP('Données projet'!$B$9,Paramètres!$A$1:$I$89,3,0)*0.475*44/12</f>
        <v>3.5166627903068263E-7</v>
      </c>
      <c r="AC83" s="22">
        <f t="shared" si="57"/>
        <v>12.65146717202617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330.15282863041176</v>
      </c>
      <c r="T84" s="59">
        <f t="shared" si="88"/>
        <v>443.4702735944341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2.2281806833645397</v>
      </c>
      <c r="AA84" s="21">
        <f>EXP(-LN(2)/25)*AA83+(1-EXP(-LN(2)/25))/(LN(2)/25)*Calculateur!V84*Calculateur!X84*VLOOKUP('Données projet'!$B$9,Paramètres!$A$1:$I$89,3,0)*0.475*44/12</f>
        <v>10.094912322114711</v>
      </c>
      <c r="AB84" s="21">
        <f>EXP(-LN(2)/2)*AB83+(1-EXP(-LN(2)/2))/(LN(2)/2)*V84*Y84*VLOOKUP('Données projet'!$B$9,Paramètres!$A$1:$I$89,3,0)*0.475*44/12</f>
        <v>2.4866561061723627E-7</v>
      </c>
      <c r="AC84" s="22">
        <f t="shared" si="57"/>
        <v>12.323093254144862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330.15282863041176</v>
      </c>
      <c r="T85" s="59">
        <f t="shared" si="88"/>
        <v>443.4702735944341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2.1844874192197823</v>
      </c>
      <c r="AA85" s="21">
        <f>EXP(-LN(2)/25)*AA84+(1-EXP(-LN(2)/25))/(LN(2)/25)*Calculateur!V85*Calculateur!X85*VLOOKUP('Données projet'!$B$9,Paramètres!$A$1:$I$89,3,0)*0.475*44/12</f>
        <v>9.8188664137981174</v>
      </c>
      <c r="AB85" s="21">
        <f>EXP(-LN(2)/2)*AB84+(1-EXP(-LN(2)/2))/(LN(2)/2)*V85*Y85*VLOOKUP('Données projet'!$B$9,Paramètres!$A$1:$I$89,3,0)*0.475*44/12</f>
        <v>1.7583313951534132E-7</v>
      </c>
      <c r="AC85" s="22">
        <f t="shared" si="57"/>
        <v>12.003354008851041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330.15282863041176</v>
      </c>
      <c r="T86" s="59">
        <f t="shared" si="88"/>
        <v>443.4702735944341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2.1416509533346439</v>
      </c>
      <c r="AA86" s="21">
        <f>EXP(-LN(2)/25)*AA85+(1-EXP(-LN(2)/25))/(LN(2)/25)*Calculateur!V86*Calculateur!X86*VLOOKUP('Données projet'!$B$9,Paramètres!$A$1:$I$89,3,0)*0.475*44/12</f>
        <v>9.5503689953610653</v>
      </c>
      <c r="AB86" s="21">
        <f>EXP(-LN(2)/2)*AB85+(1-EXP(-LN(2)/2))/(LN(2)/2)*V86*Y86*VLOOKUP('Données projet'!$B$9,Paramètres!$A$1:$I$89,3,0)*0.475*44/12</f>
        <v>1.2433280530861813E-7</v>
      </c>
      <c r="AC86" s="22">
        <f t="shared" si="57"/>
        <v>11.692020073028514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330.15282863041176</v>
      </c>
      <c r="T87" s="59">
        <f t="shared" si="88"/>
        <v>443.4702735944341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2.0996544844178491</v>
      </c>
      <c r="AA87" s="21">
        <f>EXP(-LN(2)/25)*AA86+(1-EXP(-LN(2)/25))/(LN(2)/25)*Calculateur!V87*Calculateur!X87*VLOOKUP('Données projet'!$B$9,Paramètres!$A$1:$I$89,3,0)*0.475*44/12</f>
        <v>9.2892136529508385</v>
      </c>
      <c r="AB87" s="21">
        <f>EXP(-LN(2)/2)*AB86+(1-EXP(-LN(2)/2))/(LN(2)/2)*V87*Y87*VLOOKUP('Données projet'!$B$9,Paramètres!$A$1:$I$89,3,0)*0.475*44/12</f>
        <v>8.7916569757670658E-8</v>
      </c>
      <c r="AC87" s="22">
        <f t="shared" si="57"/>
        <v>11.388868225285258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330.15282863041176</v>
      </c>
      <c r="T88" s="59">
        <f t="shared" si="88"/>
        <v>443.4702735944341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2.0584815406411958</v>
      </c>
      <c r="AA88" s="21">
        <f>EXP(-LN(2)/25)*AA87+(1-EXP(-LN(2)/25))/(LN(2)/25)*Calculateur!V88*Calculateur!X88*VLOOKUP('Données projet'!$B$9,Paramètres!$A$1:$I$89,3,0)*0.475*44/12</f>
        <v>9.035199617112383</v>
      </c>
      <c r="AB88" s="21">
        <f>EXP(-LN(2)/2)*AB87+(1-EXP(-LN(2)/2))/(LN(2)/2)*V88*Y88*VLOOKUP('Données projet'!$B$9,Paramètres!$A$1:$I$89,3,0)*0.475*44/12</f>
        <v>6.2166402654309067E-8</v>
      </c>
      <c r="AC88" s="22">
        <f t="shared" si="57"/>
        <v>11.093681219919981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330.15282863041176</v>
      </c>
      <c r="T89" s="59">
        <f t="shared" si="88"/>
        <v>443.4702735944341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2.0181159731789866</v>
      </c>
      <c r="AA89" s="21">
        <f>EXP(-LN(2)/25)*AA88+(1-EXP(-LN(2)/25))/(LN(2)/25)*Calculateur!V89*Calculateur!X89*VLOOKUP('Données projet'!$B$9,Paramètres!$A$1:$I$89,3,0)*0.475*44/12</f>
        <v>8.7881316084419474</v>
      </c>
      <c r="AB89" s="21">
        <f>EXP(-LN(2)/2)*AB88+(1-EXP(-LN(2)/2))/(LN(2)/2)*V89*Y89*VLOOKUP('Données projet'!$B$9,Paramètres!$A$1:$I$89,3,0)*0.475*44/12</f>
        <v>4.3958284878835329E-8</v>
      </c>
      <c r="AC89" s="22">
        <f t="shared" si="57"/>
        <v>10.806247625579218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330.15282863041176</v>
      </c>
      <c r="T90" s="59">
        <f t="shared" si="88"/>
        <v>443.4702735944341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1.9785419498741461</v>
      </c>
      <c r="AA90" s="21">
        <f>EXP(-LN(2)/25)*AA89+(1-EXP(-LN(2)/25))/(LN(2)/25)*Calculateur!V90*Calculateur!X90*VLOOKUP('Données projet'!$B$9,Paramètres!$A$1:$I$89,3,0)*0.475*44/12</f>
        <v>8.547819687461347</v>
      </c>
      <c r="AB90" s="21">
        <f>EXP(-LN(2)/2)*AB89+(1-EXP(-LN(2)/2))/(LN(2)/2)*V90*Y90*VLOOKUP('Données projet'!$B$9,Paramètres!$A$1:$I$89,3,0)*0.475*44/12</f>
        <v>3.1083201327154534E-8</v>
      </c>
      <c r="AC90" s="22">
        <f t="shared" si="57"/>
        <v>10.526361668418694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330.15282863041176</v>
      </c>
      <c r="T91" s="59">
        <f t="shared" si="88"/>
        <v>443.4702735944341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1.9397439490285429</v>
      </c>
      <c r="AA91" s="21">
        <f>EXP(-LN(2)/25)*AA90+(1-EXP(-LN(2)/25))/(LN(2)/25)*Calculateur!V91*Calculateur!X91*VLOOKUP('Données projet'!$B$9,Paramètres!$A$1:$I$89,3,0)*0.475*44/12</f>
        <v>8.3140791085974151</v>
      </c>
      <c r="AB91" s="21">
        <f>EXP(-LN(2)/2)*AB90+(1-EXP(-LN(2)/2))/(LN(2)/2)*V91*Y91*VLOOKUP('Données projet'!$B$9,Paramètres!$A$1:$I$89,3,0)*0.475*44/12</f>
        <v>2.1979142439417664E-8</v>
      </c>
      <c r="AC91" s="22">
        <f t="shared" si="57"/>
        <v>10.2538230796051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330.15282863041176</v>
      </c>
      <c r="T92" s="59">
        <f t="shared" si="88"/>
        <v>443.4702735944341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1.901706753315078</v>
      </c>
      <c r="AA92" s="21">
        <f>EXP(-LN(2)/25)*AA91+(1-EXP(-LN(2)/25))/(LN(2)/25)*Calculateur!V92*Calculateur!X92*VLOOKUP('Données projet'!$B$9,Paramètres!$A$1:$I$89,3,0)*0.475*44/12</f>
        <v>8.0867301781544008</v>
      </c>
      <c r="AB92" s="21">
        <f>EXP(-LN(2)/2)*AB91+(1-EXP(-LN(2)/2))/(LN(2)/2)*V92*Y92*VLOOKUP('Données projet'!$B$9,Paramètres!$A$1:$I$89,3,0)*0.475*44/12</f>
        <v>1.5541600663577267E-8</v>
      </c>
      <c r="AC92" s="22">
        <f t="shared" si="57"/>
        <v>9.9884369470110794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330.15282863041176</v>
      </c>
      <c r="T93" s="59">
        <f t="shared" si="88"/>
        <v>443.4702735944341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1.8644154438091556</v>
      </c>
      <c r="AA93" s="21">
        <f>EXP(-LN(2)/25)*AA92+(1-EXP(-LN(2)/25))/(LN(2)/25)*Calculateur!V93*Calculateur!X93*VLOOKUP('Données projet'!$B$9,Paramètres!$A$1:$I$89,3,0)*0.475*44/12</f>
        <v>7.8655981161701112</v>
      </c>
      <c r="AB93" s="21">
        <f>EXP(-LN(2)/2)*AB92+(1-EXP(-LN(2)/2))/(LN(2)/2)*V93*Y93*VLOOKUP('Données projet'!$B$9,Paramètres!$A$1:$I$89,3,0)*0.475*44/12</f>
        <v>1.0989571219708832E-8</v>
      </c>
      <c r="AC93" s="22">
        <f t="shared" si="57"/>
        <v>9.730013570968838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330.15282863041176</v>
      </c>
      <c r="T94" s="59">
        <f t="shared" si="88"/>
        <v>443.4702735944341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1.8278553941371916</v>
      </c>
      <c r="AA94" s="21">
        <f>EXP(-LN(2)/25)*AA93+(1-EXP(-LN(2)/25))/(LN(2)/25)*Calculateur!V94*Calculateur!X94*VLOOKUP('Données projet'!$B$9,Paramètres!$A$1:$I$89,3,0)*0.475*44/12</f>
        <v>7.6505129220496118</v>
      </c>
      <c r="AB94" s="21">
        <f>EXP(-LN(2)/2)*AB93+(1-EXP(-LN(2)/2))/(LN(2)/2)*V94*Y94*VLOOKUP('Données projet'!$B$9,Paramètres!$A$1:$I$89,3,0)*0.475*44/12</f>
        <v>7.7708003317886334E-9</v>
      </c>
      <c r="AC94" s="22">
        <f t="shared" si="57"/>
        <v>9.4783683239576035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330.15282863041176</v>
      </c>
      <c r="T95" s="59">
        <f t="shared" si="88"/>
        <v>443.4702735944341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1.7920122647398662</v>
      </c>
      <c r="AA95" s="21">
        <f>EXP(-LN(2)/25)*AA94+(1-EXP(-LN(2)/25))/(LN(2)/25)*Calculateur!V95*Calculateur!X95*VLOOKUP('Données projet'!$B$9,Paramètres!$A$1:$I$89,3,0)*0.475*44/12</f>
        <v>7.4413092438731763</v>
      </c>
      <c r="AB95" s="21">
        <f>EXP(-LN(2)/2)*AB94+(1-EXP(-LN(2)/2))/(LN(2)/2)*V95*Y95*VLOOKUP('Données projet'!$B$9,Paramètres!$A$1:$I$89,3,0)*0.475*44/12</f>
        <v>5.4947856098544161E-9</v>
      </c>
      <c r="AC95" s="22">
        <f t="shared" si="57"/>
        <v>9.2333215141078266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330.15282863041176</v>
      </c>
      <c r="T96" s="59">
        <f t="shared" si="88"/>
        <v>443.4702735944341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1.7568719972478721</v>
      </c>
      <c r="AA96" s="21">
        <f>EXP(-LN(2)/25)*AA95+(1-EXP(-LN(2)/25))/(LN(2)/25)*Calculateur!V96*Calculateur!X96*VLOOKUP('Données projet'!$B$9,Paramètres!$A$1:$I$89,3,0)*0.475*44/12</f>
        <v>7.237826251278018</v>
      </c>
      <c r="AB96" s="21">
        <f>EXP(-LN(2)/2)*AB95+(1-EXP(-LN(2)/2))/(LN(2)/2)*V96*Y96*VLOOKUP('Données projet'!$B$9,Paramètres!$A$1:$I$89,3,0)*0.475*44/12</f>
        <v>3.8854001658943167E-9</v>
      </c>
      <c r="AC96" s="22">
        <f t="shared" si="57"/>
        <v>8.9946982524112897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330.15282863041176</v>
      </c>
      <c r="T97" s="59">
        <f t="shared" si="88"/>
        <v>443.4702735944341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1.7224208089679494</v>
      </c>
      <c r="AA97" s="21">
        <f>EXP(-LN(2)/25)*AA96+(1-EXP(-LN(2)/25))/(LN(2)/25)*Calculateur!V97*Calculateur!X97*VLOOKUP('Données projet'!$B$9,Paramètres!$A$1:$I$89,3,0)*0.475*44/12</f>
        <v>7.0399075118160805</v>
      </c>
      <c r="AB97" s="21">
        <f>EXP(-LN(2)/2)*AB96+(1-EXP(-LN(2)/2))/(LN(2)/2)*V97*Y97*VLOOKUP('Données projet'!$B$9,Paramètres!$A$1:$I$89,3,0)*0.475*44/12</f>
        <v>2.7473928049272081E-9</v>
      </c>
      <c r="AC97" s="22">
        <f t="shared" si="57"/>
        <v>8.762328323531424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330.15282863041176</v>
      </c>
      <c r="T98" s="59">
        <f t="shared" si="88"/>
        <v>443.4702735944341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1.6886451874770458</v>
      </c>
      <c r="AA98" s="21">
        <f>EXP(-LN(2)/25)*AA97+(1-EXP(-LN(2)/25))/(LN(2)/25)*Calculateur!V98*Calculateur!X98*VLOOKUP('Données projet'!$B$9,Paramètres!$A$1:$I$89,3,0)*0.475*44/12</f>
        <v>6.847400870692824</v>
      </c>
      <c r="AB98" s="21">
        <f>EXP(-LN(2)/2)*AB97+(1-EXP(-LN(2)/2))/(LN(2)/2)*V98*Y98*VLOOKUP('Données projet'!$B$9,Paramètres!$A$1:$I$89,3,0)*0.475*44/12</f>
        <v>1.9427000829471584E-9</v>
      </c>
      <c r="AC98" s="22">
        <f t="shared" si="57"/>
        <v>8.5360460601125698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330.15282863041176</v>
      </c>
      <c r="T99" s="59">
        <f t="shared" si="88"/>
        <v>443.4702735944341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1.6555318853224841</v>
      </c>
      <c r="AA99" s="21">
        <f>EXP(-LN(2)/25)*AA98+(1-EXP(-LN(2)/25))/(LN(2)/25)*Calculateur!V99*Calculateur!X99*VLOOKUP('Données projet'!$B$9,Paramètres!$A$1:$I$89,3,0)*0.475*44/12</f>
        <v>6.6601583337945671</v>
      </c>
      <c r="AB99" s="21">
        <f>EXP(-LN(2)/2)*AB98+(1-EXP(-LN(2)/2))/(LN(2)/2)*V99*Y99*VLOOKUP('Données projet'!$B$9,Paramètres!$A$1:$I$89,3,0)*0.475*44/12</f>
        <v>1.373696402463604E-9</v>
      </c>
      <c r="AC99" s="22">
        <f t="shared" si="57"/>
        <v>8.3156902204907475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330.15282863041176</v>
      </c>
      <c r="T100" s="59">
        <f t="shared" si="88"/>
        <v>443.4702735944341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1.6230679148260532</v>
      </c>
      <c r="AA100" s="21">
        <f>EXP(-LN(2)/25)*AA99+(1-EXP(-LN(2)/25))/(LN(2)/25)*Calculateur!V100*Calculateur!X100*VLOOKUP('Données projet'!$B$9,Paramètres!$A$1:$I$89,3,0)*0.475*44/12</f>
        <v>6.4780359539144499</v>
      </c>
      <c r="AB100" s="21">
        <f>EXP(-LN(2)/2)*AB99+(1-EXP(-LN(2)/2))/(LN(2)/2)*V100*Y100*VLOOKUP('Données projet'!$B$9,Paramètres!$A$1:$I$89,3,0)*0.475*44/12</f>
        <v>9.7135004147357918E-10</v>
      </c>
      <c r="AC100" s="22">
        <f t="shared" si="57"/>
        <v>8.1011038697118529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330.15282863041176</v>
      </c>
      <c r="T101" s="59">
        <f t="shared" si="88"/>
        <v>443.4702735944341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1.5912405429899905</v>
      </c>
      <c r="AA101" s="21">
        <f>EXP(-LN(2)/25)*AA100+(1-EXP(-LN(2)/25))/(LN(2)/25)*Calculateur!V101*Calculateur!X101*VLOOKUP('Données projet'!$B$9,Paramètres!$A$1:$I$89,3,0)*0.475*44/12</f>
        <v>6.3008937200895545</v>
      </c>
      <c r="AB101" s="21">
        <f>EXP(-LN(2)/2)*AB100+(1-EXP(-LN(2)/2))/(LN(2)/2)*V101*Y101*VLOOKUP('Données projet'!$B$9,Paramètres!$A$1:$I$89,3,0)*0.475*44/12</f>
        <v>6.8684820123180201E-10</v>
      </c>
      <c r="AC101" s="22">
        <f t="shared" si="57"/>
        <v>7.8921342637663932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330.15282863041176</v>
      </c>
      <c r="T102" s="59">
        <f t="shared" si="88"/>
        <v>443.4702735944341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1.5600372865028531</v>
      </c>
      <c r="AA102" s="21">
        <f>EXP(-LN(2)/25)*AA101+(1-EXP(-LN(2)/25))/(LN(2)/25)*Calculateur!V102*Calculateur!X102*VLOOKUP('Données projet'!$B$9,Paramètres!$A$1:$I$89,3,0)*0.475*44/12</f>
        <v>6.1285954499641058</v>
      </c>
      <c r="AB102" s="21">
        <f>EXP(-LN(2)/2)*AB101+(1-EXP(-LN(2)/2))/(LN(2)/2)*V102*Y102*VLOOKUP('Données projet'!$B$9,Paramètres!$A$1:$I$89,3,0)*0.475*44/12</f>
        <v>4.8567502073678959E-10</v>
      </c>
      <c r="AC102" s="22">
        <f t="shared" si="57"/>
        <v>7.6886327369526333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330.15282863041176</v>
      </c>
      <c r="T103" s="59">
        <f t="shared" si="88"/>
        <v>443.4702735944341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1.5294459068433213</v>
      </c>
      <c r="AA103" s="21">
        <f>EXP(-LN(2)/25)*AA102+(1-EXP(-LN(2)/25))/(LN(2)/25)*Calculateur!V103*Calculateur!X103*VLOOKUP('Données projet'!$B$9,Paramètres!$A$1:$I$89,3,0)*0.475*44/12</f>
        <v>5.9610086850960098</v>
      </c>
      <c r="AB103" s="21">
        <f>EXP(-LN(2)/2)*AB102+(1-EXP(-LN(2)/2))/(LN(2)/2)*V103*Y103*VLOOKUP('Données projet'!$B$9,Paramètres!$A$1:$I$89,3,0)*0.475*44/12</f>
        <v>3.4342410061590101E-10</v>
      </c>
      <c r="AC103" s="22">
        <f t="shared" si="57"/>
        <v>7.490454592282755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330.15282863041176</v>
      </c>
      <c r="T104" s="59">
        <f t="shared" si="88"/>
        <v>443.4702735944341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1.4994544054800136</v>
      </c>
      <c r="AA104" s="21">
        <f>EXP(-LN(2)/25)*AA103+(1-EXP(-LN(2)/25))/(LN(2)/25)*Calculateur!V104*Calculateur!X104*VLOOKUP('Données projet'!$B$9,Paramètres!$A$1:$I$89,3,0)*0.475*44/12</f>
        <v>5.7980045891262364</v>
      </c>
      <c r="AB104" s="21">
        <f>EXP(-LN(2)/2)*AB103+(1-EXP(-LN(2)/2))/(LN(2)/2)*V104*Y104*VLOOKUP('Données projet'!$B$9,Paramètres!$A$1:$I$89,3,0)*0.475*44/12</f>
        <v>2.4283751036839479E-10</v>
      </c>
      <c r="AC104" s="22">
        <f t="shared" si="57"/>
        <v>7.2974589948490882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330.15282863041176</v>
      </c>
      <c r="T105" s="59">
        <f t="shared" si="88"/>
        <v>443.4702735944341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1.470051019165431</v>
      </c>
      <c r="AA105" s="21">
        <f>EXP(-LN(2)/25)*AA104+(1-EXP(-LN(2)/25))/(LN(2)/25)*Calculateur!V105*Calculateur!X105*VLOOKUP('Données projet'!$B$9,Paramètres!$A$1:$I$89,3,0)*0.475*44/12</f>
        <v>5.6394578487327696</v>
      </c>
      <c r="AB105" s="21">
        <f>EXP(-LN(2)/2)*AB104+(1-EXP(-LN(2)/2))/(LN(2)/2)*V105*Y105*VLOOKUP('Données projet'!$B$9,Paramètres!$A$1:$I$89,3,0)*0.475*44/12</f>
        <v>1.717120503079505E-10</v>
      </c>
      <c r="AC105" s="22">
        <f t="shared" si="57"/>
        <v>7.1095088680699128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330.15282863041176</v>
      </c>
      <c r="T106" s="59">
        <f t="shared" si="88"/>
        <v>443.4702735944341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1.4412242153221826</v>
      </c>
      <c r="AA106" s="21">
        <f>EXP(-LN(2)/25)*AA105+(1-EXP(-LN(2)/25))/(LN(2)/25)*Calculateur!V106*Calculateur!X106*VLOOKUP('Données projet'!$B$9,Paramètres!$A$1:$I$89,3,0)*0.475*44/12</f>
        <v>5.4852465772929726</v>
      </c>
      <c r="AB106" s="21">
        <f>EXP(-LN(2)/2)*AB105+(1-EXP(-LN(2)/2))/(LN(2)/2)*V106*Y106*VLOOKUP('Données projet'!$B$9,Paramètres!$A$1:$I$89,3,0)*0.475*44/12</f>
        <v>1.214187551841974E-10</v>
      </c>
      <c r="AC106" s="22">
        <f t="shared" si="57"/>
        <v>6.9264707927365734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330.15282863041176</v>
      </c>
      <c r="T107" s="59">
        <f t="shared" si="88"/>
        <v>443.4702735944341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1.4129626875196859</v>
      </c>
      <c r="AA107" s="21">
        <f>EXP(-LN(2)/25)*AA106+(1-EXP(-LN(2)/25))/(LN(2)/25)*Calculateur!V107*Calculateur!X107*VLOOKUP('Données projet'!$B$9,Paramètres!$A$1:$I$89,3,0)*0.475*44/12</f>
        <v>5.3352522211803155</v>
      </c>
      <c r="AB107" s="21">
        <f>EXP(-LN(2)/2)*AB106+(1-EXP(-LN(2)/2))/(LN(2)/2)*V107*Y107*VLOOKUP('Données projet'!$B$9,Paramètres!$A$1:$I$89,3,0)*0.475*44/12</f>
        <v>8.5856025153975252E-11</v>
      </c>
      <c r="AC107" s="22">
        <f t="shared" si="57"/>
        <v>6.7482149087858572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330.15282863041176</v>
      </c>
      <c r="T108" s="59">
        <f t="shared" si="88"/>
        <v>443.4702735944341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1.3852553510395664</v>
      </c>
      <c r="AA108" s="21">
        <f>EXP(-LN(2)/25)*AA107+(1-EXP(-LN(2)/25))/(LN(2)/25)*Calculateur!V108*Calculateur!X108*VLOOKUP('Données projet'!$B$9,Paramètres!$A$1:$I$89,3,0)*0.475*44/12</f>
        <v>5.1893594686234197</v>
      </c>
      <c r="AB108" s="21">
        <f>EXP(-LN(2)/2)*AB107+(1-EXP(-LN(2)/2))/(LN(2)/2)*V108*Y108*VLOOKUP('Données projet'!$B$9,Paramètres!$A$1:$I$89,3,0)*0.475*44/12</f>
        <v>6.0709377592098699E-11</v>
      </c>
      <c r="AC108" s="22">
        <f t="shared" si="57"/>
        <v>6.5746148197236955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330.15282863041176</v>
      </c>
      <c r="T109" s="59">
        <f t="shared" si="88"/>
        <v>443.4702735944341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1.3580913385280156</v>
      </c>
      <c r="AA109" s="21">
        <f>EXP(-LN(2)/25)*AA108+(1-EXP(-LN(2)/25))/(LN(2)/25)*Calculateur!V109*Calculateur!X109*VLOOKUP('Données projet'!$B$9,Paramètres!$A$1:$I$89,3,0)*0.475*44/12</f>
        <v>5.0474561610573581</v>
      </c>
      <c r="AB109" s="21">
        <f>EXP(-LN(2)/2)*AB108+(1-EXP(-LN(2)/2))/(LN(2)/2)*V109*Y109*VLOOKUP('Données projet'!$B$9,Paramètres!$A$1:$I$89,3,0)*0.475*44/12</f>
        <v>4.2928012576987626E-11</v>
      </c>
      <c r="AC109" s="22">
        <f t="shared" si="57"/>
        <v>6.4055474996283017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330.15282863041176</v>
      </c>
      <c r="T110" s="59">
        <f t="shared" si="88"/>
        <v>443.4702735944341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1.3314599957334046</v>
      </c>
      <c r="AA110" s="21">
        <f>EXP(-LN(2)/25)*AA109+(1-EXP(-LN(2)/25))/(LN(2)/25)*Calculateur!V110*Calculateur!X110*VLOOKUP('Données projet'!$B$9,Paramètres!$A$1:$I$89,3,0)*0.475*44/12</f>
        <v>4.9094332068990614</v>
      </c>
      <c r="AB110" s="21">
        <f>EXP(-LN(2)/2)*AB109+(1-EXP(-LN(2)/2))/(LN(2)/2)*V110*Y110*VLOOKUP('Données projet'!$B$9,Paramètres!$A$1:$I$89,3,0)*0.475*44/12</f>
        <v>3.0354688796049349E-11</v>
      </c>
      <c r="AC110" s="22">
        <f t="shared" si="57"/>
        <v>6.2408932026628205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330.15282863041176</v>
      </c>
      <c r="T111" s="59">
        <f t="shared" si="88"/>
        <v>443.4702735944341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1.3053508773274807</v>
      </c>
      <c r="AA111" s="21">
        <f>EXP(-LN(2)/25)*AA110+(1-EXP(-LN(2)/25))/(LN(2)/25)*Calculateur!V111*Calculateur!X111*VLOOKUP('Données projet'!$B$9,Paramètres!$A$1:$I$89,3,0)*0.475*44/12</f>
        <v>4.7751844976805344</v>
      </c>
      <c r="AB111" s="21">
        <f>EXP(-LN(2)/2)*AB110+(1-EXP(-LN(2)/2))/(LN(2)/2)*V111*Y111*VLOOKUP('Données projet'!$B$9,Paramètres!$A$1:$I$89,3,0)*0.475*44/12</f>
        <v>2.1464006288493813E-11</v>
      </c>
      <c r="AC111" s="22">
        <f t="shared" si="57"/>
        <v>6.0805353750294788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330.15282863041176</v>
      </c>
      <c r="T112" s="59">
        <f t="shared" si="88"/>
        <v>443.4702735944341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1.2797537428085071</v>
      </c>
      <c r="AA112" s="21">
        <f>EXP(-LN(2)/25)*AA111+(1-EXP(-LN(2)/25))/(LN(2)/25)*Calculateur!V112*Calculateur!X112*VLOOKUP('Données projet'!$B$9,Paramètres!$A$1:$I$89,3,0)*0.475*44/12</f>
        <v>4.644606826475421</v>
      </c>
      <c r="AB112" s="21">
        <f>EXP(-LN(2)/2)*AB111+(1-EXP(-LN(2)/2))/(LN(2)/2)*V112*Y112*VLOOKUP('Données projet'!$B$9,Paramètres!$A$1:$I$89,3,0)*0.475*44/12</f>
        <v>1.5177344398024675E-11</v>
      </c>
      <c r="AC112" s="22">
        <f t="shared" si="57"/>
        <v>5.9243605692991057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330.15282863041176</v>
      </c>
      <c r="T113" s="59">
        <f t="shared" si="88"/>
        <v>443.4702735944341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1.2546585524847402</v>
      </c>
      <c r="AA113" s="21">
        <f>EXP(-LN(2)/25)*AA112+(1-EXP(-LN(2)/25))/(LN(2)/25)*Calculateur!V113*Calculateur!X113*VLOOKUP('Données projet'!$B$9,Paramètres!$A$1:$I$89,3,0)*0.475*44/12</f>
        <v>4.5175998085561933</v>
      </c>
      <c r="AB113" s="21">
        <f>EXP(-LN(2)/2)*AB112+(1-EXP(-LN(2)/2))/(LN(2)/2)*V113*Y113*VLOOKUP('Données projet'!$B$9,Paramètres!$A$1:$I$89,3,0)*0.475*44/12</f>
        <v>1.0732003144246906E-11</v>
      </c>
      <c r="AC113" s="22">
        <f t="shared" si="57"/>
        <v>5.7722583610516649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330.15282863041176</v>
      </c>
      <c r="T114" s="59">
        <f t="shared" si="88"/>
        <v>443.4702735944341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1.2300554635366678</v>
      </c>
      <c r="AA114" s="21">
        <f>EXP(-LN(2)/25)*AA113+(1-EXP(-LN(2)/25))/(LN(2)/25)*Calculateur!V114*Calculateur!X114*VLOOKUP('Données projet'!$B$9,Paramètres!$A$1:$I$89,3,0)*0.475*44/12</f>
        <v>4.3940658042209755</v>
      </c>
      <c r="AB114" s="21">
        <f>EXP(-LN(2)/2)*AB113+(1-EXP(-LN(2)/2))/(LN(2)/2)*V114*Y114*VLOOKUP('Données projet'!$B$9,Paramètres!$A$1:$I$89,3,0)*0.475*44/12</f>
        <v>7.5886721990123373E-12</v>
      </c>
      <c r="AC114" s="22">
        <f t="shared" si="57"/>
        <v>5.6241212677652319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330.15282863041176</v>
      </c>
      <c r="T115" s="59">
        <f t="shared" si="88"/>
        <v>443.4702735944341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1.2059348261564646</v>
      </c>
      <c r="AA115" s="21">
        <f>EXP(-LN(2)/25)*AA114+(1-EXP(-LN(2)/25))/(LN(2)/25)*Calculateur!V115*Calculateur!X115*VLOOKUP('Données projet'!$B$9,Paramètres!$A$1:$I$89,3,0)*0.475*44/12</f>
        <v>4.2739098437306753</v>
      </c>
      <c r="AB115" s="21">
        <f>EXP(-LN(2)/2)*AB114+(1-EXP(-LN(2)/2))/(LN(2)/2)*V115*Y115*VLOOKUP('Données projet'!$B$9,Paramètres!$A$1:$I$89,3,0)*0.475*44/12</f>
        <v>5.3660015721234532E-12</v>
      </c>
      <c r="AC115" s="22">
        <f t="shared" si="57"/>
        <v>5.4798446698925058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330.15282863041176</v>
      </c>
      <c r="T116" s="59">
        <f t="shared" si="88"/>
        <v>443.4702735944341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1.1822871797631511</v>
      </c>
      <c r="AA116" s="21">
        <f>EXP(-LN(2)/25)*AA115+(1-EXP(-LN(2)/25))/(LN(2)/25)*Calculateur!V116*Calculateur!X116*VLOOKUP('Données projet'!$B$9,Paramètres!$A$1:$I$89,3,0)*0.475*44/12</f>
        <v>4.1570395542987093</v>
      </c>
      <c r="AB116" s="21">
        <f>EXP(-LN(2)/2)*AB115+(1-EXP(-LN(2)/2))/(LN(2)/2)*V116*Y116*VLOOKUP('Données projet'!$B$9,Paramètres!$A$1:$I$89,3,0)*0.475*44/12</f>
        <v>3.7943360995061687E-12</v>
      </c>
      <c r="AC116" s="22">
        <f t="shared" si="57"/>
        <v>5.3393267340656543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330.15282863041176</v>
      </c>
      <c r="T117" s="59">
        <f t="shared" si="88"/>
        <v>443.4702735944341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1.1591032492919704</v>
      </c>
      <c r="AA117" s="21">
        <f>EXP(-LN(2)/25)*AA116+(1-EXP(-LN(2)/25))/(LN(2)/25)*Calculateur!V117*Calculateur!X117*VLOOKUP('Données projet'!$B$9,Paramètres!$A$1:$I$89,3,0)*0.475*44/12</f>
        <v>4.0433650890772022</v>
      </c>
      <c r="AB117" s="21">
        <f>EXP(-LN(2)/2)*AB116+(1-EXP(-LN(2)/2))/(LN(2)/2)*V117*Y117*VLOOKUP('Données projet'!$B$9,Paramètres!$A$1:$I$89,3,0)*0.475*44/12</f>
        <v>2.6830007860617266E-12</v>
      </c>
      <c r="AC117" s="22">
        <f t="shared" si="57"/>
        <v>5.2024683383718555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330.15282863041176</v>
      </c>
      <c r="T118" s="59">
        <f t="shared" si="88"/>
        <v>443.4702735944341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1.1363739415565282</v>
      </c>
      <c r="AA118" s="21">
        <f>EXP(-LN(2)/25)*AA117+(1-EXP(-LN(2)/25))/(LN(2)/25)*Calculateur!V118*Calculateur!X118*VLOOKUP('Données projet'!$B$9,Paramètres!$A$1:$I$89,3,0)*0.475*44/12</f>
        <v>3.9327990580850574</v>
      </c>
      <c r="AB118" s="21">
        <f>EXP(-LN(2)/2)*AB117+(1-EXP(-LN(2)/2))/(LN(2)/2)*V118*Y118*VLOOKUP('Données projet'!$B$9,Paramètres!$A$1:$I$89,3,0)*0.475*44/12</f>
        <v>1.8971680497530843E-12</v>
      </c>
      <c r="AC118" s="22">
        <f t="shared" si="57"/>
        <v>5.0691729996434827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330.15282863041176</v>
      </c>
      <c r="T119" s="59">
        <f t="shared" si="88"/>
        <v>443.4702735944341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1.1140903416822692</v>
      </c>
      <c r="AA119" s="21">
        <f>EXP(-LN(2)/25)*AA118+(1-EXP(-LN(2)/25))/(LN(2)/25)*Calculateur!V119*Calculateur!X119*VLOOKUP('Données projet'!$B$9,Paramètres!$A$1:$I$89,3,0)*0.475*44/12</f>
        <v>3.8252564610248077</v>
      </c>
      <c r="AB119" s="21">
        <f>EXP(-LN(2)/2)*AB118+(1-EXP(-LN(2)/2))/(LN(2)/2)*V119*Y119*VLOOKUP('Données projet'!$B$9,Paramètres!$A$1:$I$89,3,0)*0.475*44/12</f>
        <v>1.3415003930308633E-12</v>
      </c>
      <c r="AC119" s="22">
        <f t="shared" si="57"/>
        <v>4.9393468027084175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330.15282863041176</v>
      </c>
      <c r="T120" s="59">
        <f t="shared" si="88"/>
        <v>443.4702735944341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1.0922437096098905</v>
      </c>
      <c r="AA120" s="21">
        <f>EXP(-LN(2)/25)*AA119+(1-EXP(-LN(2)/25))/(LN(2)/25)*Calculateur!V120*Calculateur!X120*VLOOKUP('Données projet'!$B$9,Paramètres!$A$1:$I$89,3,0)*0.475*44/12</f>
        <v>3.7206546219365899</v>
      </c>
      <c r="AB120" s="21">
        <f>EXP(-LN(2)/2)*AB119+(1-EXP(-LN(2)/2))/(LN(2)/2)*V120*Y120*VLOOKUP('Données projet'!$B$9,Paramètres!$A$1:$I$89,3,0)*0.475*44/12</f>
        <v>9.4858402487654217E-13</v>
      </c>
      <c r="AC120" s="22">
        <f t="shared" si="57"/>
        <v>4.8128983315474292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330.15282863041176</v>
      </c>
      <c r="T121" s="59">
        <f t="shared" si="88"/>
        <v>443.4702735944341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1.0708254766673213</v>
      </c>
      <c r="AA121" s="21">
        <f>EXP(-LN(2)/25)*AA120+(1-EXP(-LN(2)/25))/(LN(2)/25)*Calculateur!V121*Calculateur!X121*VLOOKUP('Données projet'!$B$9,Paramètres!$A$1:$I$89,3,0)*0.475*44/12</f>
        <v>3.6189131256390108</v>
      </c>
      <c r="AB121" s="21">
        <f>EXP(-LN(2)/2)*AB120+(1-EXP(-LN(2)/2))/(LN(2)/2)*V121*Y121*VLOOKUP('Données projet'!$B$9,Paramètres!$A$1:$I$89,3,0)*0.475*44/12</f>
        <v>6.7075019651543165E-13</v>
      </c>
      <c r="AC121" s="22">
        <f t="shared" si="57"/>
        <v>4.6897386023070027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330.15282863041176</v>
      </c>
      <c r="T122" s="59">
        <f t="shared" si="88"/>
        <v>443.4702735944341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1.0498272422089239</v>
      </c>
      <c r="AA122" s="21">
        <f>EXP(-LN(2)/25)*AA121+(1-EXP(-LN(2)/25))/(LN(2)/25)*Calculateur!V122*Calculateur!X122*VLOOKUP('Données projet'!$B$9,Paramètres!$A$1:$I$89,3,0)*0.475*44/12</f>
        <v>3.519953755908042</v>
      </c>
      <c r="AB122" s="21">
        <f>EXP(-LN(2)/2)*AB121+(1-EXP(-LN(2)/2))/(LN(2)/2)*V122*Y122*VLOOKUP('Données projet'!$B$9,Paramètres!$A$1:$I$89,3,0)*0.475*44/12</f>
        <v>4.7429201243827108E-13</v>
      </c>
      <c r="AC122" s="22">
        <f t="shared" si="57"/>
        <v>4.56978099811744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330.15282863041176</v>
      </c>
      <c r="T123" s="59">
        <f t="shared" si="88"/>
        <v>443.4702735944341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1.0292407703205972</v>
      </c>
      <c r="AA123" s="21">
        <f>EXP(-LN(2)/25)*AA122+(1-EXP(-LN(2)/25))/(LN(2)/25)*Calculateur!V123*Calculateur!X123*VLOOKUP('Données projet'!$B$9,Paramètres!$A$1:$I$89,3,0)*0.475*44/12</f>
        <v>3.4237004353464138</v>
      </c>
      <c r="AB123" s="21">
        <f>EXP(-LN(2)/2)*AB122+(1-EXP(-LN(2)/2))/(LN(2)/2)*V123*Y123*VLOOKUP('Données projet'!$B$9,Paramètres!$A$1:$I$89,3,0)*0.475*44/12</f>
        <v>3.3537509825771583E-13</v>
      </c>
      <c r="AC123" s="22">
        <f t="shared" si="57"/>
        <v>4.4529412056673472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330.15282863041176</v>
      </c>
      <c r="T124" s="59">
        <f t="shared" si="88"/>
        <v>443.4702735944341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1.0090579865894926</v>
      </c>
      <c r="AA124" s="21">
        <f>EXP(-LN(2)/25)*AA123+(1-EXP(-LN(2)/25))/(LN(2)/25)*Calculateur!V124*Calculateur!X124*VLOOKUP('Données projet'!$B$9,Paramètres!$A$1:$I$89,3,0)*0.475*44/12</f>
        <v>3.3300791668972853</v>
      </c>
      <c r="AB124" s="21">
        <f>EXP(-LN(2)/2)*AB123+(1-EXP(-LN(2)/2))/(LN(2)/2)*V124*Y124*VLOOKUP('Données projet'!$B$9,Paramètres!$A$1:$I$89,3,0)*0.475*44/12</f>
        <v>2.3714600621913554E-13</v>
      </c>
      <c r="AC124" s="22">
        <f t="shared" si="57"/>
        <v>4.3391371534870151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330.15282863041176</v>
      </c>
      <c r="T125" s="59">
        <f t="shared" si="88"/>
        <v>443.4702735944341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0.98927097493707239</v>
      </c>
      <c r="AA125" s="21">
        <f>EXP(-LN(2)/25)*AA124+(1-EXP(-LN(2)/25))/(LN(2)/25)*Calculateur!V125*Calculateur!X125*VLOOKUP('Données projet'!$B$9,Paramètres!$A$1:$I$89,3,0)*0.475*44/12</f>
        <v>3.2390179769572267</v>
      </c>
      <c r="AB125" s="21">
        <f>EXP(-LN(2)/2)*AB124+(1-EXP(-LN(2)/2))/(LN(2)/2)*V125*Y125*VLOOKUP('Données projet'!$B$9,Paramètres!$A$1:$I$89,3,0)*0.475*44/12</f>
        <v>1.6768754912885791E-13</v>
      </c>
      <c r="AC125" s="22">
        <f t="shared" si="57"/>
        <v>4.2282889518944673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330.15282863041176</v>
      </c>
      <c r="T126" s="59">
        <f t="shared" si="88"/>
        <v>443.4702735944341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0.96987197451427076</v>
      </c>
      <c r="AA126" s="21">
        <f>EXP(-LN(2)/25)*AA125+(1-EXP(-LN(2)/25))/(LN(2)/25)*Calculateur!V126*Calculateur!X126*VLOOKUP('Données projet'!$B$9,Paramètres!$A$1:$I$89,3,0)*0.475*44/12</f>
        <v>3.150446860044779</v>
      </c>
      <c r="AB126" s="21">
        <f>EXP(-LN(2)/2)*AB125+(1-EXP(-LN(2)/2))/(LN(2)/2)*V126*Y126*VLOOKUP('Données projet'!$B$9,Paramètres!$A$1:$I$89,3,0)*0.475*44/12</f>
        <v>1.1857300310956777E-13</v>
      </c>
      <c r="AC126" s="22">
        <f t="shared" si="57"/>
        <v>4.1203188345591686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330.15282863041176</v>
      </c>
      <c r="T127" s="59">
        <f t="shared" si="88"/>
        <v>443.4702735944341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0.95085337665753833</v>
      </c>
      <c r="AA127" s="21">
        <f>EXP(-LN(2)/25)*AA126+(1-EXP(-LN(2)/25))/(LN(2)/25)*Calculateur!V127*Calculateur!X127*VLOOKUP('Données projet'!$B$9,Paramètres!$A$1:$I$89,3,0)*0.475*44/12</f>
        <v>3.0642977249820547</v>
      </c>
      <c r="AB127" s="21">
        <f>EXP(-LN(2)/2)*AB126+(1-EXP(-LN(2)/2))/(LN(2)/2)*V127*Y127*VLOOKUP('Données projet'!$B$9,Paramètres!$A$1:$I$89,3,0)*0.475*44/12</f>
        <v>8.3843774564428957E-14</v>
      </c>
      <c r="AC127" s="22">
        <f t="shared" si="57"/>
        <v>4.0151511016396766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330.15282863041176</v>
      </c>
      <c r="T128" s="59">
        <f t="shared" si="88"/>
        <v>443.4702735944341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0.93220772190457712</v>
      </c>
      <c r="AA128" s="21">
        <f>EXP(-LN(2)/25)*AA127+(1-EXP(-LN(2)/25))/(LN(2)/25)*Calculateur!V128*Calculateur!X128*VLOOKUP('Données projet'!$B$9,Paramètres!$A$1:$I$89,3,0)*0.475*44/12</f>
        <v>2.9805043425480067</v>
      </c>
      <c r="AB128" s="21">
        <f>EXP(-LN(2)/2)*AB127+(1-EXP(-LN(2)/2))/(LN(2)/2)*V128*Y128*VLOOKUP('Données projet'!$B$9,Paramètres!$A$1:$I$89,3,0)*0.475*44/12</f>
        <v>5.9286501554783885E-14</v>
      </c>
      <c r="AC128" s="22">
        <f t="shared" si="57"/>
        <v>3.9127120644526432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330.15282863041176</v>
      </c>
      <c r="T129" s="59">
        <f t="shared" si="88"/>
        <v>443.4702735944341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0.91392769706859511</v>
      </c>
      <c r="AA129" s="21">
        <f>EXP(-LN(2)/25)*AA128+(1-EXP(-LN(2)/25))/(LN(2)/25)*Calculateur!V129*Calculateur!X129*VLOOKUP('Données projet'!$B$9,Paramètres!$A$1:$I$89,3,0)*0.475*44/12</f>
        <v>2.89900229456312</v>
      </c>
      <c r="AB129" s="21">
        <f>EXP(-LN(2)/2)*AB128+(1-EXP(-LN(2)/2))/(LN(2)/2)*V129*Y129*VLOOKUP('Données projet'!$B$9,Paramètres!$A$1:$I$89,3,0)*0.475*44/12</f>
        <v>4.1921887282214478E-14</v>
      </c>
      <c r="AC129" s="22">
        <f t="shared" si="57"/>
        <v>3.8129299916317567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330.15282863041176</v>
      </c>
      <c r="T130" s="59">
        <f t="shared" si="88"/>
        <v>443.4702735944341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0.89600613236993243</v>
      </c>
      <c r="AA130" s="21">
        <f>EXP(-LN(2)/25)*AA129+(1-EXP(-LN(2)/25))/(LN(2)/25)*Calculateur!V130*Calculateur!X130*VLOOKUP('Données projet'!$B$9,Paramètres!$A$1:$I$89,3,0)*0.475*44/12</f>
        <v>2.8197289243663866</v>
      </c>
      <c r="AB130" s="21">
        <f>EXP(-LN(2)/2)*AB129+(1-EXP(-LN(2)/2))/(LN(2)/2)*V130*Y130*VLOOKUP('Données projet'!$B$9,Paramètres!$A$1:$I$89,3,0)*0.475*44/12</f>
        <v>2.9643250777391943E-14</v>
      </c>
      <c r="AC130" s="22">
        <f t="shared" si="57"/>
        <v>3.715735056736349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330.15282863041176</v>
      </c>
      <c r="T131" s="59">
        <f t="shared" si="88"/>
        <v>443.4702735944341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0.8784359986239354</v>
      </c>
      <c r="AA131" s="21">
        <f>EXP(-LN(2)/25)*AA130+(1-EXP(-LN(2)/25))/(LN(2)/25)*Calculateur!V131*Calculateur!X131*VLOOKUP('Données projet'!$B$9,Paramètres!$A$1:$I$89,3,0)*0.475*44/12</f>
        <v>2.7426232886464881</v>
      </c>
      <c r="AB131" s="21">
        <f>EXP(-LN(2)/2)*AB130+(1-EXP(-LN(2)/2))/(LN(2)/2)*V131*Y131*VLOOKUP('Données projet'!$B$9,Paramètres!$A$1:$I$89,3,0)*0.475*44/12</f>
        <v>2.0960943641107239E-14</v>
      </c>
      <c r="AC131" s="22">
        <f t="shared" si="57"/>
        <v>3.6210592872704441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330.15282863041176</v>
      </c>
      <c r="T132" s="59">
        <f t="shared" si="88"/>
        <v>443.4702735944341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0.86121040448397401</v>
      </c>
      <c r="AA132" s="21">
        <f>EXP(-LN(2)/25)*AA131+(1-EXP(-LN(2)/25))/(LN(2)/25)*Calculateur!V132*Calculateur!X132*VLOOKUP('Données projet'!$B$9,Paramètres!$A$1:$I$89,3,0)*0.475*44/12</f>
        <v>2.6676261105901595</v>
      </c>
      <c r="AB132" s="21">
        <f>EXP(-LN(2)/2)*AB131+(1-EXP(-LN(2)/2))/(LN(2)/2)*V132*Y132*VLOOKUP('Données projet'!$B$9,Paramètres!$A$1:$I$89,3,0)*0.475*44/12</f>
        <v>1.4821625388695971E-14</v>
      </c>
      <c r="AC132" s="22">
        <f t="shared" ref="AC132:AC153" si="111">SUM(Z132:AB132)</f>
        <v>3.5288365150741483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330.15282863041176</v>
      </c>
      <c r="T133" s="59">
        <f t="shared" ref="T133:T196" si="142">$T$3</f>
        <v>443.4702735944341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0.84432259373852225</v>
      </c>
      <c r="AA133" s="21">
        <f>EXP(-LN(2)/25)*AA132+(1-EXP(-LN(2)/25))/(LN(2)/25)*Calculateur!V133*Calculateur!X133*VLOOKUP('Données projet'!$B$9,Paramètres!$A$1:$I$89,3,0)*0.475*44/12</f>
        <v>2.5946797343117116</v>
      </c>
      <c r="AB133" s="21">
        <f>EXP(-LN(2)/2)*AB132+(1-EXP(-LN(2)/2))/(LN(2)/2)*V133*Y133*VLOOKUP('Données projet'!$B$9,Paramètres!$A$1:$I$89,3,0)*0.475*44/12</f>
        <v>1.048047182055362E-14</v>
      </c>
      <c r="AC133" s="22">
        <f t="shared" si="111"/>
        <v>3.4390023280502446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330.15282863041176</v>
      </c>
      <c r="T134" s="59">
        <f t="shared" si="142"/>
        <v>443.4702735944341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0.82776594266124137</v>
      </c>
      <c r="AA134" s="21">
        <f>EXP(-LN(2)/25)*AA133+(1-EXP(-LN(2)/25))/(LN(2)/25)*Calculateur!V134*Calculateur!X134*VLOOKUP('Données projet'!$B$9,Paramètres!$A$1:$I$89,3,0)*0.475*44/12</f>
        <v>2.5237280805286808</v>
      </c>
      <c r="AB134" s="21">
        <f>EXP(-LN(2)/2)*AB133+(1-EXP(-LN(2)/2))/(LN(2)/2)*V134*Y134*VLOOKUP('Données projet'!$B$9,Paramètres!$A$1:$I$89,3,0)*0.475*44/12</f>
        <v>7.4108126943479857E-15</v>
      </c>
      <c r="AC134" s="22">
        <f t="shared" si="111"/>
        <v>3.3514940231899297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330.15282863041176</v>
      </c>
      <c r="T135" s="59">
        <f t="shared" si="142"/>
        <v>443.4702735944341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0.81153395741302592</v>
      </c>
      <c r="AA135" s="21">
        <f>EXP(-LN(2)/25)*AA134+(1-EXP(-LN(2)/25))/(LN(2)/25)*Calculateur!V135*Calculateur!X135*VLOOKUP('Données projet'!$B$9,Paramètres!$A$1:$I$89,3,0)*0.475*44/12</f>
        <v>2.4547166034495325</v>
      </c>
      <c r="AB135" s="21">
        <f>EXP(-LN(2)/2)*AB134+(1-EXP(-LN(2)/2))/(LN(2)/2)*V135*Y135*VLOOKUP('Données projet'!$B$9,Paramètres!$A$1:$I$89,3,0)*0.475*44/12</f>
        <v>5.2402359102768098E-15</v>
      </c>
      <c r="AC135" s="22">
        <f t="shared" si="111"/>
        <v>3.2662505608625638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330.15282863041176</v>
      </c>
      <c r="T136" s="59">
        <f t="shared" si="142"/>
        <v>443.4702735944341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0.79562027149499459</v>
      </c>
      <c r="AA136" s="21">
        <f>EXP(-LN(2)/25)*AA135+(1-EXP(-LN(2)/25))/(LN(2)/25)*Calculateur!V136*Calculateur!X136*VLOOKUP('Données projet'!$B$9,Paramètres!$A$1:$I$89,3,0)*0.475*44/12</f>
        <v>2.387592248840269</v>
      </c>
      <c r="AB136" s="21">
        <f>EXP(-LN(2)/2)*AB135+(1-EXP(-LN(2)/2))/(LN(2)/2)*V136*Y136*VLOOKUP('Données projet'!$B$9,Paramètres!$A$1:$I$89,3,0)*0.475*44/12</f>
        <v>3.7054063471739928E-15</v>
      </c>
      <c r="AC136" s="22">
        <f t="shared" si="111"/>
        <v>3.183212520335267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330.15282863041176</v>
      </c>
      <c r="T137" s="59">
        <f t="shared" si="142"/>
        <v>443.4702735944341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0.78001864325142589</v>
      </c>
      <c r="AA137" s="21">
        <f>EXP(-LN(2)/25)*AA136+(1-EXP(-LN(2)/25))/(LN(2)/25)*Calculateur!V137*Calculateur!X137*VLOOKUP('Données projet'!$B$9,Paramètres!$A$1:$I$89,3,0)*0.475*44/12</f>
        <v>2.3223034132377123</v>
      </c>
      <c r="AB137" s="21">
        <f>EXP(-LN(2)/2)*AB136+(1-EXP(-LN(2)/2))/(LN(2)/2)*V137*Y137*VLOOKUP('Données projet'!$B$9,Paramètres!$A$1:$I$89,3,0)*0.475*44/12</f>
        <v>2.6201179551384049E-15</v>
      </c>
      <c r="AC137" s="22">
        <f t="shared" si="111"/>
        <v>3.1023220564891409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330.15282863041176</v>
      </c>
      <c r="T138" s="59">
        <f t="shared" si="142"/>
        <v>443.4702735944341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0.76472295342165997</v>
      </c>
      <c r="AA138" s="21">
        <f>EXP(-LN(2)/25)*AA137+(1-EXP(-LN(2)/25))/(LN(2)/25)*Calculateur!V138*Calculateur!X138*VLOOKUP('Données projet'!$B$9,Paramètres!$A$1:$I$89,3,0)*0.475*44/12</f>
        <v>2.2587999042780984</v>
      </c>
      <c r="AB138" s="21">
        <f>EXP(-LN(2)/2)*AB137+(1-EXP(-LN(2)/2))/(LN(2)/2)*V138*Y138*VLOOKUP('Données projet'!$B$9,Paramètres!$A$1:$I$89,3,0)*0.475*44/12</f>
        <v>1.8527031735869964E-15</v>
      </c>
      <c r="AC138" s="22">
        <f t="shared" si="111"/>
        <v>3.0235228576997599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330.15282863041176</v>
      </c>
      <c r="T139" s="59">
        <f t="shared" si="142"/>
        <v>443.4702735944341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0.74972720274000615</v>
      </c>
      <c r="AA139" s="21">
        <f>EXP(-LN(2)/25)*AA138+(1-EXP(-LN(2)/25))/(LN(2)/25)*Calculateur!V139*Calculateur!X139*VLOOKUP('Données projet'!$B$9,Paramètres!$A$1:$I$89,3,0)*0.475*44/12</f>
        <v>2.1970329021104895</v>
      </c>
      <c r="AB139" s="21">
        <f>EXP(-LN(2)/2)*AB138+(1-EXP(-LN(2)/2))/(LN(2)/2)*V139*Y139*VLOOKUP('Données projet'!$B$9,Paramètres!$A$1:$I$89,3,0)*0.475*44/12</f>
        <v>1.3100589775692024E-15</v>
      </c>
      <c r="AC139" s="22">
        <f t="shared" si="111"/>
        <v>2.946760104850497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330.15282863041176</v>
      </c>
      <c r="T140" s="59">
        <f t="shared" si="142"/>
        <v>443.4702735944341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0.73502550958271484</v>
      </c>
      <c r="AA140" s="21">
        <f>EXP(-LN(2)/25)*AA139+(1-EXP(-LN(2)/25))/(LN(2)/25)*Calculateur!V140*Calculateur!X140*VLOOKUP('Données projet'!$B$9,Paramètres!$A$1:$I$89,3,0)*0.475*44/12</f>
        <v>2.1369549218653394</v>
      </c>
      <c r="AB140" s="21">
        <f>EXP(-LN(2)/2)*AB139+(1-EXP(-LN(2)/2))/(LN(2)/2)*V140*Y140*VLOOKUP('Données projet'!$B$9,Paramètres!$A$1:$I$89,3,0)*0.475*44/12</f>
        <v>9.2635158679349821E-16</v>
      </c>
      <c r="AC140" s="22">
        <f t="shared" si="111"/>
        <v>2.8719804314480553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330.15282863041176</v>
      </c>
      <c r="T141" s="59">
        <f t="shared" si="142"/>
        <v>443.4702735944341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0.72061210766109063</v>
      </c>
      <c r="AA141" s="21">
        <f>EXP(-LN(2)/25)*AA140+(1-EXP(-LN(2)/25))/(LN(2)/25)*Calculateur!V141*Calculateur!X141*VLOOKUP('Données projet'!$B$9,Paramètres!$A$1:$I$89,3,0)*0.475*44/12</f>
        <v>2.0785197771493564</v>
      </c>
      <c r="AB141" s="21">
        <f>EXP(-LN(2)/2)*AB140+(1-EXP(-LN(2)/2))/(LN(2)/2)*V141*Y141*VLOOKUP('Données projet'!$B$9,Paramètres!$A$1:$I$89,3,0)*0.475*44/12</f>
        <v>6.5502948878460122E-16</v>
      </c>
      <c r="AC141" s="22">
        <f t="shared" si="111"/>
        <v>2.7991318848104476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330.15282863041176</v>
      </c>
      <c r="T142" s="59">
        <f t="shared" si="142"/>
        <v>443.4702735944341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0.70648134375984228</v>
      </c>
      <c r="AA142" s="21">
        <f>EXP(-LN(2)/25)*AA141+(1-EXP(-LN(2)/25))/(LN(2)/25)*Calculateur!V142*Calculateur!X142*VLOOKUP('Données projet'!$B$9,Paramètres!$A$1:$I$89,3,0)*0.475*44/12</f>
        <v>2.0216825445386029</v>
      </c>
      <c r="AB142" s="21">
        <f>EXP(-LN(2)/2)*AB141+(1-EXP(-LN(2)/2))/(LN(2)/2)*V142*Y142*VLOOKUP('Données projet'!$B$9,Paramètres!$A$1:$I$89,3,0)*0.475*44/12</f>
        <v>4.631757933967491E-16</v>
      </c>
      <c r="AC142" s="22">
        <f t="shared" si="111"/>
        <v>2.7281638882984454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330.15282863041176</v>
      </c>
      <c r="T143" s="59">
        <f t="shared" si="142"/>
        <v>443.4702735944341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0.69262767551978255</v>
      </c>
      <c r="AA143" s="21">
        <f>EXP(-LN(2)/25)*AA142+(1-EXP(-LN(2)/25))/(LN(2)/25)*Calculateur!V143*Calculateur!X143*VLOOKUP('Données projet'!$B$9,Paramètres!$A$1:$I$89,3,0)*0.475*44/12</f>
        <v>1.9663995290425305</v>
      </c>
      <c r="AB143" s="21">
        <f>EXP(-LN(2)/2)*AB142+(1-EXP(-LN(2)/2))/(LN(2)/2)*V143*Y143*VLOOKUP('Données projet'!$B$9,Paramètres!$A$1:$I$89,3,0)*0.475*44/12</f>
        <v>3.2751474439230061E-16</v>
      </c>
      <c r="AC143" s="22">
        <f t="shared" si="111"/>
        <v>2.6590272045623133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330.15282863041176</v>
      </c>
      <c r="T144" s="59">
        <f t="shared" si="142"/>
        <v>443.4702735944341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0.67904566926400711</v>
      </c>
      <c r="AA144" s="21">
        <f>EXP(-LN(2)/25)*AA143+(1-EXP(-LN(2)/25))/(LN(2)/25)*Calculateur!V144*Calculateur!X144*VLOOKUP('Données projet'!$B$9,Paramètres!$A$1:$I$89,3,0)*0.475*44/12</f>
        <v>1.9126282305124056</v>
      </c>
      <c r="AB144" s="21">
        <f>EXP(-LN(2)/2)*AB143+(1-EXP(-LN(2)/2))/(LN(2)/2)*V144*Y144*VLOOKUP('Données projet'!$B$9,Paramètres!$A$1:$I$89,3,0)*0.475*44/12</f>
        <v>2.3158789669837455E-16</v>
      </c>
      <c r="AC144" s="22">
        <f t="shared" si="111"/>
        <v>2.591673899776413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330.15282863041176</v>
      </c>
      <c r="T145" s="59">
        <f t="shared" si="142"/>
        <v>443.4702735944341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0.66572999786670162</v>
      </c>
      <c r="AA145" s="21">
        <f>EXP(-LN(2)/25)*AA144+(1-EXP(-LN(2)/25))/(LN(2)/25)*Calculateur!V145*Calculateur!X145*VLOOKUP('Données projet'!$B$9,Paramètres!$A$1:$I$89,3,0)*0.475*44/12</f>
        <v>1.8603273109682965</v>
      </c>
      <c r="AB145" s="21">
        <f>EXP(-LN(2)/2)*AB144+(1-EXP(-LN(2)/2))/(LN(2)/2)*V145*Y145*VLOOKUP('Données projet'!$B$9,Paramètres!$A$1:$I$89,3,0)*0.475*44/12</f>
        <v>1.6375737219615031E-16</v>
      </c>
      <c r="AC145" s="22">
        <f t="shared" si="111"/>
        <v>2.5260573088349982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330.15282863041176</v>
      </c>
      <c r="T146" s="59">
        <f t="shared" si="142"/>
        <v>443.4702735944341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0.65267543866373967</v>
      </c>
      <c r="AA146" s="21">
        <f>EXP(-LN(2)/25)*AA145+(1-EXP(-LN(2)/25))/(LN(2)/25)*Calculateur!V146*Calculateur!X146*VLOOKUP('Données projet'!$B$9,Paramètres!$A$1:$I$89,3,0)*0.475*44/12</f>
        <v>1.809456562819507</v>
      </c>
      <c r="AB146" s="21">
        <f>EXP(-LN(2)/2)*AB145+(1-EXP(-LN(2)/2))/(LN(2)/2)*V146*Y146*VLOOKUP('Données projet'!$B$9,Paramètres!$A$1:$I$89,3,0)*0.475*44/12</f>
        <v>1.1579394834918728E-16</v>
      </c>
      <c r="AC146" s="22">
        <f t="shared" si="111"/>
        <v>2.4621320014832468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330.15282863041176</v>
      </c>
      <c r="T147" s="59">
        <f t="shared" si="142"/>
        <v>443.4702735944341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0.63987687140425298</v>
      </c>
      <c r="AA147" s="21">
        <f>EXP(-LN(2)/25)*AA146+(1-EXP(-LN(2)/25))/(LN(2)/25)*Calculateur!V147*Calculateur!X147*VLOOKUP('Données projet'!$B$9,Paramètres!$A$1:$I$89,3,0)*0.475*44/12</f>
        <v>1.7599768779540224</v>
      </c>
      <c r="AB147" s="21">
        <f>EXP(-LN(2)/2)*AB146+(1-EXP(-LN(2)/2))/(LN(2)/2)*V147*Y147*VLOOKUP('Données projet'!$B$9,Paramètres!$A$1:$I$89,3,0)*0.475*44/12</f>
        <v>8.1878686098075153E-17</v>
      </c>
      <c r="AC147" s="22">
        <f t="shared" si="111"/>
        <v>2.3998537493582752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330.15282863041176</v>
      </c>
      <c r="T148" s="59">
        <f t="shared" si="142"/>
        <v>443.4702735944341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0.62732927624236956</v>
      </c>
      <c r="AA148" s="21">
        <f>EXP(-LN(2)/25)*AA147+(1-EXP(-LN(2)/25))/(LN(2)/25)*Calculateur!V148*Calculateur!X148*VLOOKUP('Données projet'!$B$9,Paramètres!$A$1:$I$89,3,0)*0.475*44/12</f>
        <v>1.711850217673208</v>
      </c>
      <c r="AB148" s="21">
        <f>EXP(-LN(2)/2)*AB147+(1-EXP(-LN(2)/2))/(LN(2)/2)*V148*Y148*VLOOKUP('Données projet'!$B$9,Paramètres!$A$1:$I$89,3,0)*0.475*44/12</f>
        <v>5.7896974174593638E-17</v>
      </c>
      <c r="AC148" s="22">
        <f t="shared" si="111"/>
        <v>2.3391794939155774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330.15282863041176</v>
      </c>
      <c r="T149" s="59">
        <f t="shared" si="142"/>
        <v>443.4702735944341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0.61502773176833336</v>
      </c>
      <c r="AA149" s="21">
        <f>EXP(-LN(2)/25)*AA148+(1-EXP(-LN(2)/25))/(LN(2)/25)*Calculateur!V149*Calculateur!X149*VLOOKUP('Données projet'!$B$9,Paramètres!$A$1:$I$89,3,0)*0.475*44/12</f>
        <v>1.6650395834486436</v>
      </c>
      <c r="AB149" s="21">
        <f>EXP(-LN(2)/2)*AB148+(1-EXP(-LN(2)/2))/(LN(2)/2)*V149*Y149*VLOOKUP('Données projet'!$B$9,Paramètres!$A$1:$I$89,3,0)*0.475*44/12</f>
        <v>4.0939343049037576E-17</v>
      </c>
      <c r="AC149" s="22">
        <f t="shared" si="111"/>
        <v>2.2800673152169768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330.15282863041176</v>
      </c>
      <c r="T150" s="59">
        <f t="shared" si="142"/>
        <v>443.4702735944341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0.60296741307823176</v>
      </c>
      <c r="AA150" s="21">
        <f>EXP(-LN(2)/25)*AA149+(1-EXP(-LN(2)/25))/(LN(2)/25)*Calculateur!V150*Calculateur!X150*VLOOKUP('Données projet'!$B$9,Paramètres!$A$1:$I$89,3,0)*0.475*44/12</f>
        <v>1.6195089884786142</v>
      </c>
      <c r="AB150" s="21">
        <f>EXP(-LN(2)/2)*AB149+(1-EXP(-LN(2)/2))/(LN(2)/2)*V150*Y150*VLOOKUP('Données projet'!$B$9,Paramètres!$A$1:$I$89,3,0)*0.475*44/12</f>
        <v>2.8948487087296819E-17</v>
      </c>
      <c r="AC150" s="22">
        <f t="shared" si="111"/>
        <v>2.2224764015568459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330.15282863041176</v>
      </c>
      <c r="T151" s="59">
        <f t="shared" si="142"/>
        <v>443.4702735944341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0.591143589881575</v>
      </c>
      <c r="AA151" s="21">
        <f>EXP(-LN(2)/25)*AA150+(1-EXP(-LN(2)/25))/(LN(2)/25)*Calculateur!V151*Calculateur!X151*VLOOKUP('Données projet'!$B$9,Paramètres!$A$1:$I$89,3,0)*0.475*44/12</f>
        <v>1.5752234300223902</v>
      </c>
      <c r="AB151" s="21">
        <f>EXP(-LN(2)/2)*AB150+(1-EXP(-LN(2)/2))/(LN(2)/2)*V151*Y151*VLOOKUP('Données projet'!$B$9,Paramètres!$A$1:$I$89,3,0)*0.475*44/12</f>
        <v>2.0469671524518788E-17</v>
      </c>
      <c r="AC151" s="22">
        <f t="shared" si="111"/>
        <v>2.1663670199039653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330.15282863041176</v>
      </c>
      <c r="T152" s="59">
        <f t="shared" si="142"/>
        <v>443.4702735944341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0.57955162464598464</v>
      </c>
      <c r="AA152" s="21">
        <f>EXP(-LN(2)/25)*AA151+(1-EXP(-LN(2)/25))/(LN(2)/25)*Calculateur!V152*Calculateur!X152*VLOOKUP('Données projet'!$B$9,Paramètres!$A$1:$I$89,3,0)*0.475*44/12</f>
        <v>1.532148862491028</v>
      </c>
      <c r="AB152" s="21">
        <f>EXP(-LN(2)/2)*AB151+(1-EXP(-LN(2)/2))/(LN(2)/2)*V152*Y152*VLOOKUP('Données projet'!$B$9,Paramètres!$A$1:$I$89,3,0)*0.475*44/12</f>
        <v>1.447424354364841E-17</v>
      </c>
      <c r="AC152" s="22">
        <f t="shared" si="111"/>
        <v>2.1117004871370124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330.15282863041176</v>
      </c>
      <c r="T153" s="59">
        <f t="shared" si="142"/>
        <v>443.4702735944341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0.56818697077826352</v>
      </c>
      <c r="AA153" s="21">
        <f>EXP(-LN(2)/25)*AA152+(1-EXP(-LN(2)/25))/(LN(2)/25)*Calculateur!V153*Calculateur!X153*VLOOKUP('Données projet'!$B$9,Paramètres!$A$1:$I$89,3,0)*0.475*44/12</f>
        <v>1.490252171274004</v>
      </c>
      <c r="AB153" s="21">
        <f>EXP(-LN(2)/2)*AB152+(1-EXP(-LN(2)/2))/(LN(2)/2)*V153*Y153*VLOOKUP('Données projet'!$B$9,Paramètres!$A$1:$I$89,3,0)*0.475*44/12</f>
        <v>1.0234835762259394E-17</v>
      </c>
      <c r="AC153" s="22">
        <f t="shared" si="111"/>
        <v>2.0584391420522676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330.15282863041176</v>
      </c>
      <c r="T154" s="59">
        <f t="shared" si="142"/>
        <v>443.4702735944341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0.55704517084113403</v>
      </c>
      <c r="AA154" s="21">
        <f>EXP(-LN(2)/25)*AA153+(1-EXP(-LN(2)/25))/(LN(2)/25)*Calculateur!V154*Calculateur!X154*VLOOKUP('Données projet'!$B$9,Paramètres!$A$1:$I$89,3,0)*0.475*44/12</f>
        <v>1.4495011472815607</v>
      </c>
      <c r="AB154" s="21">
        <f>EXP(-LN(2)/2)*AB153+(1-EXP(-LN(2)/2))/(LN(2)/2)*V154*Y154*VLOOKUP('Données projet'!$B$9,Paramètres!$A$1:$I$89,3,0)*0.475*44/12</f>
        <v>7.2371217718242048E-18</v>
      </c>
      <c r="AC154" s="22">
        <f t="shared" ref="AC154:AC203" si="163">SUM(Z154:AB154)</f>
        <v>2.0065463181226946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330.15282863041176</v>
      </c>
      <c r="T155" s="59">
        <f t="shared" si="142"/>
        <v>443.4702735944341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0.54612185480494468</v>
      </c>
      <c r="AA155" s="21">
        <f>EXP(-LN(2)/25)*AA154+(1-EXP(-LN(2)/25))/(LN(2)/25)*Calculateur!V155*Calculateur!X155*VLOOKUP('Données projet'!$B$9,Paramètres!$A$1:$I$89,3,0)*0.475*44/12</f>
        <v>1.4098644621831939</v>
      </c>
      <c r="AB155" s="21">
        <f>EXP(-LN(2)/2)*AB154+(1-EXP(-LN(2)/2))/(LN(2)/2)*V155*Y155*VLOOKUP('Données projet'!$B$9,Paramètres!$A$1:$I$89,3,0)*0.475*44/12</f>
        <v>5.1174178811296971E-18</v>
      </c>
      <c r="AC155" s="22">
        <f t="shared" si="163"/>
        <v>1.9559863169881386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330.15282863041176</v>
      </c>
      <c r="T156" s="59">
        <f t="shared" si="142"/>
        <v>443.4702735944341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0.5354127383336601</v>
      </c>
      <c r="AA156" s="21">
        <f>EXP(-LN(2)/25)*AA155+(1-EXP(-LN(2)/25))/(LN(2)/25)*Calculateur!V156*Calculateur!X156*VLOOKUP('Données projet'!$B$9,Paramètres!$A$1:$I$89,3,0)*0.475*44/12</f>
        <v>1.3713116443232447</v>
      </c>
      <c r="AB156" s="21">
        <f>EXP(-LN(2)/2)*AB155+(1-EXP(-LN(2)/2))/(LN(2)/2)*V156*Y156*VLOOKUP('Données projet'!$B$9,Paramètres!$A$1:$I$89,3,0)*0.475*44/12</f>
        <v>3.6185608859121024E-18</v>
      </c>
      <c r="AC156" s="22">
        <f t="shared" si="163"/>
        <v>1.9067243826569049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330.15282863041176</v>
      </c>
      <c r="T157" s="59">
        <f t="shared" si="142"/>
        <v>443.4702735944341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0.52491362110446138</v>
      </c>
      <c r="AA157" s="21">
        <f>EXP(-LN(2)/25)*AA156+(1-EXP(-LN(2)/25))/(LN(2)/25)*Calculateur!V157*Calculateur!X157*VLOOKUP('Données projet'!$B$9,Paramètres!$A$1:$I$89,3,0)*0.475*44/12</f>
        <v>1.3338130552950804</v>
      </c>
      <c r="AB157" s="21">
        <f>EXP(-LN(2)/2)*AB156+(1-EXP(-LN(2)/2))/(LN(2)/2)*V157*Y157*VLOOKUP('Données projet'!$B$9,Paramètres!$A$1:$I$89,3,0)*0.475*44/12</f>
        <v>2.5587089405648485E-18</v>
      </c>
      <c r="AC157" s="22">
        <f t="shared" si="163"/>
        <v>1.8587266763995418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330.15282863041176</v>
      </c>
      <c r="T158" s="59">
        <f t="shared" si="142"/>
        <v>443.4702735944341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0.51462038516029807</v>
      </c>
      <c r="AA158" s="21">
        <f>EXP(-LN(2)/25)*AA157+(1-EXP(-LN(2)/25))/(LN(2)/25)*Calculateur!V158*Calculateur!X158*VLOOKUP('Données projet'!$B$9,Paramètres!$A$1:$I$89,3,0)*0.475*44/12</f>
        <v>1.2973398671558563</v>
      </c>
      <c r="AB158" s="21">
        <f>EXP(-LN(2)/2)*AB157+(1-EXP(-LN(2)/2))/(LN(2)/2)*V158*Y158*VLOOKUP('Données projet'!$B$9,Paramètres!$A$1:$I$89,3,0)*0.475*44/12</f>
        <v>1.8092804429560512E-18</v>
      </c>
      <c r="AC158" s="22">
        <f t="shared" si="163"/>
        <v>1.8119602523161542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330.15282863041176</v>
      </c>
      <c r="T159" s="59">
        <f t="shared" si="142"/>
        <v>443.4702735944341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0.50452899329474576</v>
      </c>
      <c r="AA159" s="21">
        <f>EXP(-LN(2)/25)*AA158+(1-EXP(-LN(2)/25))/(LN(2)/25)*Calculateur!V159*Calculateur!X159*VLOOKUP('Données projet'!$B$9,Paramètres!$A$1:$I$89,3,0)*0.475*44/12</f>
        <v>1.2618640402643408</v>
      </c>
      <c r="AB159" s="21">
        <f>EXP(-LN(2)/2)*AB158+(1-EXP(-LN(2)/2))/(LN(2)/2)*V159*Y159*VLOOKUP('Données projet'!$B$9,Paramètres!$A$1:$I$89,3,0)*0.475*44/12</f>
        <v>1.2793544702824243E-18</v>
      </c>
      <c r="AC159" s="22">
        <f t="shared" si="163"/>
        <v>1.7663930335590865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330.15282863041176</v>
      </c>
      <c r="T160" s="59">
        <f t="shared" si="142"/>
        <v>443.4702735944341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0.4946354874685357</v>
      </c>
      <c r="AA160" s="21">
        <f>EXP(-LN(2)/25)*AA159+(1-EXP(-LN(2)/25))/(LN(2)/25)*Calculateur!V160*Calculateur!X160*VLOOKUP('Données projet'!$B$9,Paramètres!$A$1:$I$89,3,0)*0.475*44/12</f>
        <v>1.2273583017247667</v>
      </c>
      <c r="AB160" s="21">
        <f>EXP(-LN(2)/2)*AB159+(1-EXP(-LN(2)/2))/(LN(2)/2)*V160*Y160*VLOOKUP('Données projet'!$B$9,Paramètres!$A$1:$I$89,3,0)*0.475*44/12</f>
        <v>9.046402214780256E-19</v>
      </c>
      <c r="AC160" s="22">
        <f t="shared" si="163"/>
        <v>1.7219937891933024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330.15282863041176</v>
      </c>
      <c r="T161" s="59">
        <f t="shared" si="142"/>
        <v>443.4702735944341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0.48493598725713488</v>
      </c>
      <c r="AA161" s="21">
        <f>EXP(-LN(2)/25)*AA160+(1-EXP(-LN(2)/25))/(LN(2)/25)*Calculateur!V161*Calculateur!X161*VLOOKUP('Données projet'!$B$9,Paramètres!$A$1:$I$89,3,0)*0.475*44/12</f>
        <v>1.1937961244201349</v>
      </c>
      <c r="AB161" s="21">
        <f>EXP(-LN(2)/2)*AB160+(1-EXP(-LN(2)/2))/(LN(2)/2)*V161*Y161*VLOOKUP('Données projet'!$B$9,Paramètres!$A$1:$I$89,3,0)*0.475*44/12</f>
        <v>6.3967723514121213E-19</v>
      </c>
      <c r="AC161" s="22">
        <f t="shared" si="163"/>
        <v>1.6787321116772698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330.15282863041176</v>
      </c>
      <c r="T162" s="59">
        <f t="shared" si="142"/>
        <v>443.4702735944341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0.47542668832876867</v>
      </c>
      <c r="AA162" s="21">
        <f>EXP(-LN(2)/25)*AA161+(1-EXP(-LN(2)/25))/(LN(2)/25)*Calculateur!V162*Calculateur!X162*VLOOKUP('Données projet'!$B$9,Paramètres!$A$1:$I$89,3,0)*0.475*44/12</f>
        <v>1.1611517066188566</v>
      </c>
      <c r="AB162" s="21">
        <f>EXP(-LN(2)/2)*AB161+(1-EXP(-LN(2)/2))/(LN(2)/2)*V162*Y162*VLOOKUP('Données projet'!$B$9,Paramètres!$A$1:$I$89,3,0)*0.475*44/12</f>
        <v>4.523201107390128E-19</v>
      </c>
      <c r="AC162" s="22">
        <f t="shared" si="163"/>
        <v>1.6365783949476254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330.15282863041176</v>
      </c>
      <c r="T163" s="59">
        <f t="shared" si="142"/>
        <v>443.4702735944341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0.46610386095228806</v>
      </c>
      <c r="AA163" s="21">
        <f>EXP(-LN(2)/25)*AA162+(1-EXP(-LN(2)/25))/(LN(2)/25)*Calculateur!V163*Calculateur!X163*VLOOKUP('Données projet'!$B$9,Paramètres!$A$1:$I$89,3,0)*0.475*44/12</f>
        <v>1.1293999521390496</v>
      </c>
      <c r="AB163" s="21">
        <f>EXP(-LN(2)/2)*AB162+(1-EXP(-LN(2)/2))/(LN(2)/2)*V163*Y163*VLOOKUP('Données projet'!$B$9,Paramètres!$A$1:$I$89,3,0)*0.475*44/12</f>
        <v>3.1983861757060607E-19</v>
      </c>
      <c r="AC163" s="22">
        <f t="shared" si="163"/>
        <v>1.5955038130913377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330.15282863041176</v>
      </c>
      <c r="T164" s="59">
        <f t="shared" si="142"/>
        <v>443.4702735944341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0.45696384853429706</v>
      </c>
      <c r="AA164" s="21">
        <f>EXP(-LN(2)/25)*AA163+(1-EXP(-LN(2)/25))/(LN(2)/25)*Calculateur!V164*Calculateur!X164*VLOOKUP('Données projet'!$B$9,Paramètres!$A$1:$I$89,3,0)*0.475*44/12</f>
        <v>1.0985164510552452</v>
      </c>
      <c r="AB164" s="21">
        <f>EXP(-LN(2)/2)*AB163+(1-EXP(-LN(2)/2))/(LN(2)/2)*V164*Y164*VLOOKUP('Données projet'!$B$9,Paramètres!$A$1:$I$89,3,0)*0.475*44/12</f>
        <v>2.261600553695064E-19</v>
      </c>
      <c r="AC164" s="22">
        <f t="shared" si="163"/>
        <v>1.5554802995895423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330.15282863041176</v>
      </c>
      <c r="T165" s="59">
        <f t="shared" si="142"/>
        <v>443.4702735944341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0.44800306618496571</v>
      </c>
      <c r="AA165" s="21">
        <f>EXP(-LN(2)/25)*AA164+(1-EXP(-LN(2)/25))/(LN(2)/25)*Calculateur!V165*Calculateur!X165*VLOOKUP('Données projet'!$B$9,Paramètres!$A$1:$I$89,3,0)*0.475*44/12</f>
        <v>1.0684774609326702</v>
      </c>
      <c r="AB165" s="21">
        <f>EXP(-LN(2)/2)*AB164+(1-EXP(-LN(2)/2))/(LN(2)/2)*V165*Y165*VLOOKUP('Données projet'!$B$9,Paramètres!$A$1:$I$89,3,0)*0.475*44/12</f>
        <v>1.5991930878530303E-19</v>
      </c>
      <c r="AC165" s="22">
        <f t="shared" si="163"/>
        <v>1.5164805271176358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330.15282863041176</v>
      </c>
      <c r="T166" s="59">
        <f t="shared" si="142"/>
        <v>443.4702735944341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0.43921799931196726</v>
      </c>
      <c r="AA166" s="21">
        <f>EXP(-LN(2)/25)*AA165+(1-EXP(-LN(2)/25))/(LN(2)/25)*Calculateur!V166*Calculateur!X166*VLOOKUP('Données projet'!$B$9,Paramètres!$A$1:$I$89,3,0)*0.475*44/12</f>
        <v>1.0392598885746787</v>
      </c>
      <c r="AB166" s="21">
        <f>EXP(-LN(2)/2)*AB165+(1-EXP(-LN(2)/2))/(LN(2)/2)*V166*Y166*VLOOKUP('Données projet'!$B$9,Paramètres!$A$1:$I$89,3,0)*0.475*44/12</f>
        <v>1.130800276847532E-19</v>
      </c>
      <c r="AC166" s="22">
        <f t="shared" si="163"/>
        <v>1.4784778878866458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330.15282863041176</v>
      </c>
      <c r="T167" s="59">
        <f t="shared" si="142"/>
        <v>443.4702735944341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0.43060520224198656</v>
      </c>
      <c r="AA167" s="21">
        <f>EXP(-LN(2)/25)*AA166+(1-EXP(-LN(2)/25))/(LN(2)/25)*Calculateur!V167*Calculateur!X167*VLOOKUP('Données projet'!$B$9,Paramètres!$A$1:$I$89,3,0)*0.475*44/12</f>
        <v>1.0108412722693019</v>
      </c>
      <c r="AB167" s="21">
        <f>EXP(-LN(2)/2)*AB166+(1-EXP(-LN(2)/2))/(LN(2)/2)*V167*Y167*VLOOKUP('Données projet'!$B$9,Paramètres!$A$1:$I$89,3,0)*0.475*44/12</f>
        <v>7.9959654392651517E-20</v>
      </c>
      <c r="AC167" s="22">
        <f t="shared" si="163"/>
        <v>1.4414464745112885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330.15282863041176</v>
      </c>
      <c r="T168" s="59">
        <f t="shared" si="142"/>
        <v>443.4702735944341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0.42216129686926068</v>
      </c>
      <c r="AA168" s="21">
        <f>EXP(-LN(2)/25)*AA167+(1-EXP(-LN(2)/25))/(LN(2)/25)*Calculateur!V168*Calculateur!X168*VLOOKUP('Données projet'!$B$9,Paramètres!$A$1:$I$89,3,0)*0.475*44/12</f>
        <v>0.98319976452126556</v>
      </c>
      <c r="AB168" s="21">
        <f>EXP(-LN(2)/2)*AB167+(1-EXP(-LN(2)/2))/(LN(2)/2)*V168*Y168*VLOOKUP('Données projet'!$B$9,Paramètres!$A$1:$I$89,3,0)*0.475*44/12</f>
        <v>5.65400138423766E-20</v>
      </c>
      <c r="AC168" s="22">
        <f t="shared" si="163"/>
        <v>1.4053610613905263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330.15282863041176</v>
      </c>
      <c r="T169" s="59">
        <f t="shared" si="142"/>
        <v>443.4702735944341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0.41388297133062024</v>
      </c>
      <c r="AA169" s="21">
        <f>EXP(-LN(2)/25)*AA168+(1-EXP(-LN(2)/25))/(LN(2)/25)*Calculateur!V169*Calculateur!X169*VLOOKUP('Données projet'!$B$9,Paramètres!$A$1:$I$89,3,0)*0.475*44/12</f>
        <v>0.95631411525620302</v>
      </c>
      <c r="AB169" s="21">
        <f>EXP(-LN(2)/2)*AB168+(1-EXP(-LN(2)/2))/(LN(2)/2)*V169*Y169*VLOOKUP('Données projet'!$B$9,Paramètres!$A$1:$I$89,3,0)*0.475*44/12</f>
        <v>3.9979827196325758E-20</v>
      </c>
      <c r="AC169" s="22">
        <f t="shared" si="163"/>
        <v>1.3701970865868232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330.15282863041176</v>
      </c>
      <c r="T170" s="59">
        <f t="shared" si="142"/>
        <v>443.4702735944341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0.40576697870651257</v>
      </c>
      <c r="AA170" s="21">
        <f>EXP(-LN(2)/25)*AA169+(1-EXP(-LN(2)/25))/(LN(2)/25)*Calculateur!V170*Calculateur!X170*VLOOKUP('Données projet'!$B$9,Paramètres!$A$1:$I$89,3,0)*0.475*44/12</f>
        <v>0.93016365548414848</v>
      </c>
      <c r="AB170" s="21">
        <f>EXP(-LN(2)/2)*AB169+(1-EXP(-LN(2)/2))/(LN(2)/2)*V170*Y170*VLOOKUP('Données projet'!$B$9,Paramètres!$A$1:$I$89,3,0)*0.475*44/12</f>
        <v>2.82700069211883E-20</v>
      </c>
      <c r="AC170" s="22">
        <f t="shared" si="163"/>
        <v>1.3359306341906612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330.15282863041176</v>
      </c>
      <c r="T171" s="59">
        <f t="shared" si="142"/>
        <v>443.4702735944341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0.39781013574749691</v>
      </c>
      <c r="AA171" s="21">
        <f>EXP(-LN(2)/25)*AA170+(1-EXP(-LN(2)/25))/(LN(2)/25)*Calculateur!V171*Calculateur!X171*VLOOKUP('Données projet'!$B$9,Paramètres!$A$1:$I$89,3,0)*0.475*44/12</f>
        <v>0.9047282814097537</v>
      </c>
      <c r="AB171" s="21">
        <f>EXP(-LN(2)/2)*AB170+(1-EXP(-LN(2)/2))/(LN(2)/2)*V171*Y171*VLOOKUP('Données projet'!$B$9,Paramètres!$A$1:$I$89,3,0)*0.475*44/12</f>
        <v>1.9989913598162879E-20</v>
      </c>
      <c r="AC171" s="22">
        <f t="shared" si="163"/>
        <v>1.3025384171572507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330.15282863041176</v>
      </c>
      <c r="T172" s="59">
        <f t="shared" si="142"/>
        <v>443.4702735944341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0.39000932162571256</v>
      </c>
      <c r="AA172" s="21">
        <f>EXP(-LN(2)/25)*AA171+(1-EXP(-LN(2)/25))/(LN(2)/25)*Calculateur!V172*Calculateur!X172*VLOOKUP('Données projet'!$B$9,Paramètres!$A$1:$I$89,3,0)*0.475*44/12</f>
        <v>0.8799884389770114</v>
      </c>
      <c r="AB172" s="21">
        <f>EXP(-LN(2)/2)*AB171+(1-EXP(-LN(2)/2))/(LN(2)/2)*V172*Y172*VLOOKUP('Données projet'!$B$9,Paramètres!$A$1:$I$89,3,0)*0.475*44/12</f>
        <v>1.413500346059415E-20</v>
      </c>
      <c r="AC172" s="22">
        <f t="shared" si="163"/>
        <v>1.269997760602724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330.15282863041176</v>
      </c>
      <c r="T173" s="59">
        <f t="shared" si="142"/>
        <v>443.4702735944341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0.3823614767108296</v>
      </c>
      <c r="AA173" s="21">
        <f>EXP(-LN(2)/25)*AA172+(1-EXP(-LN(2)/25))/(LN(2)/25)*Calculateur!V173*Calculateur!X173*VLOOKUP('Données projet'!$B$9,Paramètres!$A$1:$I$89,3,0)*0.475*44/12</f>
        <v>0.85592510883660422</v>
      </c>
      <c r="AB173" s="21">
        <f>EXP(-LN(2)/2)*AB172+(1-EXP(-LN(2)/2))/(LN(2)/2)*V173*Y173*VLOOKUP('Données projet'!$B$9,Paramètres!$A$1:$I$89,3,0)*0.475*44/12</f>
        <v>9.9949567990814396E-21</v>
      </c>
      <c r="AC173" s="22">
        <f t="shared" si="163"/>
        <v>1.2382865855474339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330.15282863041176</v>
      </c>
      <c r="T174" s="59">
        <f t="shared" si="142"/>
        <v>443.4702735944341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0.37486360137000269</v>
      </c>
      <c r="AA174" s="21">
        <f>EXP(-LN(2)/25)*AA173+(1-EXP(-LN(2)/25))/(LN(2)/25)*Calculateur!V174*Calculateur!X174*VLOOKUP('Données projet'!$B$9,Paramètres!$A$1:$I$89,3,0)*0.475*44/12</f>
        <v>0.832519791724322</v>
      </c>
      <c r="AB174" s="21">
        <f>EXP(-LN(2)/2)*AB173+(1-EXP(-LN(2)/2))/(LN(2)/2)*V174*Y174*VLOOKUP('Données projet'!$B$9,Paramètres!$A$1:$I$89,3,0)*0.475*44/12</f>
        <v>7.067501730297075E-21</v>
      </c>
      <c r="AC174" s="22">
        <f t="shared" si="163"/>
        <v>1.2073833930943247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330.15282863041176</v>
      </c>
      <c r="T175" s="59">
        <f t="shared" si="142"/>
        <v>443.4702735944341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0.36751275479135703</v>
      </c>
      <c r="AA175" s="21">
        <f>EXP(-LN(2)/25)*AA174+(1-EXP(-LN(2)/25))/(LN(2)/25)*Calculateur!V175*Calculateur!X175*VLOOKUP('Données projet'!$B$9,Paramètres!$A$1:$I$89,3,0)*0.475*44/12</f>
        <v>0.80975449423930734</v>
      </c>
      <c r="AB175" s="21">
        <f>EXP(-LN(2)/2)*AB174+(1-EXP(-LN(2)/2))/(LN(2)/2)*V175*Y175*VLOOKUP('Données projet'!$B$9,Paramètres!$A$1:$I$89,3,0)*0.475*44/12</f>
        <v>4.9974783995407198E-21</v>
      </c>
      <c r="AC175" s="22">
        <f t="shared" si="163"/>
        <v>1.1772672490306644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330.15282863041176</v>
      </c>
      <c r="T176" s="59">
        <f t="shared" si="142"/>
        <v>443.4702735944341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0.36030605383054493</v>
      </c>
      <c r="AA176" s="21">
        <f>EXP(-LN(2)/25)*AA175+(1-EXP(-LN(2)/25))/(LN(2)/25)*Calculateur!V176*Calculateur!X176*VLOOKUP('Données projet'!$B$9,Paramètres!$A$1:$I$89,3,0)*0.475*44/12</f>
        <v>0.78761171501119531</v>
      </c>
      <c r="AB176" s="21">
        <f>EXP(-LN(2)/2)*AB175+(1-EXP(-LN(2)/2))/(LN(2)/2)*V176*Y176*VLOOKUP('Données projet'!$B$9,Paramètres!$A$1:$I$89,3,0)*0.475*44/12</f>
        <v>3.5337508651485375E-21</v>
      </c>
      <c r="AC176" s="22">
        <f t="shared" si="163"/>
        <v>1.1479177688417401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330.15282863041176</v>
      </c>
      <c r="T177" s="59">
        <f t="shared" si="142"/>
        <v>443.4702735944341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0.35324067187992081</v>
      </c>
      <c r="AA177" s="21">
        <f>EXP(-LN(2)/25)*AA176+(1-EXP(-LN(2)/25))/(LN(2)/25)*Calculateur!V177*Calculateur!X177*VLOOKUP('Données projet'!$B$9,Paramètres!$A$1:$I$89,3,0)*0.475*44/12</f>
        <v>0.76607443124551422</v>
      </c>
      <c r="AB177" s="21">
        <f>EXP(-LN(2)/2)*AB176+(1-EXP(-LN(2)/2))/(LN(2)/2)*V177*Y177*VLOOKUP('Données projet'!$B$9,Paramètres!$A$1:$I$89,3,0)*0.475*44/12</f>
        <v>2.4987391997703599E-21</v>
      </c>
      <c r="AC177" s="22">
        <f t="shared" si="163"/>
        <v>1.1193151031254351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330.15282863041176</v>
      </c>
      <c r="T178" s="59">
        <f t="shared" si="142"/>
        <v>443.4702735944341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0.34631383775989094</v>
      </c>
      <c r="AA178" s="21">
        <f>EXP(-LN(2)/25)*AA177+(1-EXP(-LN(2)/25))/(LN(2)/25)*Calculateur!V178*Calculateur!X178*VLOOKUP('Données projet'!$B$9,Paramètres!$A$1:$I$89,3,0)*0.475*44/12</f>
        <v>0.74512608563700222</v>
      </c>
      <c r="AB178" s="21">
        <f>EXP(-LN(2)/2)*AB177+(1-EXP(-LN(2)/2))/(LN(2)/2)*V178*Y178*VLOOKUP('Données projet'!$B$9,Paramètres!$A$1:$I$89,3,0)*0.475*44/12</f>
        <v>1.7668754325742687E-21</v>
      </c>
      <c r="AC178" s="22">
        <f t="shared" si="163"/>
        <v>1.0914399233968932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330.15282863041176</v>
      </c>
      <c r="T179" s="59">
        <f t="shared" si="142"/>
        <v>443.4702735944341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0.33952283463200322</v>
      </c>
      <c r="AA179" s="21">
        <f>EXP(-LN(2)/25)*AA178+(1-EXP(-LN(2)/25))/(LN(2)/25)*Calculateur!V179*Calculateur!X179*VLOOKUP('Données projet'!$B$9,Paramètres!$A$1:$I$89,3,0)*0.475*44/12</f>
        <v>0.72475057364078055</v>
      </c>
      <c r="AB179" s="21">
        <f>EXP(-LN(2)/2)*AB178+(1-EXP(-LN(2)/2))/(LN(2)/2)*V179*Y179*VLOOKUP('Données projet'!$B$9,Paramètres!$A$1:$I$89,3,0)*0.475*44/12</f>
        <v>1.2493695998851799E-21</v>
      </c>
      <c r="AC179" s="22">
        <f t="shared" si="163"/>
        <v>1.0642734082727838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330.15282863041176</v>
      </c>
      <c r="T180" s="59">
        <f t="shared" si="142"/>
        <v>443.4702735944341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0.33286499893335048</v>
      </c>
      <c r="AA180" s="21">
        <f>EXP(-LN(2)/25)*AA179+(1-EXP(-LN(2)/25))/(LN(2)/25)*Calculateur!V180*Calculateur!X180*VLOOKUP('Données projet'!$B$9,Paramètres!$A$1:$I$89,3,0)*0.475*44/12</f>
        <v>0.70493223109159719</v>
      </c>
      <c r="AB180" s="21">
        <f>EXP(-LN(2)/2)*AB179+(1-EXP(-LN(2)/2))/(LN(2)/2)*V180*Y180*VLOOKUP('Données projet'!$B$9,Paramètres!$A$1:$I$89,3,0)*0.475*44/12</f>
        <v>8.8343771628713437E-22</v>
      </c>
      <c r="AC180" s="22">
        <f t="shared" si="163"/>
        <v>1.0377972300249476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330.15282863041176</v>
      </c>
      <c r="T181" s="59">
        <f t="shared" si="142"/>
        <v>443.4702735944341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0.3263377193318695</v>
      </c>
      <c r="AA181" s="21">
        <f>EXP(-LN(2)/25)*AA180+(1-EXP(-LN(2)/25))/(LN(2)/25)*Calculateur!V181*Calculateur!X181*VLOOKUP('Données projet'!$B$9,Paramètres!$A$1:$I$89,3,0)*0.475*44/12</f>
        <v>0.68565582216162257</v>
      </c>
      <c r="AB181" s="21">
        <f>EXP(-LN(2)/2)*AB180+(1-EXP(-LN(2)/2))/(LN(2)/2)*V181*Y181*VLOOKUP('Données projet'!$B$9,Paramètres!$A$1:$I$89,3,0)*0.475*44/12</f>
        <v>6.2468479994258997E-22</v>
      </c>
      <c r="AC181" s="22">
        <f t="shared" si="163"/>
        <v>1.0119935414934922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330.15282863041176</v>
      </c>
      <c r="T182" s="59">
        <f t="shared" si="142"/>
        <v>443.4702735944341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0.31993843570212616</v>
      </c>
      <c r="AA182" s="21">
        <f>EXP(-LN(2)/25)*AA181+(1-EXP(-LN(2)/25))/(LN(2)/25)*Calculateur!V182*Calculateur!X182*VLOOKUP('Données projet'!$B$9,Paramètres!$A$1:$I$89,3,0)*0.475*44/12</f>
        <v>0.66690652764754044</v>
      </c>
      <c r="AB182" s="21">
        <f>EXP(-LN(2)/2)*AB181+(1-EXP(-LN(2)/2))/(LN(2)/2)*V182*Y182*VLOOKUP('Données projet'!$B$9,Paramètres!$A$1:$I$89,3,0)*0.475*44/12</f>
        <v>4.4171885814356719E-22</v>
      </c>
      <c r="AC182" s="22">
        <f t="shared" si="163"/>
        <v>0.98684496334966654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330.15282863041176</v>
      </c>
      <c r="T183" s="59">
        <f t="shared" si="142"/>
        <v>443.4702735944341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0.31366463812118445</v>
      </c>
      <c r="AA183" s="21">
        <f>EXP(-LN(2)/25)*AA182+(1-EXP(-LN(2)/25))/(LN(2)/25)*Calculateur!V183*Calculateur!X183*VLOOKUP('Données projet'!$B$9,Paramètres!$A$1:$I$89,3,0)*0.475*44/12</f>
        <v>0.64866993357792835</v>
      </c>
      <c r="AB183" s="21">
        <f>EXP(-LN(2)/2)*AB182+(1-EXP(-LN(2)/2))/(LN(2)/2)*V183*Y183*VLOOKUP('Données projet'!$B$9,Paramètres!$A$1:$I$89,3,0)*0.475*44/12</f>
        <v>3.1234239997129499E-22</v>
      </c>
      <c r="AC183" s="22">
        <f t="shared" si="163"/>
        <v>0.96233457169911274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330.15282863041176</v>
      </c>
      <c r="T184" s="59">
        <f t="shared" si="142"/>
        <v>443.4702735944341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0.30751386588416635</v>
      </c>
      <c r="AA184" s="21">
        <f>EXP(-LN(2)/25)*AA183+(1-EXP(-LN(2)/25))/(LN(2)/25)*Calculateur!V184*Calculateur!X184*VLOOKUP('Données projet'!$B$9,Paramètres!$A$1:$I$89,3,0)*0.475*44/12</f>
        <v>0.63093202013217065</v>
      </c>
      <c r="AB184" s="21">
        <f>EXP(-LN(2)/2)*AB183+(1-EXP(-LN(2)/2))/(LN(2)/2)*V184*Y184*VLOOKUP('Données projet'!$B$9,Paramètres!$A$1:$I$89,3,0)*0.475*44/12</f>
        <v>2.2085942907178359E-22</v>
      </c>
      <c r="AC184" s="22">
        <f t="shared" si="163"/>
        <v>0.93844588601633694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330.15282863041176</v>
      </c>
      <c r="T185" s="59">
        <f t="shared" si="142"/>
        <v>443.4702735944341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0.30148370653911555</v>
      </c>
      <c r="AA185" s="21">
        <f>EXP(-LN(2)/25)*AA184+(1-EXP(-LN(2)/25))/(LN(2)/25)*Calculateur!V185*Calculateur!X185*VLOOKUP('Données projet'!$B$9,Paramètres!$A$1:$I$89,3,0)*0.475*44/12</f>
        <v>0.61367915086238356</v>
      </c>
      <c r="AB185" s="21">
        <f>EXP(-LN(2)/2)*AB184+(1-EXP(-LN(2)/2))/(LN(2)/2)*V185*Y185*VLOOKUP('Données projet'!$B$9,Paramètres!$A$1:$I$89,3,0)*0.475*44/12</f>
        <v>1.5617119998564749E-22</v>
      </c>
      <c r="AC185" s="22">
        <f t="shared" si="163"/>
        <v>0.91516285740149916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330.15282863041176</v>
      </c>
      <c r="T186" s="59">
        <f t="shared" si="142"/>
        <v>443.4702735944341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0.29557179494078717</v>
      </c>
      <c r="AA186" s="21">
        <f>EXP(-LN(2)/25)*AA185+(1-EXP(-LN(2)/25))/(LN(2)/25)*Calculateur!V186*Calculateur!X186*VLOOKUP('Données projet'!$B$9,Paramètres!$A$1:$I$89,3,0)*0.475*44/12</f>
        <v>0.59689806221006769</v>
      </c>
      <c r="AB186" s="21">
        <f>EXP(-LN(2)/2)*AB185+(1-EXP(-LN(2)/2))/(LN(2)/2)*V186*Y186*VLOOKUP('Données projet'!$B$9,Paramètres!$A$1:$I$89,3,0)*0.475*44/12</f>
        <v>1.104297145358918E-22</v>
      </c>
      <c r="AC186" s="22">
        <f t="shared" si="163"/>
        <v>0.89246985715085492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330.15282863041176</v>
      </c>
      <c r="T187" s="59">
        <f t="shared" si="142"/>
        <v>443.4702735944341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0.28977581232299199</v>
      </c>
      <c r="AA187" s="21">
        <f>EXP(-LN(2)/25)*AA186+(1-EXP(-LN(2)/25))/(LN(2)/25)*Calculateur!V187*Calculateur!X187*VLOOKUP('Données projet'!$B$9,Paramètres!$A$1:$I$89,3,0)*0.475*44/12</f>
        <v>0.58057585330942851</v>
      </c>
      <c r="AB187" s="21">
        <f>EXP(-LN(2)/2)*AB186+(1-EXP(-LN(2)/2))/(LN(2)/2)*V187*Y187*VLOOKUP('Données projet'!$B$9,Paramètres!$A$1:$I$89,3,0)*0.475*44/12</f>
        <v>7.8085599992823747E-23</v>
      </c>
      <c r="AC187" s="22">
        <f t="shared" si="163"/>
        <v>0.8703516656324205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330.15282863041176</v>
      </c>
      <c r="T188" s="59">
        <f t="shared" si="142"/>
        <v>443.4702735944341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0.28409348538913143</v>
      </c>
      <c r="AA188" s="21">
        <f>EXP(-LN(2)/25)*AA187+(1-EXP(-LN(2)/25))/(LN(2)/25)*Calculateur!V188*Calculateur!X188*VLOOKUP('Données projet'!$B$9,Paramètres!$A$1:$I$89,3,0)*0.475*44/12</f>
        <v>0.56469997606952504</v>
      </c>
      <c r="AB188" s="21">
        <f>EXP(-LN(2)/2)*AB187+(1-EXP(-LN(2)/2))/(LN(2)/2)*V188*Y188*VLOOKUP('Données projet'!$B$9,Paramètres!$A$1:$I$89,3,0)*0.475*44/12</f>
        <v>5.5214857267945898E-23</v>
      </c>
      <c r="AC188" s="22">
        <f t="shared" si="163"/>
        <v>0.84879346145865653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330.15282863041176</v>
      </c>
      <c r="T189" s="59">
        <f t="shared" si="142"/>
        <v>443.4702735944341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0.27852258542056668</v>
      </c>
      <c r="AA189" s="21">
        <f>EXP(-LN(2)/25)*AA188+(1-EXP(-LN(2)/25))/(LN(2)/25)*Calculateur!V189*Calculateur!X189*VLOOKUP('Données projet'!$B$9,Paramètres!$A$1:$I$89,3,0)*0.475*44/12</f>
        <v>0.54925822552762282</v>
      </c>
      <c r="AB189" s="21">
        <f>EXP(-LN(2)/2)*AB188+(1-EXP(-LN(2)/2))/(LN(2)/2)*V189*Y189*VLOOKUP('Données projet'!$B$9,Paramètres!$A$1:$I$89,3,0)*0.475*44/12</f>
        <v>3.9042799996411873E-23</v>
      </c>
      <c r="AC189" s="22">
        <f t="shared" si="163"/>
        <v>0.82778081094818945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330.15282863041176</v>
      </c>
      <c r="T190" s="59">
        <f t="shared" si="142"/>
        <v>443.4702735944341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0.27306092740247201</v>
      </c>
      <c r="AA190" s="21">
        <f>EXP(-LN(2)/25)*AA189+(1-EXP(-LN(2)/25))/(LN(2)/25)*Calculateur!V190*Calculateur!X190*VLOOKUP('Données projet'!$B$9,Paramètres!$A$1:$I$89,3,0)*0.475*44/12</f>
        <v>0.5342387304663353</v>
      </c>
      <c r="AB190" s="21">
        <f>EXP(-LN(2)/2)*AB189+(1-EXP(-LN(2)/2))/(LN(2)/2)*V190*Y190*VLOOKUP('Données projet'!$B$9,Paramètres!$A$1:$I$89,3,0)*0.475*44/12</f>
        <v>2.7607428633972949E-23</v>
      </c>
      <c r="AC190" s="22">
        <f t="shared" si="163"/>
        <v>0.80729965786880731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330.15282863041176</v>
      </c>
      <c r="T191" s="59">
        <f t="shared" si="142"/>
        <v>443.4702735944341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0.26770636916682972</v>
      </c>
      <c r="AA191" s="21">
        <f>EXP(-LN(2)/25)*AA190+(1-EXP(-LN(2)/25))/(LN(2)/25)*Calculateur!V191*Calculateur!X191*VLOOKUP('Données projet'!$B$9,Paramètres!$A$1:$I$89,3,0)*0.475*44/12</f>
        <v>0.51962994428733955</v>
      </c>
      <c r="AB191" s="21">
        <f>EXP(-LN(2)/2)*AB190+(1-EXP(-LN(2)/2))/(LN(2)/2)*V191*Y191*VLOOKUP('Données projet'!$B$9,Paramètres!$A$1:$I$89,3,0)*0.475*44/12</f>
        <v>1.9521399998205937E-23</v>
      </c>
      <c r="AC191" s="22">
        <f t="shared" si="163"/>
        <v>0.78733631345416932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330.15282863041176</v>
      </c>
      <c r="T192" s="59">
        <f t="shared" si="142"/>
        <v>443.4702735944341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0.26245681055223036</v>
      </c>
      <c r="AA192" s="21">
        <f>EXP(-LN(2)/25)*AA191+(1-EXP(-LN(2)/25))/(LN(2)/25)*Calculateur!V192*Calculateur!X192*VLOOKUP('Données projet'!$B$9,Paramètres!$A$1:$I$89,3,0)*0.475*44/12</f>
        <v>0.50542063613465116</v>
      </c>
      <c r="AB192" s="21">
        <f>EXP(-LN(2)/2)*AB191+(1-EXP(-LN(2)/2))/(LN(2)/2)*V192*Y192*VLOOKUP('Données projet'!$B$9,Paramètres!$A$1:$I$89,3,0)*0.475*44/12</f>
        <v>1.3803714316986475E-23</v>
      </c>
      <c r="AC192" s="22">
        <f t="shared" si="163"/>
        <v>0.76787744668688152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330.15282863041176</v>
      </c>
      <c r="T193" s="59">
        <f t="shared" si="142"/>
        <v>443.4702735944341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0.2573101925801487</v>
      </c>
      <c r="AA193" s="21">
        <f>EXP(-LN(2)/25)*AA192+(1-EXP(-LN(2)/25))/(LN(2)/25)*Calculateur!V193*Calculateur!X193*VLOOKUP('Données projet'!$B$9,Paramètres!$A$1:$I$89,3,0)*0.475*44/12</f>
        <v>0.491599882260633</v>
      </c>
      <c r="AB193" s="21">
        <f>EXP(-LN(2)/2)*AB192+(1-EXP(-LN(2)/2))/(LN(2)/2)*V193*Y193*VLOOKUP('Données projet'!$B$9,Paramètres!$A$1:$I$89,3,0)*0.475*44/12</f>
        <v>9.7606999991029683E-24</v>
      </c>
      <c r="AC193" s="22">
        <f t="shared" si="163"/>
        <v>0.74891007484078176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330.15282863041176</v>
      </c>
      <c r="T194" s="59">
        <f t="shared" si="142"/>
        <v>443.4702735944341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0.25226449664737255</v>
      </c>
      <c r="AA194" s="21">
        <f>EXP(-LN(2)/25)*AA193+(1-EXP(-LN(2)/25))/(LN(2)/25)*Calculateur!V194*Calculateur!X194*VLOOKUP('Données projet'!$B$9,Paramètres!$A$1:$I$89,3,0)*0.475*44/12</f>
        <v>0.47815705762810173</v>
      </c>
      <c r="AB194" s="21">
        <f>EXP(-LN(2)/2)*AB193+(1-EXP(-LN(2)/2))/(LN(2)/2)*V194*Y194*VLOOKUP('Données projet'!$B$9,Paramètres!$A$1:$I$89,3,0)*0.475*44/12</f>
        <v>6.9018571584932373E-24</v>
      </c>
      <c r="AC194" s="22">
        <f t="shared" si="163"/>
        <v>0.73042155427547428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330.15282863041176</v>
      </c>
      <c r="T195" s="59">
        <f t="shared" si="142"/>
        <v>443.4702735944341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0.24731774373426751</v>
      </c>
      <c r="AA195" s="21">
        <f>EXP(-LN(2)/25)*AA194+(1-EXP(-LN(2)/25))/(LN(2)/25)*Calculateur!V195*Calculateur!X195*VLOOKUP('Données projet'!$B$9,Paramètres!$A$1:$I$89,3,0)*0.475*44/12</f>
        <v>0.46508182774207446</v>
      </c>
      <c r="AB195" s="21">
        <f>EXP(-LN(2)/2)*AB194+(1-EXP(-LN(2)/2))/(LN(2)/2)*V195*Y195*VLOOKUP('Données projet'!$B$9,Paramètres!$A$1:$I$89,3,0)*0.475*44/12</f>
        <v>4.8803499995514842E-24</v>
      </c>
      <c r="AC195" s="22">
        <f t="shared" si="163"/>
        <v>0.71239957147634203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330.15282863041176</v>
      </c>
      <c r="T196" s="59">
        <f t="shared" si="142"/>
        <v>443.4702735944341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0.24246799362856711</v>
      </c>
      <c r="AA196" s="21">
        <f>EXP(-LN(2)/25)*AA195+(1-EXP(-LN(2)/25))/(LN(2)/25)*Calculateur!V196*Calculateur!X196*VLOOKUP('Données projet'!$B$9,Paramètres!$A$1:$I$89,3,0)*0.475*44/12</f>
        <v>0.45236414070487707</v>
      </c>
      <c r="AB196" s="21">
        <f>EXP(-LN(2)/2)*AB195+(1-EXP(-LN(2)/2))/(LN(2)/2)*V196*Y196*VLOOKUP('Données projet'!$B$9,Paramètres!$A$1:$I$89,3,0)*0.475*44/12</f>
        <v>3.4509285792466186E-24</v>
      </c>
      <c r="AC196" s="22">
        <f t="shared" si="163"/>
        <v>0.69483213433344415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330.15282863041176</v>
      </c>
      <c r="T197" s="59">
        <f t="shared" ref="T197:T203" si="204">$T$3</f>
        <v>443.4702735944341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0.237713344164384</v>
      </c>
      <c r="AA197" s="21">
        <f>EXP(-LN(2)/25)*AA196+(1-EXP(-LN(2)/25))/(LN(2)/25)*Calculateur!V197*Calculateur!X197*VLOOKUP('Données projet'!$B$9,Paramètres!$A$1:$I$89,3,0)*0.475*44/12</f>
        <v>0.43999421948850592</v>
      </c>
      <c r="AB197" s="21">
        <f>EXP(-LN(2)/2)*AB196+(1-EXP(-LN(2)/2))/(LN(2)/2)*V197*Y197*VLOOKUP('Données projet'!$B$9,Paramètres!$A$1:$I$89,3,0)*0.475*44/12</f>
        <v>2.4401749997757421E-24</v>
      </c>
      <c r="AC197" s="22">
        <f t="shared" si="163"/>
        <v>0.67770756365288998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330.15282863041176</v>
      </c>
      <c r="T198" s="59">
        <f t="shared" si="204"/>
        <v>443.4702735944341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0.23305193047614373</v>
      </c>
      <c r="AA198" s="21">
        <f>EXP(-LN(2)/25)*AA197+(1-EXP(-LN(2)/25))/(LN(2)/25)*Calculateur!V198*Calculateur!X198*VLOOKUP('Données projet'!$B$9,Paramètres!$A$1:$I$89,3,0)*0.475*44/12</f>
        <v>0.42796255441830233</v>
      </c>
      <c r="AB198" s="21">
        <f>EXP(-LN(2)/2)*AB197+(1-EXP(-LN(2)/2))/(LN(2)/2)*V198*Y198*VLOOKUP('Données projet'!$B$9,Paramètres!$A$1:$I$89,3,0)*0.475*44/12</f>
        <v>1.7254642896233093E-24</v>
      </c>
      <c r="AC198" s="22">
        <f t="shared" si="163"/>
        <v>0.66101448489444603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330.15282863041176</v>
      </c>
      <c r="T199" s="59">
        <f t="shared" si="204"/>
        <v>443.4702735944341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0.22848192426714822</v>
      </c>
      <c r="AA199" s="21">
        <f>EXP(-LN(2)/25)*AA198+(1-EXP(-LN(2)/25))/(LN(2)/25)*Calculateur!V199*Calculateur!X199*VLOOKUP('Données projet'!$B$9,Paramètres!$A$1:$I$89,3,0)*0.475*44/12</f>
        <v>0.41625989586216122</v>
      </c>
      <c r="AB199" s="21">
        <f>EXP(-LN(2)/2)*AB198+(1-EXP(-LN(2)/2))/(LN(2)/2)*V199*Y199*VLOOKUP('Données projet'!$B$9,Paramètres!$A$1:$I$89,3,0)*0.475*44/12</f>
        <v>1.220087499887871E-24</v>
      </c>
      <c r="AC199" s="22">
        <f t="shared" si="163"/>
        <v>0.64474182012930947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330.15282863041176</v>
      </c>
      <c r="T200" s="59">
        <f t="shared" si="204"/>
        <v>443.4702735944341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0.22400153309248258</v>
      </c>
      <c r="AA200" s="21">
        <f>EXP(-LN(2)/25)*AA199+(1-EXP(-LN(2)/25))/(LN(2)/25)*Calculateur!V200*Calculateur!X200*VLOOKUP('Données projet'!$B$9,Paramètres!$A$1:$I$89,3,0)*0.475*44/12</f>
        <v>0.40487724711965389</v>
      </c>
      <c r="AB200" s="21">
        <f>EXP(-LN(2)/2)*AB199+(1-EXP(-LN(2)/2))/(LN(2)/2)*V200*Y200*VLOOKUP('Données projet'!$B$9,Paramètres!$A$1:$I$89,3,0)*0.475*44/12</f>
        <v>8.6273214481165466E-25</v>
      </c>
      <c r="AC200" s="22">
        <f t="shared" si="163"/>
        <v>0.6288787802121365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330.15282863041176</v>
      </c>
      <c r="T201" s="59">
        <f t="shared" si="204"/>
        <v>443.4702735944341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0.21960899965598335</v>
      </c>
      <c r="AA201" s="21">
        <f>EXP(-LN(2)/25)*AA200+(1-EXP(-LN(2)/25))/(LN(2)/25)*Calculateur!V201*Calculateur!X201*VLOOKUP('Données projet'!$B$9,Paramètres!$A$1:$I$89,3,0)*0.475*44/12</f>
        <v>0.39380585750559788</v>
      </c>
      <c r="AB201" s="21">
        <f>EXP(-LN(2)/2)*AB200+(1-EXP(-LN(2)/2))/(LN(2)/2)*V201*Y201*VLOOKUP('Données projet'!$B$9,Paramètres!$A$1:$I$89,3,0)*0.475*44/12</f>
        <v>6.1004374994393552E-25</v>
      </c>
      <c r="AC201" s="22">
        <f t="shared" si="163"/>
        <v>0.61341485716158117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330.15282863041176</v>
      </c>
      <c r="T202" s="59">
        <f t="shared" si="204"/>
        <v>443.4702735944341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0.215302601120993</v>
      </c>
      <c r="AA202" s="21">
        <f>EXP(-LN(2)/25)*AA201+(1-EXP(-LN(2)/25))/(LN(2)/25)*Calculateur!V202*Calculateur!X202*VLOOKUP('Données projet'!$B$9,Paramètres!$A$1:$I$89,3,0)*0.475*44/12</f>
        <v>0.38303721562275733</v>
      </c>
      <c r="AB202" s="21">
        <f>EXP(-LN(2)/2)*AB201+(1-EXP(-LN(2)/2))/(LN(2)/2)*V202*Y202*VLOOKUP('Données projet'!$B$9,Paramètres!$A$1:$I$89,3,0)*0.475*44/12</f>
        <v>4.3136607240582733E-25</v>
      </c>
      <c r="AC202" s="22">
        <f t="shared" si="163"/>
        <v>0.59833981674375036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330.15282863041176</v>
      </c>
      <c r="T203" s="59">
        <f t="shared" si="204"/>
        <v>443.4702735944341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0.21108064843463009</v>
      </c>
      <c r="AA203" s="21">
        <f>EXP(-LN(2)/25)*AA202+(1-EXP(-LN(2)/25))/(LN(2)/25)*Calculateur!V203*Calculateur!X203*VLOOKUP('Données projet'!$B$9,Paramètres!$A$1:$I$89,3,0)*0.475*44/12</f>
        <v>0.37256304281850133</v>
      </c>
      <c r="AB203" s="21">
        <f>EXP(-LN(2)/2)*AB202+(1-EXP(-LN(2)/2))/(LN(2)/2)*V203*Y203*VLOOKUP('Données projet'!$B$9,Paramètres!$A$1:$I$89,3,0)*0.475*44/12</f>
        <v>3.0502187497196776E-25</v>
      </c>
      <c r="AC203" s="22">
        <f t="shared" si="163"/>
        <v>0.58364369125313142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1.3469591425177616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O12" sqref="O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1.41</v>
      </c>
      <c r="C6" s="147">
        <f ca="1">IF(OR('Données projet'!B9="",'Données projet'!C9="",'Données projet'!C9=0%),0,Calculateur!S3)</f>
        <v>330.15282863041176</v>
      </c>
      <c r="D6" s="147">
        <f>IF(OR('Données projet'!B9="",'Données projet'!C9="",'Données projet'!C9=0%),0,Calculateur!T3)</f>
        <v>443.4702735944341</v>
      </c>
      <c r="E6" s="147">
        <f ca="1">MIN(C6,D6)</f>
        <v>330.15282863041176</v>
      </c>
      <c r="F6" s="147">
        <f ca="1">E6*B6</f>
        <v>465.51548836888054</v>
      </c>
      <c r="G6" s="147">
        <f ca="1">F6*(100%-'Données projet'!$C$24)*(100%-'Données projet'!$C$25)*(100%-'Données projet'!$C$26)*(100%-'Données projet'!$C$27)</f>
        <v>418.96393953199248</v>
      </c>
      <c r="H6" s="148">
        <f>IF(OR('Données projet'!B9="",'Données projet'!C9="",'Données projet'!C9=0%),0,AVERAGE(Calculateur!$AC$3:$AC$33)*B6)</f>
        <v>17.514125329303205</v>
      </c>
      <c r="I6" s="149">
        <f>H6*(100%-'Données projet'!$C$24)*(100%-'Données projet'!$C$25)*(100%-'Données projet'!$C$26)*(100%-'Données projet'!$C$27)</f>
        <v>15.762712796372885</v>
      </c>
      <c r="J6" s="150">
        <f>IF(OR('Données projet'!B9="",'Données projet'!C9="",'Données projet'!C9=0%),0,SUM(Calculateur!$V$3:$V$33)*VLOOKUP('Données projet'!$B$9,Paramètres!$A$1:$I$89,9,0)*B6)</f>
        <v>118.8348</v>
      </c>
      <c r="K6" s="151">
        <f>J6*(100%-'Données projet'!$C$24)*(100%-'Données projet'!$C$25)*(100%-'Données projet'!$C$26)*(100%-'Données projet'!$C$27)</f>
        <v>106.95132000000001</v>
      </c>
      <c r="L6" s="152">
        <f ca="1">G6+I6+K6</f>
        <v>541.6779723283654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465.51548836888054</v>
      </c>
      <c r="G16" s="166">
        <f t="shared" ca="1" si="3"/>
        <v>418.96393953199248</v>
      </c>
      <c r="H16" s="167">
        <f t="shared" si="3"/>
        <v>17.514125329303205</v>
      </c>
      <c r="I16" s="167">
        <f t="shared" si="3"/>
        <v>15.762712796372885</v>
      </c>
      <c r="J16" s="168">
        <f t="shared" si="3"/>
        <v>118.8348</v>
      </c>
      <c r="K16" s="168">
        <f t="shared" si="3"/>
        <v>106.95132000000001</v>
      </c>
      <c r="L16" s="169">
        <f t="shared" ca="1" si="3"/>
        <v>541.6779723283654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I25" sqref="I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1459.9838006176321</v>
      </c>
      <c r="U10" s="178">
        <f>'Données projet'!D9</f>
        <v>1.41</v>
      </c>
      <c r="V10" s="177">
        <f>U10*T10</f>
        <v>2058.5771588708612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1300*(0.65+0.65)</f>
        <v>1690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249.99999999999983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(1150+303+1047.8)*0.65+(165+1250+1190+682)*0.77</f>
        <v>4156.51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18</v>
      </c>
      <c r="B23" s="181">
        <f>'Données projet'!D36</f>
        <v>55</v>
      </c>
      <c r="C23" s="193">
        <v>1.95</v>
      </c>
      <c r="D23" s="182">
        <f>B23*C23</f>
        <v>107.25</v>
      </c>
      <c r="E23" s="193"/>
      <c r="F23" s="230"/>
      <c r="H23" s="190">
        <v>3</v>
      </c>
      <c r="I23" s="191">
        <v>1150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-7332.4809536502125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24</v>
      </c>
      <c r="B24" s="181">
        <f>'Données projet'!D37</f>
        <v>66</v>
      </c>
      <c r="C24" s="193">
        <v>1.95</v>
      </c>
      <c r="D24" s="182">
        <f t="shared" ref="D24:D42" si="2">B24*C24</f>
        <v>128.69999999999999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39.025151612892351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75</v>
      </c>
      <c r="C25" s="193">
        <v>4.4800000000000004</v>
      </c>
      <c r="D25" s="182">
        <f t="shared" si="2"/>
        <v>336.00000000000006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-7371.5061052631045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36</v>
      </c>
      <c r="B26" s="181">
        <f>'Données projet'!D39</f>
        <v>89</v>
      </c>
      <c r="C26" s="193">
        <v>4.4800000000000004</v>
      </c>
      <c r="D26" s="182">
        <f t="shared" si="2"/>
        <v>398.72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42</v>
      </c>
      <c r="B27" s="181">
        <f>'Données projet'!D40</f>
        <v>94</v>
      </c>
      <c r="C27" s="193">
        <v>32.799999999999997</v>
      </c>
      <c r="D27" s="182">
        <f t="shared" si="2"/>
        <v>3083.2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48</v>
      </c>
      <c r="B28" s="181">
        <f>'Données projet'!D41</f>
        <v>103</v>
      </c>
      <c r="C28" s="193">
        <v>32.799999999999997</v>
      </c>
      <c r="D28" s="182">
        <f t="shared" si="2"/>
        <v>3378.3999999999996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54</v>
      </c>
      <c r="B29" s="181">
        <f>'Données projet'!D42</f>
        <v>650</v>
      </c>
      <c r="C29" s="193">
        <v>33</v>
      </c>
      <c r="D29" s="182">
        <f t="shared" si="2"/>
        <v>21450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>
        <v>55</v>
      </c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>
        <v>55.11</v>
      </c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>
        <v>75</v>
      </c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2024-11-22T09:03:09Z</dcterms:modified>
</cp:coreProperties>
</file>