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LA FERTE EN OUCHE (61) -  DEULEY 2-SWC-Perenco\dossier déposé 10072024\"/>
    </mc:Choice>
  </mc:AlternateContent>
  <xr:revisionPtr revIDLastSave="0" documentId="13_ncr:1_{12E00E4C-E7F2-4377-B556-A0AA3C31E283}" xr6:coauthVersionLast="36" xr6:coauthVersionMax="36" xr10:uidLastSave="{00000000-0000-0000-0000-000000000000}"/>
  <bookViews>
    <workbookView xWindow="0" yWindow="0" windowWidth="21570" windowHeight="789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G156" i="2"/>
  <c r="FS156" i="2"/>
  <c r="DH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HH160" i="2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EB161" i="2"/>
  <c r="EA161" i="2"/>
  <c r="ED160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V185" i="2"/>
  <c r="EW185" i="2"/>
  <c r="EA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DI192" i="2"/>
  <c r="EX193" i="2"/>
  <c r="FQ193" i="2"/>
  <c r="EB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EA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D200" i="2"/>
  <c r="EB201" i="2"/>
  <c r="DI200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62" i="2" l="1" a="1"/>
  <c r="AH62" i="2" s="1"/>
  <c r="AH90" i="2" a="1"/>
  <c r="AH90" i="2" s="1"/>
  <c r="FS203" i="2"/>
  <c r="BC83" i="2" a="1"/>
  <c r="BC83" i="2" s="1"/>
  <c r="BC151" i="2" a="1"/>
  <c r="BC151" i="2" s="1"/>
  <c r="CS114" i="2" a="1"/>
  <c r="CS114" i="2" s="1"/>
  <c r="CS77" i="2" a="1"/>
  <c r="CS77" i="2" s="1"/>
  <c r="CS120" i="2" a="1"/>
  <c r="CS120" i="2" s="1"/>
  <c r="CS52" i="2" a="1"/>
  <c r="CS52" i="2" s="1"/>
  <c r="CS137" i="2" a="1"/>
  <c r="CS137" i="2" s="1"/>
  <c r="CS129" i="2" a="1"/>
  <c r="CS129" i="2" s="1"/>
  <c r="CS66" i="2" a="1"/>
  <c r="CS66" i="2" s="1"/>
  <c r="CS185" i="2" a="1"/>
  <c r="CS185" i="2" s="1"/>
  <c r="BC47" i="2" a="1"/>
  <c r="BC47" i="2" s="1"/>
  <c r="BC68" i="2" a="1"/>
  <c r="BC68" i="2" s="1"/>
  <c r="CS134" i="2" a="1"/>
  <c r="CS134" i="2" s="1"/>
  <c r="CS24" i="2" a="1"/>
  <c r="CS24" i="2" s="1"/>
  <c r="CS116" i="2" a="1"/>
  <c r="CS116" i="2" s="1"/>
  <c r="CS38" i="2" a="1"/>
  <c r="CS38" i="2" s="1"/>
  <c r="CS105" i="2" a="1"/>
  <c r="CS105" i="2" s="1"/>
  <c r="CS161" i="2" a="1"/>
  <c r="CS161" i="2" s="1"/>
  <c r="CS56" i="2" a="1"/>
  <c r="CS56" i="2" s="1"/>
  <c r="CS72" i="2" a="1"/>
  <c r="CS72" i="2" s="1"/>
  <c r="BC181" i="2" a="1"/>
  <c r="BC181" i="2" s="1"/>
  <c r="BC117" i="2" a="1"/>
  <c r="BC117" i="2" s="1"/>
  <c r="BC164" i="2" a="1"/>
  <c r="BC164" i="2" s="1"/>
  <c r="BC65" i="2" a="1"/>
  <c r="BC65" i="2" s="1"/>
  <c r="BC32" i="2" a="1"/>
  <c r="BC32" i="2" s="1"/>
  <c r="BC192" i="2" a="1"/>
  <c r="BC192" i="2" s="1"/>
  <c r="BC114" i="2" a="1"/>
  <c r="BC114" i="2" s="1"/>
  <c r="BC18" i="2" a="1"/>
  <c r="BC18" i="2" s="1"/>
  <c r="BC55" i="2" a="1"/>
  <c r="BC55" i="2" s="1"/>
  <c r="BC126" i="2" a="1"/>
  <c r="BC126" i="2" s="1"/>
  <c r="BC38" i="2" a="1"/>
  <c r="BC38" i="2" s="1"/>
  <c r="BC130" i="2" a="1"/>
  <c r="BC130" i="2" s="1"/>
  <c r="BC82" i="2" a="1"/>
  <c r="BC82" i="2" s="1"/>
  <c r="BC7" i="2" a="1"/>
  <c r="BC7" i="2" s="1"/>
  <c r="BC58" i="2" a="1"/>
  <c r="BC58" i="2" s="1"/>
  <c r="BC34" i="2" a="1"/>
  <c r="BC34" i="2" s="1"/>
  <c r="BC143" i="2" a="1"/>
  <c r="BC143" i="2" s="1"/>
  <c r="BC185" i="2" a="1"/>
  <c r="BC185" i="2" s="1"/>
  <c r="BC31" i="2" a="1"/>
  <c r="BC31" i="2" s="1"/>
  <c r="BX107" i="2" a="1"/>
  <c r="BX107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M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M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70" i="2" l="1"/>
  <c r="BI165" i="2"/>
  <c r="BI157" i="2"/>
  <c r="BI76" i="2"/>
  <c r="BI154" i="2"/>
  <c r="BI54" i="2"/>
  <c r="BI17" i="2"/>
  <c r="BI35" i="2"/>
  <c r="BI75" i="2"/>
  <c r="BI44" i="2"/>
  <c r="BI117" i="2"/>
  <c r="BI174" i="2"/>
  <c r="BI53" i="2"/>
  <c r="BI47" i="2"/>
  <c r="BI202" i="2"/>
  <c r="BI105" i="2"/>
  <c r="BI86" i="2"/>
  <c r="BI168" i="2"/>
  <c r="BI81" i="2"/>
  <c r="BI182" i="2"/>
  <c r="BI64" i="2"/>
  <c r="BI130" i="2"/>
  <c r="BI67" i="2"/>
  <c r="BI88" i="2"/>
  <c r="BI46" i="2"/>
  <c r="BI68" i="2"/>
  <c r="BI78" i="2"/>
  <c r="BI193" i="2"/>
  <c r="BI73" i="2"/>
  <c r="BI148" i="2"/>
  <c r="BI114" i="2"/>
  <c r="BI159" i="2"/>
  <c r="BI13" i="2"/>
  <c r="BI111" i="2"/>
  <c r="BI172" i="2"/>
  <c r="BI63" i="2"/>
  <c r="BI158" i="2"/>
  <c r="BI33" i="2"/>
  <c r="BI121" i="2"/>
  <c r="BI131" i="2"/>
  <c r="BI181" i="2"/>
  <c r="BI180" i="2"/>
  <c r="BI52" i="2"/>
  <c r="BI50" i="2"/>
  <c r="BI4" i="2"/>
  <c r="BI188" i="2"/>
  <c r="BI59" i="2"/>
  <c r="BI39" i="2"/>
  <c r="BI136" i="2"/>
  <c r="BI103" i="2"/>
  <c r="BI96" i="2"/>
  <c r="BI125" i="2"/>
  <c r="BI28" i="2"/>
  <c r="BI89" i="2"/>
  <c r="BI143" i="2"/>
  <c r="BI95" i="2"/>
  <c r="BI94" i="2"/>
  <c r="BI60" i="2"/>
  <c r="BI142" i="2"/>
  <c r="BI69" i="2"/>
  <c r="BI149" i="2"/>
  <c r="BI153" i="2"/>
  <c r="BI48" i="2"/>
  <c r="BI104" i="2"/>
  <c r="BI93" i="2"/>
  <c r="BI43" i="2"/>
  <c r="BI156" i="2"/>
  <c r="BI82" i="2"/>
  <c r="BI40" i="2"/>
  <c r="BI183" i="2"/>
  <c r="BI187" i="2"/>
  <c r="BI191" i="2"/>
  <c r="BI126" i="2"/>
  <c r="BI145" i="2"/>
  <c r="BI15" i="2"/>
  <c r="BI12" i="2"/>
  <c r="BI16" i="2"/>
  <c r="BI177" i="2"/>
  <c r="BI113" i="2"/>
  <c r="BI31" i="2"/>
  <c r="BI109" i="2"/>
  <c r="BI115" i="2"/>
  <c r="BI194" i="2"/>
  <c r="BI98" i="2"/>
  <c r="BI169" i="2"/>
  <c r="BI7" i="2"/>
  <c r="BI116" i="2"/>
  <c r="BI141" i="2"/>
  <c r="BI184" i="2"/>
  <c r="BI120" i="2"/>
  <c r="BI167" i="2"/>
  <c r="BI56" i="2"/>
  <c r="BI152" i="2"/>
  <c r="BI71" i="2"/>
  <c r="BI61" i="2"/>
  <c r="BI127" i="2"/>
  <c r="BI190" i="2"/>
  <c r="BI199" i="2"/>
  <c r="BI101" i="2"/>
  <c r="BI42" i="2"/>
  <c r="BI192" i="2"/>
  <c r="BI102" i="2"/>
  <c r="BI151" i="2"/>
  <c r="BI133" i="2"/>
  <c r="BI124" i="2"/>
  <c r="BI37" i="2"/>
  <c r="BI24" i="2"/>
  <c r="BI41" i="2"/>
  <c r="BI128" i="2"/>
  <c r="BI32" i="2"/>
  <c r="BI144" i="2"/>
  <c r="BI77" i="2"/>
  <c r="BI129" i="2"/>
  <c r="BI196" i="2"/>
  <c r="BI65" i="2"/>
  <c r="BI5" i="2"/>
  <c r="BI140" i="2"/>
  <c r="BI97" i="2"/>
  <c r="BI21" i="2"/>
  <c r="BI66" i="2"/>
  <c r="BI14" i="2"/>
  <c r="BI198" i="2"/>
  <c r="BI134" i="2"/>
  <c r="BI173" i="2"/>
  <c r="BI83" i="2"/>
  <c r="BI160" i="2"/>
  <c r="BI9" i="2"/>
  <c r="BI74" i="2"/>
  <c r="BI122" i="2"/>
  <c r="BI99" i="2"/>
  <c r="BI150" i="2"/>
  <c r="BI163" i="2"/>
  <c r="BI23" i="2"/>
  <c r="BI155" i="2"/>
  <c r="BI161" i="2"/>
  <c r="BI30" i="2"/>
  <c r="BI186" i="2"/>
  <c r="BI34" i="2"/>
  <c r="BI179" i="2"/>
  <c r="BI162" i="2"/>
  <c r="BI201" i="2"/>
  <c r="BI185" i="2"/>
  <c r="BI92" i="2"/>
  <c r="BI36" i="2"/>
  <c r="BI20" i="2"/>
  <c r="BI119" i="2"/>
  <c r="BI200" i="2"/>
  <c r="BI38" i="2"/>
  <c r="BI171" i="2"/>
  <c r="BI8" i="2"/>
  <c r="BI107" i="2"/>
  <c r="BI6" i="2"/>
  <c r="BI29" i="2"/>
  <c r="BI146" i="2"/>
  <c r="BI27" i="2"/>
  <c r="BI11" i="2"/>
  <c r="BI112" i="2"/>
  <c r="BI135" i="2"/>
  <c r="BI100" i="2"/>
  <c r="BI139" i="2"/>
  <c r="BI72" i="2"/>
  <c r="BI137" i="2"/>
  <c r="BI138" i="2"/>
  <c r="BI91" i="2"/>
  <c r="BI123" i="2"/>
  <c r="BI49" i="2"/>
  <c r="BI203" i="2"/>
  <c r="BI108" i="2"/>
  <c r="BI25" i="2"/>
  <c r="BI58" i="2"/>
  <c r="BI178" i="2"/>
  <c r="BI80" i="2"/>
  <c r="BI170" i="2"/>
  <c r="BI176" i="2"/>
  <c r="BI57" i="2"/>
  <c r="BI175" i="2"/>
  <c r="BI22" i="2"/>
  <c r="BI90" i="2"/>
  <c r="BI166" i="2"/>
  <c r="BI118" i="2"/>
  <c r="BI62" i="2"/>
  <c r="BI18" i="2"/>
  <c r="BI51" i="2"/>
  <c r="BI132" i="2"/>
  <c r="BI19" i="2"/>
  <c r="BI85" i="2"/>
  <c r="BI147" i="2"/>
  <c r="BI3" i="2"/>
  <c r="C8" i="4" s="1"/>
  <c r="E8" i="4" s="1"/>
  <c r="F8" i="4" s="1"/>
  <c r="G8" i="4" s="1"/>
  <c r="L8" i="4" s="1"/>
  <c r="M8" i="4" s="1"/>
  <c r="BI164" i="2"/>
  <c r="BI106" i="2"/>
  <c r="BI10" i="2"/>
  <c r="BI55" i="2"/>
  <c r="BI195" i="2"/>
  <c r="BI84" i="2"/>
  <c r="BI110" i="2"/>
  <c r="BI87" i="2"/>
  <c r="BI79" i="2"/>
  <c r="BI45" i="2"/>
  <c r="BI26" i="2"/>
  <c r="BI197" i="2"/>
  <c r="BI189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<sst xmlns="http://schemas.openxmlformats.org/spreadsheetml/2006/main" count="1174" uniqueCount="324">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</sst>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1.945758313630227</c:v>
                </c:pt>
                <c:pt idx="2">
                  <c:v>2.6050980468053448</c:v>
                </c:pt>
                <c:pt idx="3">
                  <c:v>3.4887980517210706</c:v>
                </c:pt>
                <c:pt idx="4">
                  <c:v>4.6735040654797206</c:v>
                </c:pt>
                <c:pt idx="5">
                  <c:v>6.2621414188034761</c:v>
                </c:pt>
                <c:pt idx="6">
                  <c:v>8.3929560750059693</c:v>
                </c:pt>
                <c:pt idx="7">
                  <c:v>11.251675760913587</c:v>
                </c:pt>
                <c:pt idx="8">
                  <c:v>15.087871001792513</c:v>
                </c:pt>
                <c:pt idx="9">
                  <c:v>20.236970540629144</c:v>
                </c:pt>
                <c:pt idx="10">
                  <c:v>27.149890593651492</c:v>
                </c:pt>
                <c:pt idx="11">
                  <c:v>36.432918080797933</c:v>
                </c:pt>
                <c:pt idx="12">
                  <c:v>48.901405640152291</c:v>
                </c:pt>
                <c:pt idx="13">
                  <c:v>65.652073559199778</c:v>
                </c:pt>
                <c:pt idx="14">
                  <c:v>88.160382293019723</c:v>
                </c:pt>
                <c:pt idx="15">
                  <c:v>118.41168955175056</c:v>
                </c:pt>
                <c:pt idx="16">
                  <c:v>159.07794124592061</c:v>
                </c:pt>
                <c:pt idx="17">
                  <c:v>213.75574019899872</c:v>
                </c:pt>
                <c:pt idx="18">
                  <c:v>249.31858647831859</c:v>
                </c:pt>
                <c:pt idx="19">
                  <c:v>186.65295119618835</c:v>
                </c:pt>
                <c:pt idx="20">
                  <c:v>219.38527831101297</c:v>
                </c:pt>
                <c:pt idx="21">
                  <c:v>252.00526262376073</c:v>
                </c:pt>
                <c:pt idx="22">
                  <c:v>284.52949620568376</c:v>
                </c:pt>
                <c:pt idx="23">
                  <c:v>316.97045957191079</c:v>
                </c:pt>
                <c:pt idx="24">
                  <c:v>353.21835259366952</c:v>
                </c:pt>
                <c:pt idx="25">
                  <c:v>324.75291318794217</c:v>
                </c:pt>
                <c:pt idx="26">
                  <c:v>357.64353127694949</c:v>
                </c:pt>
                <c:pt idx="27">
                  <c:v>391.75345691850794</c:v>
                </c:pt>
                <c:pt idx="28">
                  <c:v>425.79897297789597</c:v>
                </c:pt>
                <c:pt idx="29">
                  <c:v>461.70741999611255</c:v>
                </c:pt>
                <c:pt idx="30">
                  <c:v>497.55629175055515</c:v>
                </c:pt>
                <c:pt idx="31">
                  <c:v>434.07832225738576</c:v>
                </c:pt>
                <c:pt idx="32">
                  <c:v>466.6407952399947</c:v>
                </c:pt>
                <c:pt idx="33">
                  <c:v>500.64674115998105</c:v>
                </c:pt>
                <c:pt idx="34">
                  <c:v>534.60381399607388</c:v>
                </c:pt>
                <c:pt idx="35">
                  <c:v>569.77901956235246</c:v>
                </c:pt>
                <c:pt idx="36">
                  <c:v>604.90887079787183</c:v>
                </c:pt>
                <c:pt idx="37">
                  <c:v>535.66200804942548</c:v>
                </c:pt>
                <c:pt idx="38">
                  <c:v>567.84246187417853</c:v>
                </c:pt>
                <c:pt idx="39">
                  <c:v>600.99917872090748</c:v>
                </c:pt>
                <c:pt idx="40">
                  <c:v>634.11789501107194</c:v>
                </c:pt>
                <c:pt idx="41">
                  <c:v>668.08943967387813</c:v>
                </c:pt>
                <c:pt idx="42">
                  <c:v>702.0254786345663</c:v>
                </c:pt>
                <c:pt idx="43">
                  <c:v>625.80482280365356</c:v>
                </c:pt>
                <c:pt idx="44">
                  <c:v>657.01294905815314</c:v>
                </c:pt>
                <c:pt idx="45">
                  <c:v>688.88449344969774</c:v>
                </c:pt>
                <c:pt idx="46">
                  <c:v>720.72582265116989</c:v>
                </c:pt>
                <c:pt idx="47">
                  <c:v>753.17243083327423</c:v>
                </c:pt>
                <c:pt idx="48">
                  <c:v>785.59065255131372</c:v>
                </c:pt>
                <c:pt idx="49">
                  <c:v>696.17586923903229</c:v>
                </c:pt>
                <c:pt idx="50">
                  <c:v>725.80175633672332</c:v>
                </c:pt>
                <c:pt idx="51">
                  <c:v>756.00757035468848</c:v>
                </c:pt>
                <c:pt idx="52">
                  <c:v>786.18888455630861</c:v>
                </c:pt>
                <c:pt idx="53">
                  <c:v>816.78630665073081</c:v>
                </c:pt>
                <c:pt idx="54">
                  <c:v>847.360640692846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2.1235768107516506</c:v>
                </c:pt>
                <c:pt idx="2">
                  <c:v>3.1747774382906919</c:v>
                </c:pt>
                <c:pt idx="3">
                  <c:v>4.7487335057765518</c:v>
                </c:pt>
                <c:pt idx="4">
                  <c:v>7.1065266585855369</c:v>
                </c:pt>
                <c:pt idx="5">
                  <c:v>10.64015134219788</c:v>
                </c:pt>
                <c:pt idx="6">
                  <c:v>15.938398260732454</c:v>
                </c:pt>
                <c:pt idx="7">
                  <c:v>23.886005345963287</c:v>
                </c:pt>
                <c:pt idx="8">
                  <c:v>35.812925399151389</c:v>
                </c:pt>
                <c:pt idx="9">
                  <c:v>53.719116545060238</c:v>
                </c:pt>
                <c:pt idx="10">
                  <c:v>80.613174971542193</c:v>
                </c:pt>
                <c:pt idx="11">
                  <c:v>81.819481103992061</c:v>
                </c:pt>
                <c:pt idx="12">
                  <c:v>104.66135602287243</c:v>
                </c:pt>
                <c:pt idx="13">
                  <c:v>127.37953432582198</c:v>
                </c:pt>
                <c:pt idx="14">
                  <c:v>149.99929195346508</c:v>
                </c:pt>
                <c:pt idx="15">
                  <c:v>172.53759735059677</c:v>
                </c:pt>
                <c:pt idx="16">
                  <c:v>147.62234714684953</c:v>
                </c:pt>
                <c:pt idx="17">
                  <c:v>171.35318959873044</c:v>
                </c:pt>
                <c:pt idx="18">
                  <c:v>195.00660139274046</c:v>
                </c:pt>
                <c:pt idx="19">
                  <c:v>218.59330254631723</c:v>
                </c:pt>
                <c:pt idx="20">
                  <c:v>242.12150514745778</c:v>
                </c:pt>
                <c:pt idx="21">
                  <c:v>207.98697030718017</c:v>
                </c:pt>
                <c:pt idx="22">
                  <c:v>229.18781162828358</c:v>
                </c:pt>
                <c:pt idx="23">
                  <c:v>250.3437966497514</c:v>
                </c:pt>
                <c:pt idx="24">
                  <c:v>271.45924852820451</c:v>
                </c:pt>
                <c:pt idx="25">
                  <c:v>292.53776259751828</c:v>
                </c:pt>
                <c:pt idx="26">
                  <c:v>257.85595699105767</c:v>
                </c:pt>
                <c:pt idx="27">
                  <c:v>274.74047191396772</c:v>
                </c:pt>
                <c:pt idx="28">
                  <c:v>291.60168035874665</c:v>
                </c:pt>
                <c:pt idx="29">
                  <c:v>308.44111949657531</c:v>
                </c:pt>
                <c:pt idx="30">
                  <c:v>325.26014493454312</c:v>
                </c:pt>
                <c:pt idx="31">
                  <c:v>294.87767605242158</c:v>
                </c:pt>
                <c:pt idx="32">
                  <c:v>307.73989261056744</c:v>
                </c:pt>
                <c:pt idx="33">
                  <c:v>320.59016923293353</c:v>
                </c:pt>
                <c:pt idx="34">
                  <c:v>333.42905204366167</c:v>
                </c:pt>
                <c:pt idx="35">
                  <c:v>346.25704166537025</c:v>
                </c:pt>
                <c:pt idx="36">
                  <c:v>321.99131895367555</c:v>
                </c:pt>
                <c:pt idx="37">
                  <c:v>331.56226659313359</c:v>
                </c:pt>
                <c:pt idx="38">
                  <c:v>341.12712268545346</c:v>
                </c:pt>
                <c:pt idx="39">
                  <c:v>350.68608221443066</c:v>
                </c:pt>
                <c:pt idx="40">
                  <c:v>360.23932866053048</c:v>
                </c:pt>
                <c:pt idx="41">
                  <c:v>341.59354866525337</c:v>
                </c:pt>
                <c:pt idx="42">
                  <c:v>348.58826964633084</c:v>
                </c:pt>
                <c:pt idx="43">
                  <c:v>355.57991102673355</c:v>
                </c:pt>
                <c:pt idx="44">
                  <c:v>362.56854195764782</c:v>
                </c:pt>
                <c:pt idx="45">
                  <c:v>369.55422870449621</c:v>
                </c:pt>
                <c:pt idx="46">
                  <c:v>355.81291351737855</c:v>
                </c:pt>
                <c:pt idx="47">
                  <c:v>360.70519760433893</c:v>
                </c:pt>
                <c:pt idx="48">
                  <c:v>365.59603057312398</c:v>
                </c:pt>
                <c:pt idx="49">
                  <c:v>370.48543459961485</c:v>
                </c:pt>
                <c:pt idx="50">
                  <c:v>375.3734312259034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2.1728865530609904</c:v>
                </c:pt>
                <c:pt idx="2">
                  <c:v>2.5020750524075739</c:v>
                </c:pt>
                <c:pt idx="3">
                  <c:v>2.8813160471891153</c:v>
                </c:pt>
                <c:pt idx="4">
                  <c:v>3.3182459713472077</c:v>
                </c:pt>
                <c:pt idx="5">
                  <c:v>3.8216700721237102</c:v>
                </c:pt>
                <c:pt idx="6">
                  <c:v>4.4017418391849237</c:v>
                </c:pt>
                <c:pt idx="7">
                  <c:v>5.0701700545988864</c:v>
                </c:pt>
                <c:pt idx="8">
                  <c:v>5.8404577263374691</c:v>
                </c:pt>
                <c:pt idx="9">
                  <c:v>6.7281778273525523</c:v>
                </c:pt>
                <c:pt idx="10">
                  <c:v>7.7512915238656204</c:v>
                </c:pt>
                <c:pt idx="11">
                  <c:v>8.9305154561876599</c:v>
                </c:pt>
                <c:pt idx="12">
                  <c:v>10.289745651495487</c:v>
                </c:pt>
                <c:pt idx="13">
                  <c:v>11.856546821731341</c:v>
                </c:pt>
                <c:pt idx="14">
                  <c:v>13.662717155662767</c:v>
                </c:pt>
                <c:pt idx="15">
                  <c:v>15.744940280453227</c:v>
                </c:pt>
                <c:pt idx="16">
                  <c:v>31.827511830988218</c:v>
                </c:pt>
                <c:pt idx="17">
                  <c:v>47.675662369557671</c:v>
                </c:pt>
                <c:pt idx="18">
                  <c:v>63.381438285738369</c:v>
                </c:pt>
                <c:pt idx="19">
                  <c:v>78.985658686980315</c:v>
                </c:pt>
                <c:pt idx="20">
                  <c:v>94.511374358021442</c:v>
                </c:pt>
                <c:pt idx="21">
                  <c:v>77.039795407554195</c:v>
                </c:pt>
                <c:pt idx="22">
                  <c:v>93.54300984173409</c:v>
                </c:pt>
                <c:pt idx="23">
                  <c:v>109.973356395332</c:v>
                </c:pt>
                <c:pt idx="24">
                  <c:v>126.34328980004544</c:v>
                </c:pt>
                <c:pt idx="25">
                  <c:v>142.66175528595954</c:v>
                </c:pt>
                <c:pt idx="26">
                  <c:v>124.42023577374732</c:v>
                </c:pt>
                <c:pt idx="27">
                  <c:v>139.78544645111364</c:v>
                </c:pt>
                <c:pt idx="28">
                  <c:v>155.11009448419279</c:v>
                </c:pt>
                <c:pt idx="29">
                  <c:v>170.39875516780378</c:v>
                </c:pt>
                <c:pt idx="30">
                  <c:v>185.65511405728049</c:v>
                </c:pt>
                <c:pt idx="31">
                  <c:v>165.94304898048827</c:v>
                </c:pt>
                <c:pt idx="32">
                  <c:v>179.61979491259879</c:v>
                </c:pt>
                <c:pt idx="33">
                  <c:v>193.27214793812971</c:v>
                </c:pt>
                <c:pt idx="34">
                  <c:v>206.90207469254884</c:v>
                </c:pt>
                <c:pt idx="35">
                  <c:v>220.51126127527388</c:v>
                </c:pt>
                <c:pt idx="36">
                  <c:v>199.29733339063125</c:v>
                </c:pt>
                <c:pt idx="37">
                  <c:v>211.33517469493427</c:v>
                </c:pt>
                <c:pt idx="38">
                  <c:v>223.35721067093763</c:v>
                </c:pt>
                <c:pt idx="39">
                  <c:v>235.364412380365</c:v>
                </c:pt>
                <c:pt idx="40">
                  <c:v>247.35764363735254</c:v>
                </c:pt>
                <c:pt idx="41">
                  <c:v>224.62180940242982</c:v>
                </c:pt>
                <c:pt idx="42">
                  <c:v>235.04861594933149</c:v>
                </c:pt>
                <c:pt idx="43">
                  <c:v>245.46487179097758</c:v>
                </c:pt>
                <c:pt idx="44">
                  <c:v>255.87108808447678</c:v>
                </c:pt>
                <c:pt idx="45">
                  <c:v>266.2677309805793</c:v>
                </c:pt>
                <c:pt idx="46">
                  <c:v>246.72675637125681</c:v>
                </c:pt>
                <c:pt idx="47">
                  <c:v>255.55589110183152</c:v>
                </c:pt>
                <c:pt idx="48">
                  <c:v>264.37812461851775</c:v>
                </c:pt>
                <c:pt idx="49">
                  <c:v>273.19371990423565</c:v>
                </c:pt>
                <c:pt idx="50">
                  <c:v>282.00292156784468</c:v>
                </c:pt>
                <c:pt idx="51">
                  <c:v>269.10157451791798</c:v>
                </c:pt>
                <c:pt idx="52">
                  <c:v>276.65522722712586</c:v>
                </c:pt>
                <c:pt idx="53">
                  <c:v>284.20425004649184</c:v>
                </c:pt>
                <c:pt idx="54">
                  <c:v>291.74878343647839</c:v>
                </c:pt>
                <c:pt idx="55">
                  <c:v>299.28895999218281</c:v>
                </c:pt>
                <c:pt idx="56">
                  <c:v>288.29142094764006</c:v>
                </c:pt>
                <c:pt idx="57">
                  <c:v>294.57685332640864</c:v>
                </c:pt>
                <c:pt idx="58">
                  <c:v>300.85929346257672</c:v>
                </c:pt>
                <c:pt idx="59">
                  <c:v>307.1388127336478</c:v>
                </c:pt>
                <c:pt idx="60">
                  <c:v>313.41547935665454</c:v>
                </c:pt>
                <c:pt idx="61">
                  <c:v>304.62735109477939</c:v>
                </c:pt>
                <c:pt idx="62">
                  <c:v>309.96366175953614</c:v>
                </c:pt>
                <c:pt idx="63">
                  <c:v>315.29793290744811</c:v>
                </c:pt>
                <c:pt idx="64">
                  <c:v>320.63020395999411</c:v>
                </c:pt>
                <c:pt idx="65">
                  <c:v>325.96051291867633</c:v>
                </c:pt>
                <c:pt idx="66">
                  <c:v>318.1211466365566</c:v>
                </c:pt>
                <c:pt idx="67">
                  <c:v>322.82527256570933</c:v>
                </c:pt>
                <c:pt idx="68">
                  <c:v>327.52788280677856</c:v>
                </c:pt>
                <c:pt idx="69">
                  <c:v>332.22900222431537</c:v>
                </c:pt>
                <c:pt idx="70">
                  <c:v>336.92865492077641</c:v>
                </c:pt>
                <c:pt idx="71">
                  <c:v>328.46822517413676</c:v>
                </c:pt>
                <c:pt idx="72">
                  <c:v>332.54235777302137</c:v>
                </c:pt>
                <c:pt idx="73">
                  <c:v>336.61538989990407</c:v>
                </c:pt>
                <c:pt idx="74">
                  <c:v>340.68733676992099</c:v>
                </c:pt>
                <c:pt idx="75">
                  <c:v>344.75821320428184</c:v>
                </c:pt>
                <c:pt idx="76">
                  <c:v>337.2419135270307</c:v>
                </c:pt>
                <c:pt idx="77">
                  <c:v>340.68733676992099</c:v>
                </c:pt>
                <c:pt idx="78">
                  <c:v>344.13199361263992</c:v>
                </c:pt>
                <c:pt idx="79">
                  <c:v>347.57589282165401</c:v>
                </c:pt>
                <c:pt idx="80">
                  <c:v>351.01904297525942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F20" sqref="F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5.7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0.5232</v>
      </c>
      <c r="D9" s="36">
        <f t="shared" ref="D9:D18" si="0">C9*$C$5</f>
        <v>2.98224</v>
      </c>
      <c r="E9" s="37">
        <v>54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4.36E-2</v>
      </c>
      <c r="D10" s="36">
        <f t="shared" si="0"/>
        <v>0.24852000000000002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7.1900000000000006E-2</v>
      </c>
      <c r="D11" s="36">
        <f t="shared" si="0"/>
        <v>0.40983000000000003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81</v>
      </c>
      <c r="C12" s="35">
        <v>0.2616</v>
      </c>
      <c r="D12" s="36">
        <f t="shared" si="0"/>
        <v>1.49112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8</v>
      </c>
      <c r="C13" s="35">
        <v>4.36E-2</v>
      </c>
      <c r="D13" s="36">
        <f t="shared" si="0"/>
        <v>0.24852000000000002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0.94389999999999985</v>
      </c>
      <c r="D19" s="41">
        <f>SUM(D9:D18)</f>
        <v>5.3802300000000001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291">
        <v>17</v>
      </c>
      <c r="B36" s="293">
        <v>172.78</v>
      </c>
      <c r="C36" s="293">
        <v>1</v>
      </c>
      <c r="D36" s="293">
        <v>0</v>
      </c>
      <c r="E36" s="292"/>
      <c r="F36" s="292"/>
      <c r="G36" s="292"/>
      <c r="H36" s="292"/>
      <c r="I36" s="52">
        <f>IFERROR(B36/A36,"")</f>
        <v>10.163529411764706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291">
        <v>18</v>
      </c>
      <c r="B37" s="293">
        <v>202.31</v>
      </c>
      <c r="C37" s="293">
        <v>2</v>
      </c>
      <c r="D37" s="293">
        <v>74.819999999999993</v>
      </c>
      <c r="E37" s="292">
        <v>0</v>
      </c>
      <c r="F37" s="292">
        <v>0.3</v>
      </c>
      <c r="G37" s="292">
        <v>0.7</v>
      </c>
      <c r="H37" s="292">
        <v>0</v>
      </c>
      <c r="I37" s="56">
        <f t="shared" ref="I37:I55" si="1">IF(A37&lt;&gt;0,(B37-(B36-D36))/(A37-A36),"")</f>
        <v>29.53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291">
        <v>19</v>
      </c>
      <c r="B38" s="293">
        <v>150.35</v>
      </c>
      <c r="C38" s="293">
        <v>3</v>
      </c>
      <c r="D38" s="293">
        <v>0</v>
      </c>
      <c r="E38" s="292"/>
      <c r="F38" s="292"/>
      <c r="G38" s="292"/>
      <c r="H38" s="292"/>
      <c r="I38" s="56">
        <f t="shared" si="1"/>
        <v>22.859999999999985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291">
        <v>23</v>
      </c>
      <c r="B39" s="293">
        <v>258.74</v>
      </c>
      <c r="C39" s="293">
        <v>4</v>
      </c>
      <c r="D39" s="293">
        <v>0</v>
      </c>
      <c r="E39" s="292"/>
      <c r="F39" s="292"/>
      <c r="G39" s="292"/>
      <c r="H39" s="292"/>
      <c r="I39" s="52">
        <f t="shared" si="1"/>
        <v>27.097500000000004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291">
        <v>24</v>
      </c>
      <c r="B40" s="293">
        <v>289.08999999999997</v>
      </c>
      <c r="C40" s="293">
        <v>5</v>
      </c>
      <c r="D40" s="291">
        <v>51.39</v>
      </c>
      <c r="E40" s="292">
        <v>0.1</v>
      </c>
      <c r="F40" s="292">
        <v>0.4</v>
      </c>
      <c r="G40" s="292">
        <v>0.5</v>
      </c>
      <c r="H40" s="292">
        <v>0</v>
      </c>
      <c r="I40" s="52">
        <f t="shared" si="1"/>
        <v>30.349999999999966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291">
        <v>26</v>
      </c>
      <c r="B41" s="291">
        <v>292.8</v>
      </c>
      <c r="C41" s="293">
        <v>6</v>
      </c>
      <c r="D41" s="291">
        <v>0</v>
      </c>
      <c r="E41" s="292"/>
      <c r="F41" s="292"/>
      <c r="G41" s="292"/>
      <c r="H41" s="292"/>
      <c r="I41" s="56">
        <f t="shared" si="1"/>
        <v>27.550000000000011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291">
        <v>28</v>
      </c>
      <c r="B42" s="291">
        <v>350.06</v>
      </c>
      <c r="C42" s="293">
        <v>7</v>
      </c>
      <c r="D42" s="291">
        <v>0</v>
      </c>
      <c r="E42" s="292"/>
      <c r="F42" s="292"/>
      <c r="G42" s="292"/>
      <c r="H42" s="292"/>
      <c r="I42" s="56">
        <f t="shared" si="1"/>
        <v>28.629999999999995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91">
        <v>30</v>
      </c>
      <c r="B43" s="291">
        <v>410.56</v>
      </c>
      <c r="C43" s="293">
        <v>8</v>
      </c>
      <c r="D43" s="291">
        <v>80.97</v>
      </c>
      <c r="E43" s="292">
        <v>0.4</v>
      </c>
      <c r="F43" s="292">
        <v>0.3</v>
      </c>
      <c r="G43" s="292">
        <v>0.3</v>
      </c>
      <c r="H43" s="292">
        <v>0</v>
      </c>
      <c r="I43" s="52">
        <f t="shared" si="1"/>
        <v>30.25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91">
        <v>32</v>
      </c>
      <c r="B44" s="291">
        <v>384.47</v>
      </c>
      <c r="C44" s="293">
        <v>9</v>
      </c>
      <c r="D44" s="291">
        <v>0</v>
      </c>
      <c r="E44" s="292"/>
      <c r="F44" s="292"/>
      <c r="G44" s="292"/>
      <c r="H44" s="292"/>
      <c r="I44" s="52">
        <f t="shared" si="1"/>
        <v>27.439999999999998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91">
        <v>34</v>
      </c>
      <c r="B45" s="291">
        <v>441.87</v>
      </c>
      <c r="C45" s="293">
        <v>10</v>
      </c>
      <c r="D45" s="291">
        <v>0</v>
      </c>
      <c r="E45" s="54"/>
      <c r="F45" s="54"/>
      <c r="G45" s="54"/>
      <c r="H45" s="54"/>
      <c r="I45" s="52">
        <f t="shared" si="1"/>
        <v>28.699999999999989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91">
        <v>36</v>
      </c>
      <c r="B46" s="291">
        <v>501.41</v>
      </c>
      <c r="C46" s="293">
        <v>11</v>
      </c>
      <c r="D46" s="291">
        <v>85.88</v>
      </c>
      <c r="E46" s="54"/>
      <c r="F46" s="54"/>
      <c r="G46" s="54"/>
      <c r="H46" s="54"/>
      <c r="I46" s="52">
        <f t="shared" si="1"/>
        <v>29.77000000000001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91">
        <v>38</v>
      </c>
      <c r="B47" s="291">
        <v>470</v>
      </c>
      <c r="C47" s="293">
        <v>12</v>
      </c>
      <c r="D47" s="291">
        <v>0</v>
      </c>
      <c r="E47" s="54"/>
      <c r="F47" s="54"/>
      <c r="G47" s="54"/>
      <c r="H47" s="54"/>
      <c r="I47" s="52">
        <f t="shared" si="1"/>
        <v>27.234999999999985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91">
        <v>40</v>
      </c>
      <c r="B48" s="291">
        <v>526.19000000000005</v>
      </c>
      <c r="C48" s="293">
        <v>13</v>
      </c>
      <c r="D48" s="291">
        <v>0</v>
      </c>
      <c r="E48" s="54"/>
      <c r="F48" s="54"/>
      <c r="G48" s="54"/>
      <c r="H48" s="54"/>
      <c r="I48" s="52">
        <f t="shared" si="1"/>
        <v>28.095000000000027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91">
        <v>42</v>
      </c>
      <c r="B49" s="291">
        <v>583.89</v>
      </c>
      <c r="C49" s="293">
        <v>14</v>
      </c>
      <c r="D49" s="291">
        <v>91.25</v>
      </c>
      <c r="E49" s="54"/>
      <c r="F49" s="54"/>
      <c r="G49" s="54"/>
      <c r="H49" s="54"/>
      <c r="I49" s="52">
        <f t="shared" si="1"/>
        <v>28.849999999999966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91">
        <v>44</v>
      </c>
      <c r="B50" s="291">
        <v>545.63</v>
      </c>
      <c r="C50" s="293">
        <v>15</v>
      </c>
      <c r="D50" s="291">
        <v>0</v>
      </c>
      <c r="E50" s="54"/>
      <c r="F50" s="54"/>
      <c r="G50" s="54"/>
      <c r="H50" s="54"/>
      <c r="I50" s="52">
        <f t="shared" si="1"/>
        <v>26.495000000000005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91">
        <v>46</v>
      </c>
      <c r="B51" s="291">
        <v>599.79999999999995</v>
      </c>
      <c r="C51" s="293">
        <v>16</v>
      </c>
      <c r="D51" s="291">
        <v>0</v>
      </c>
      <c r="E51" s="54"/>
      <c r="F51" s="54"/>
      <c r="G51" s="54"/>
      <c r="H51" s="54"/>
      <c r="I51" s="52">
        <f t="shared" si="1"/>
        <v>27.08499999999998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91">
        <v>48</v>
      </c>
      <c r="B52" s="291">
        <v>655.04999999999995</v>
      </c>
      <c r="C52" s="293">
        <v>17</v>
      </c>
      <c r="D52" s="291">
        <v>101.34</v>
      </c>
      <c r="E52" s="54"/>
      <c r="F52" s="54"/>
      <c r="G52" s="54"/>
      <c r="H52" s="54"/>
      <c r="I52" s="52">
        <f t="shared" si="1"/>
        <v>27.625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91">
        <v>50</v>
      </c>
      <c r="B53" s="291">
        <v>604.12</v>
      </c>
      <c r="C53" s="293">
        <v>18</v>
      </c>
      <c r="D53" s="291">
        <v>0</v>
      </c>
      <c r="E53" s="54"/>
      <c r="F53" s="54"/>
      <c r="G53" s="54"/>
      <c r="H53" s="54"/>
      <c r="I53" s="52">
        <f t="shared" si="1"/>
        <v>25.205000000000041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91">
        <v>52</v>
      </c>
      <c r="B54" s="291">
        <v>655.56</v>
      </c>
      <c r="C54" s="293">
        <v>19</v>
      </c>
      <c r="D54" s="291">
        <v>0</v>
      </c>
      <c r="E54" s="54"/>
      <c r="F54" s="54"/>
      <c r="G54" s="54"/>
      <c r="H54" s="54"/>
      <c r="I54" s="52">
        <f t="shared" si="1"/>
        <v>25.71999999999997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91">
        <v>54</v>
      </c>
      <c r="B55" s="291">
        <v>707.75</v>
      </c>
      <c r="C55" s="293">
        <v>20</v>
      </c>
      <c r="D55" s="291">
        <v>707.75</v>
      </c>
      <c r="E55" s="54"/>
      <c r="F55" s="54"/>
      <c r="G55" s="54"/>
      <c r="H55" s="54"/>
      <c r="I55" s="52">
        <f t="shared" si="1"/>
        <v>26.095000000000027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87</v>
      </c>
      <c r="C62" s="63">
        <v>1</v>
      </c>
      <c r="D62" s="63">
        <v>21</v>
      </c>
      <c r="E62" s="54"/>
      <c r="F62" s="54"/>
      <c r="G62" s="54"/>
      <c r="H62" s="54">
        <v>1</v>
      </c>
      <c r="I62" s="56">
        <f>IFERROR(B62/A62,"")</f>
        <v>5.8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137</v>
      </c>
      <c r="C63" s="63">
        <v>2</v>
      </c>
      <c r="D63" s="63">
        <v>43</v>
      </c>
      <c r="E63" s="54"/>
      <c r="F63" s="54">
        <v>0.5</v>
      </c>
      <c r="G63" s="54">
        <v>0.5</v>
      </c>
      <c r="H63" s="54"/>
      <c r="I63" s="52">
        <f>IF(A63&lt;&gt;0,(B63-(B62-D62))/(A63-A62),"")</f>
        <v>14.2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163</v>
      </c>
      <c r="C64" s="63">
        <v>3</v>
      </c>
      <c r="D64" s="63">
        <v>44</v>
      </c>
      <c r="E64" s="54"/>
      <c r="F64" s="54">
        <v>0.5</v>
      </c>
      <c r="G64" s="54">
        <v>0.5</v>
      </c>
      <c r="H64" s="54"/>
      <c r="I64" s="52">
        <f>IF(A64&lt;&gt;0,(B64-(B63-D63))/(A64-A63),"")</f>
        <v>13.8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184</v>
      </c>
      <c r="C65" s="63">
        <v>4</v>
      </c>
      <c r="D65" s="63">
        <v>44</v>
      </c>
      <c r="E65" s="54"/>
      <c r="F65" s="54">
        <v>0.6</v>
      </c>
      <c r="G65" s="54">
        <v>0.4</v>
      </c>
      <c r="H65" s="54"/>
      <c r="I65" s="52">
        <f>IF(A65&lt;&gt;0,(B65-(B64-D64))/(A65-A64),"")</f>
        <v>13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201</v>
      </c>
      <c r="C66" s="63">
        <v>5</v>
      </c>
      <c r="D66" s="63">
        <v>42</v>
      </c>
      <c r="E66" s="54"/>
      <c r="F66" s="54"/>
      <c r="G66" s="54"/>
      <c r="H66" s="54"/>
      <c r="I66" s="52">
        <f t="shared" ref="I66:I81" si="2">IF(A66&lt;&gt;0,(B66-(B65-D65))/(A66-A65),"")</f>
        <v>12.2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213</v>
      </c>
      <c r="C67" s="63">
        <v>6</v>
      </c>
      <c r="D67" s="63">
        <v>39</v>
      </c>
      <c r="E67" s="54"/>
      <c r="F67" s="54"/>
      <c r="G67" s="54"/>
      <c r="H67" s="54"/>
      <c r="I67" s="52">
        <f t="shared" si="2"/>
        <v>10.8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223</v>
      </c>
      <c r="C68" s="63">
        <v>7</v>
      </c>
      <c r="D68" s="63">
        <v>36</v>
      </c>
      <c r="E68" s="54"/>
      <c r="F68" s="54"/>
      <c r="G68" s="54"/>
      <c r="H68" s="54"/>
      <c r="I68" s="52">
        <f t="shared" si="2"/>
        <v>9.8000000000000007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231</v>
      </c>
      <c r="C69" s="53">
        <v>8</v>
      </c>
      <c r="D69" s="53">
        <v>33</v>
      </c>
      <c r="E69" s="54"/>
      <c r="F69" s="54"/>
      <c r="G69" s="54"/>
      <c r="H69" s="54"/>
      <c r="I69" s="52">
        <f t="shared" si="2"/>
        <v>8.8000000000000007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237</v>
      </c>
      <c r="C70" s="53">
        <v>9</v>
      </c>
      <c r="D70" s="53">
        <v>29</v>
      </c>
      <c r="E70" s="54"/>
      <c r="F70" s="54"/>
      <c r="G70" s="54"/>
      <c r="H70" s="54"/>
      <c r="I70" s="52">
        <f t="shared" si="2"/>
        <v>7.8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242</v>
      </c>
      <c r="C71" s="53">
        <v>10</v>
      </c>
      <c r="D71" s="53">
        <v>26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246</v>
      </c>
      <c r="C72" s="53">
        <v>11</v>
      </c>
      <c r="D72" s="53">
        <v>23</v>
      </c>
      <c r="E72" s="54"/>
      <c r="F72" s="54"/>
      <c r="G72" s="54"/>
      <c r="H72" s="54"/>
      <c r="I72" s="52">
        <f t="shared" si="2"/>
        <v>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249</v>
      </c>
      <c r="C73" s="53">
        <v>12</v>
      </c>
      <c r="D73" s="53">
        <v>249</v>
      </c>
      <c r="E73" s="54"/>
      <c r="F73" s="54"/>
      <c r="G73" s="54"/>
      <c r="H73" s="54"/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>
        <v>0.3</v>
      </c>
      <c r="G89" s="54">
        <v>0.7</v>
      </c>
      <c r="H89" s="93"/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>
        <v>0.5</v>
      </c>
      <c r="G90" s="93">
        <v>0.5</v>
      </c>
      <c r="H90" s="93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Mélèze hybride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65</v>
      </c>
      <c r="C114" s="53">
        <v>1</v>
      </c>
      <c r="D114" s="63">
        <v>18</v>
      </c>
      <c r="E114" s="54"/>
      <c r="F114" s="54"/>
      <c r="G114" s="54">
        <v>1</v>
      </c>
      <c r="H114" s="54"/>
      <c r="I114" s="56">
        <f>IFERROR(B114/A114,"")</f>
        <v>6.5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142</v>
      </c>
      <c r="C115" s="53">
        <v>2</v>
      </c>
      <c r="D115" s="63">
        <v>41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19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201</v>
      </c>
      <c r="C116" s="53">
        <v>3</v>
      </c>
      <c r="D116" s="63">
        <v>47</v>
      </c>
      <c r="E116" s="54"/>
      <c r="F116" s="54"/>
      <c r="G116" s="54">
        <v>1</v>
      </c>
      <c r="H116" s="54"/>
      <c r="I116" s="56">
        <f t="shared" si="4"/>
        <v>20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244</v>
      </c>
      <c r="C117" s="53">
        <v>4</v>
      </c>
      <c r="D117" s="63">
        <v>44</v>
      </c>
      <c r="E117" s="54">
        <v>0.15</v>
      </c>
      <c r="F117" s="54">
        <v>0.4</v>
      </c>
      <c r="G117" s="54">
        <v>0.45</v>
      </c>
      <c r="H117" s="54"/>
      <c r="I117" s="56">
        <f t="shared" si="4"/>
        <v>18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272</v>
      </c>
      <c r="C118" s="53">
        <v>5</v>
      </c>
      <c r="D118" s="63">
        <v>37</v>
      </c>
      <c r="E118" s="54">
        <v>0.2</v>
      </c>
      <c r="F118" s="54">
        <v>0.4</v>
      </c>
      <c r="G118" s="54">
        <v>0.4</v>
      </c>
      <c r="H118" s="54"/>
      <c r="I118" s="56">
        <f t="shared" si="4"/>
        <v>14.4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290</v>
      </c>
      <c r="C119" s="53">
        <v>6</v>
      </c>
      <c r="D119" s="63">
        <v>29</v>
      </c>
      <c r="E119" s="54"/>
      <c r="F119" s="54"/>
      <c r="G119" s="54"/>
      <c r="H119" s="54"/>
      <c r="I119" s="56">
        <f t="shared" si="4"/>
        <v>11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v>302</v>
      </c>
      <c r="C120" s="63">
        <v>7</v>
      </c>
      <c r="D120" s="63">
        <v>22</v>
      </c>
      <c r="E120" s="93"/>
      <c r="F120" s="93"/>
      <c r="G120" s="93"/>
      <c r="H120" s="93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v>310</v>
      </c>
      <c r="C121" s="63">
        <v>8</v>
      </c>
      <c r="D121" s="63">
        <v>16</v>
      </c>
      <c r="E121" s="93"/>
      <c r="F121" s="93"/>
      <c r="G121" s="93"/>
      <c r="H121" s="93"/>
      <c r="I121" s="56">
        <f t="shared" si="4"/>
        <v>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v>315</v>
      </c>
      <c r="C122" s="63">
        <v>9</v>
      </c>
      <c r="D122" s="63">
        <v>315</v>
      </c>
      <c r="E122" s="93"/>
      <c r="F122" s="93"/>
      <c r="G122" s="93"/>
      <c r="H122" s="93"/>
      <c r="I122" s="56">
        <f t="shared" si="4"/>
        <v>4.2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Châtaignier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9</v>
      </c>
      <c r="C140" s="53">
        <v>1</v>
      </c>
      <c r="D140" s="63">
        <v>0</v>
      </c>
      <c r="E140" s="54"/>
      <c r="F140" s="54"/>
      <c r="G140" s="54"/>
      <c r="H140" s="54"/>
      <c r="I140" s="60">
        <f>IFERROR(B140/A140,"")</f>
        <v>0.6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57</v>
      </c>
      <c r="C141" s="53">
        <v>2</v>
      </c>
      <c r="D141" s="63">
        <v>21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87</v>
      </c>
      <c r="C142" s="53">
        <v>3</v>
      </c>
      <c r="D142" s="63">
        <v>21</v>
      </c>
      <c r="E142" s="54"/>
      <c r="F142" s="54">
        <v>0.3</v>
      </c>
      <c r="G142" s="54">
        <v>0.7</v>
      </c>
      <c r="H142" s="54"/>
      <c r="I142" s="60">
        <f t="shared" si="5"/>
        <v>10.199999999999999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114</v>
      </c>
      <c r="C143" s="53">
        <v>4</v>
      </c>
      <c r="D143" s="63">
        <v>21</v>
      </c>
      <c r="E143" s="54"/>
      <c r="F143" s="93">
        <v>0.5</v>
      </c>
      <c r="G143" s="93">
        <v>0.5</v>
      </c>
      <c r="H143" s="54"/>
      <c r="I143" s="60">
        <f t="shared" si="5"/>
        <v>9.6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136</v>
      </c>
      <c r="C144" s="53">
        <v>5</v>
      </c>
      <c r="D144" s="63">
        <v>21</v>
      </c>
      <c r="E144" s="54"/>
      <c r="F144" s="54">
        <v>0.5</v>
      </c>
      <c r="G144" s="54">
        <v>0.5</v>
      </c>
      <c r="H144" s="54"/>
      <c r="I144" s="60">
        <f t="shared" si="5"/>
        <v>8.6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v>153</v>
      </c>
      <c r="C145" s="53">
        <v>6</v>
      </c>
      <c r="D145" s="63">
        <v>21</v>
      </c>
      <c r="E145" s="54"/>
      <c r="F145" s="54"/>
      <c r="G145" s="54"/>
      <c r="H145" s="54"/>
      <c r="I145" s="60">
        <f t="shared" si="5"/>
        <v>7.6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v>165</v>
      </c>
      <c r="C146" s="53">
        <v>7</v>
      </c>
      <c r="D146" s="63">
        <v>18</v>
      </c>
      <c r="E146" s="54"/>
      <c r="F146" s="54"/>
      <c r="G146" s="54"/>
      <c r="H146" s="54"/>
      <c r="I146" s="60">
        <f t="shared" si="5"/>
        <v>6.6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v>175</v>
      </c>
      <c r="C147" s="53">
        <v>8</v>
      </c>
      <c r="D147" s="63">
        <v>13</v>
      </c>
      <c r="E147" s="54"/>
      <c r="F147" s="54"/>
      <c r="G147" s="54"/>
      <c r="H147" s="54"/>
      <c r="I147" s="60">
        <f>IF(A147&lt;&gt;0,(B147-(B146-D146))/(A147-A146),"")</f>
        <v>5.6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v>186</v>
      </c>
      <c r="C148" s="53">
        <v>9</v>
      </c>
      <c r="D148" s="63">
        <v>11</v>
      </c>
      <c r="E148" s="54"/>
      <c r="F148" s="54"/>
      <c r="G148" s="54"/>
      <c r="H148" s="54"/>
      <c r="I148" s="60">
        <f t="shared" si="5"/>
        <v>4.8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v>195</v>
      </c>
      <c r="C149" s="53">
        <v>10</v>
      </c>
      <c r="D149" s="63">
        <v>9</v>
      </c>
      <c r="E149" s="54"/>
      <c r="F149" s="54"/>
      <c r="G149" s="54"/>
      <c r="H149" s="54"/>
      <c r="I149" s="60">
        <f t="shared" si="5"/>
        <v>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v>203</v>
      </c>
      <c r="C150" s="53">
        <v>11</v>
      </c>
      <c r="D150" s="63">
        <v>8</v>
      </c>
      <c r="E150" s="54"/>
      <c r="F150" s="54"/>
      <c r="G150" s="54"/>
      <c r="H150" s="54"/>
      <c r="I150" s="60">
        <f t="shared" si="5"/>
        <v>3.4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v>210</v>
      </c>
      <c r="C151" s="53">
        <v>12</v>
      </c>
      <c r="D151" s="63">
        <v>8</v>
      </c>
      <c r="E151" s="54"/>
      <c r="F151" s="54"/>
      <c r="G151" s="54"/>
      <c r="H151" s="54"/>
      <c r="I151" s="60">
        <f t="shared" si="5"/>
        <v>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v>215</v>
      </c>
      <c r="C152" s="53">
        <v>13</v>
      </c>
      <c r="D152" s="63">
        <v>7</v>
      </c>
      <c r="E152" s="57"/>
      <c r="F152" s="57"/>
      <c r="G152" s="57"/>
      <c r="H152" s="57"/>
      <c r="I152" s="60">
        <f t="shared" si="5"/>
        <v>2.6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v>219</v>
      </c>
      <c r="C153" s="53">
        <v>14</v>
      </c>
      <c r="D153" s="63">
        <v>219</v>
      </c>
      <c r="E153" s="57"/>
      <c r="F153" s="57"/>
      <c r="G153" s="57"/>
      <c r="H153" s="57"/>
      <c r="I153" s="60">
        <f t="shared" si="5"/>
        <v>2.2000000000000002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Douglas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rouge d'Amérique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Chêne sessile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Mélèze hybride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Châtaignier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419.0448820879102</v>
      </c>
      <c r="T3" s="62">
        <f>IF('Données projet'!E9&gt;30,$R$33-$H$33,LOOKUP('Données projet'!$E$9,$A$3:$A$203,R3:R203)-LOOKUP('Données projet'!$E$9,$A$3:$A$203,$H$3:$H$203))</f>
        <v>553.33038335026379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341.62910675299065</v>
      </c>
      <c r="AO3" s="62">
        <f>IF('Données projet'!E10&gt;30,$AM$33-$H$33,LOOKUP('Données projet'!$E$10,$A$3:$A$203,AM3:AM203)-LOOKUP('Données projet'!$E$10,$A$3:$A$203,$H$3:$H$203))</f>
        <v>407.15938341104709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472.83070477639035</v>
      </c>
      <c r="BJ3" s="62">
        <f>IF('Données projet'!E11&gt;30,$BH$33-$H$33,LOOKUP('Données projet'!$E$11,$A$3:$A$203,BH3:BH203)-LOOKUP('Données projet'!$E$11,$A$3:$A$203,$H$3:$H$203))</f>
        <v>297.32483725004136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262.64209686767367</v>
      </c>
      <c r="CE3" s="62">
        <f>IF('Données projet'!E12&gt;30,$CC$33-$H$33,LOOKUP('Données projet'!$E$12,$A$3:$A$203,CC3:CC203)-LOOKUP('Données projet'!$E$12,$A$3:$A$203,$H$3:$H$203))</f>
        <v>381.0342365342517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250.11765444522138</v>
      </c>
      <c r="CZ3" s="62">
        <f>IF('Données projet'!E13&gt;30,$CX$33-$H$33,LOOKUP('Données projet'!$E$13,$A$3:$A$203,CX3:CX203)-LOOKUP('Données projet'!$E$13,$A$3:$A$203,$H$3:$H$203))</f>
        <v>241.42920565698913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10.163529411764706</v>
      </c>
      <c r="N4" s="14">
        <f>IF('Données projet'!$A$36&gt;35,N3+M4-V3,IF(A4&lt;'Données projet'!$A$36,$K$205^A4,IF(A4='Données projet'!$A$36,'Données projet'!$B$36,N3+M4-V3)))</f>
        <v>1.3539956307764309</v>
      </c>
      <c r="O4" s="14">
        <f>N4*VLOOKUP('Données projet'!$B$9,Paramètres!$A$1:$I$89,3,0)*VLOOKUP('Données projet'!$B$9,Paramètres!$A$1:$I$89,5,0)</f>
        <v>0.75688355760402493</v>
      </c>
      <c r="P4" s="14">
        <f>EXP(-1.0587+0.8836*LN(O4)+0.284)</f>
        <v>0.36029824926500498</v>
      </c>
      <c r="Q4" s="22">
        <f t="shared" ref="Q4:Q34" si="2">(O4+P4)*0.475*44/12</f>
        <v>1.945758313630227</v>
      </c>
      <c r="R4" s="62">
        <f t="shared" si="0"/>
        <v>169.75819226655406</v>
      </c>
      <c r="S4" s="62">
        <f ca="1">AVERAGE(OFFSET($R$3,0,0,'Données projet'!$E$9+1,1))-AVERAGE(OFFSET($H$3,0,0,'Données projet'!$E$9+1,1))</f>
        <v>419.0448820879102</v>
      </c>
      <c r="T4" s="62">
        <f>$T$3</f>
        <v>553.33038335026379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5.8</v>
      </c>
      <c r="AI4" s="14">
        <f>IF('Données projet'!$A$62&gt;35,AI3+AH4-AQ3,IF(A4&lt;'Données projet'!$A$62,$AF$205^A4,IF(A4='Données projet'!$A$62,'Données projet'!$B$62,AI3+AH4-AQ3)))</f>
        <v>1.3467943429205997</v>
      </c>
      <c r="AJ4" s="14">
        <f>AI4*VLOOKUP('Données projet'!$B$10,Paramètres!$A$1:$I$89,3,0)*VLOOKUP('Données projet'!$B$10,Paramètres!$A$1:$I$89,5,0)</f>
        <v>1.1765595379754361</v>
      </c>
      <c r="AK4" s="14">
        <f>EXP(-1.0587+0.8836*LN(AJ4)+0.284)</f>
        <v>0.53204273185561757</v>
      </c>
      <c r="AL4" s="22">
        <f t="shared" ref="AL4:AL67" si="4">(AJ4+AK4)*0.475*44/12</f>
        <v>2.9758156199557515</v>
      </c>
      <c r="AM4" s="62">
        <f t="shared" ref="AM4:AM67" si="5">AL4+(AD4+AE4)*44/12</f>
        <v>170.78824957287958</v>
      </c>
      <c r="AN4" s="62">
        <f ca="1">AVERAGE(OFFSET($AM$3,0,0,'Données projet'!$E$10+1,1))-AVERAGE(OFFSET($H$3,0,0,'Données projet'!$E$10+1,1))</f>
        <v>341.62910675299065</v>
      </c>
      <c r="AO4" s="62">
        <f>$AO$3</f>
        <v>407.15938341104709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170.65342372509684</v>
      </c>
      <c r="BI4" s="62">
        <f ca="1">AVERAGE(OFFSET($BH$3,0,0,'Données projet'!$E$11+1,1))-AVERAGE(OFFSET($H$3,0,0,'Données projet'!$E$11+1,1))</f>
        <v>472.83070477639035</v>
      </c>
      <c r="BJ4" s="62">
        <f>$BJ$3</f>
        <v>297.32483725004136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6.5</v>
      </c>
      <c r="BY4" s="13">
        <f>IF('Données projet'!$A$114&gt;35,BY3+BX4-CG3,IF(A4&lt;'Données projet'!$A$114,$BV$205^A4,IF(A4='Données projet'!$A$114,'Données projet'!$B$114,BY3+BX4-CG3)))</f>
        <v>1.5180683844287584</v>
      </c>
      <c r="BZ4" s="14">
        <f>BY4*VLOOKUP('Données projet'!$B$12,Paramètres!$A$1:$I$89,3,0)*VLOOKUP('Données projet'!$B$12,Paramètres!$A$1:$I$89,5,0)</f>
        <v>0.82886533789810213</v>
      </c>
      <c r="CA4" s="14">
        <f>EXP(-1.0587+0.8836*LN(BZ4)+0.284)</f>
        <v>0.39041321372963989</v>
      </c>
      <c r="CB4" s="22">
        <f t="shared" ref="CB4:CB67" si="10">(BZ4+CA4)*0.475*44/12</f>
        <v>2.1235768107516506</v>
      </c>
      <c r="CC4" s="62">
        <f t="shared" ref="CC4:CC67" si="11">CB4+(BT4+BU4)*44/12</f>
        <v>169.93601076367548</v>
      </c>
      <c r="CD4" s="62">
        <f ca="1">AVERAGE(OFFSET($CC$3,0,0,'Données projet'!$E$12+1,1))-AVERAGE(OFFSET($H$3,0,0,'Données projet'!$E$12+1,1))</f>
        <v>262.64209686767367</v>
      </c>
      <c r="CE4" s="62">
        <f>$CE$3</f>
        <v>381.0342365342517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0.6</v>
      </c>
      <c r="CT4" s="13">
        <f>IF('Données projet'!$A$140&gt;35,CT3+CS4-DB3,IF(A4&lt;'Données projet'!$A$140,$CQ$205^A4,IF(A4='Données projet'!$A$140,'Données projet'!$B$140,CT3+CS4-DB3)))</f>
        <v>1.1577536725165907</v>
      </c>
      <c r="CU4" s="18">
        <f>CT4*VLOOKUP('Données projet'!$B$13,Paramètres!$A$1:$I$89,3,0)*VLOOKUP('Données projet'!$B$13,Paramètres!$A$1:$I$89,5,0)</f>
        <v>0.84886499268916427</v>
      </c>
      <c r="CV4" s="14">
        <f>EXP(-1.0587+0.8836*LN(CU4)+0.284)</f>
        <v>0.39872537270470576</v>
      </c>
      <c r="CW4" s="22">
        <f t="shared" ref="CW4:CW67" si="13">(CU4+CV4)*0.475*44/12</f>
        <v>2.1728865530609904</v>
      </c>
      <c r="CX4" s="62">
        <f t="shared" ref="CX4:CX67" si="14">CW4+(CO4+CP4)*44/12</f>
        <v>169.98532050598482</v>
      </c>
      <c r="CY4" s="62">
        <f ca="1">AVERAGE(OFFSET($CX$3,0,0,'Données projet'!$E$13+1,1))-AVERAGE(OFFSET($H$3,0,0,'Données projet'!$E$13+1,1))</f>
        <v>250.11765444522138</v>
      </c>
      <c r="CZ4" s="62">
        <f>$CZ$3</f>
        <v>241.42920565698913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10.163529411764706</v>
      </c>
      <c r="N5" s="14">
        <f>IF('Données projet'!$A$36&gt;35,N4+M5-V4,IF(A5&lt;'Données projet'!$A$36,$K$205^A5,IF(A5='Données projet'!$A$36,'Données projet'!$B$36,N4+M5-V4)))</f>
        <v>1.8333041681616651</v>
      </c>
      <c r="O5" s="14">
        <f>N5*VLOOKUP('Données projet'!$B$9,Paramètres!$A$1:$I$89,3,0)*VLOOKUP('Données projet'!$B$9,Paramètres!$A$1:$I$89,5,0)</f>
        <v>1.0248170300023709</v>
      </c>
      <c r="P5" s="14">
        <f t="shared" ref="P5:P68" si="33">EXP(-1.0587+0.8836*LN(O5)+0.284)</f>
        <v>0.47093304471840119</v>
      </c>
      <c r="Q5" s="22">
        <f t="shared" si="2"/>
        <v>2.6050980468053448</v>
      </c>
      <c r="R5" s="62">
        <f t="shared" si="0"/>
        <v>173.20237933430619</v>
      </c>
      <c r="S5" s="62">
        <f ca="1">AVERAGE(OFFSET($R$3,0,0,'Données projet'!$E$9+1,1))-AVERAGE(OFFSET($H$3,0,0,'Données projet'!$E$9+1,1))</f>
        <v>419.0448820879102</v>
      </c>
      <c r="T5" s="62">
        <f t="shared" ref="T5:T68" si="34">$T$3</f>
        <v>553.33038335026379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5.8</v>
      </c>
      <c r="AI5" s="14">
        <f>IF('Données projet'!$A$62&gt;35,AI4+AH5-AQ4,IF(A5&lt;'Données projet'!$A$62,$AF$205^A5,IF(A5='Données projet'!$A$62,'Données projet'!$B$62,AI4+AH5-AQ4)))</f>
        <v>1.81385500212293</v>
      </c>
      <c r="AJ5" s="14">
        <f>AI5*VLOOKUP('Données projet'!$B$10,Paramètres!$A$1:$I$89,3,0)*VLOOKUP('Données projet'!$B$10,Paramètres!$A$1:$I$89,5,0)</f>
        <v>1.5845837298545919</v>
      </c>
      <c r="AK5" s="14">
        <f t="shared" ref="AK5:AK68" si="35">EXP(-1.0587+0.8836*LN(AJ5)+0.284)</f>
        <v>0.69214506839939893</v>
      </c>
      <c r="AL5" s="22">
        <f t="shared" si="4"/>
        <v>3.9653026569590337</v>
      </c>
      <c r="AM5" s="62">
        <f t="shared" si="5"/>
        <v>174.56258394445987</v>
      </c>
      <c r="AN5" s="62">
        <f ca="1">AVERAGE(OFFSET($AM$3,0,0,'Données projet'!$E$10+1,1))-AVERAGE(OFFSET($H$3,0,0,'Données projet'!$E$10+1,1))</f>
        <v>341.62910675299065</v>
      </c>
      <c r="AO5" s="62">
        <f t="shared" ref="AO5:AO68" si="36">$AO$3</f>
        <v>407.15938341104709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174.0908950642665</v>
      </c>
      <c r="BI5" s="62">
        <f ca="1">AVERAGE(OFFSET($BH$3,0,0,'Données projet'!$E$11+1,1))-AVERAGE(OFFSET($H$3,0,0,'Données projet'!$E$11+1,1))</f>
        <v>472.83070477639035</v>
      </c>
      <c r="BJ5" s="62">
        <f t="shared" ref="BJ5:BJ68" si="38">$BJ$3</f>
        <v>297.32483725004136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6.5</v>
      </c>
      <c r="BY5" s="13">
        <f>IF('Données projet'!$A$114&gt;35,BY4+BX5-CG4,IF(A5&lt;'Données projet'!$A$114,$BV$205^A5,IF(A5='Données projet'!$A$114,'Données projet'!$B$114,BY4+BX5-CG4)))</f>
        <v>2.3045316198021406</v>
      </c>
      <c r="BZ5" s="14">
        <f>BY5*VLOOKUP('Données projet'!$B$12,Paramètres!$A$1:$I$89,3,0)*VLOOKUP('Données projet'!$B$12,Paramètres!$A$1:$I$89,5,0)</f>
        <v>1.2582742644119687</v>
      </c>
      <c r="CA5" s="14">
        <f t="shared" ref="CA5:CA68" si="39">EXP(-1.0587+0.8836*LN(BZ5)+0.284)</f>
        <v>0.564564456137711</v>
      </c>
      <c r="CB5" s="22">
        <f t="shared" si="10"/>
        <v>3.1747774382906919</v>
      </c>
      <c r="CC5" s="62">
        <f t="shared" si="11"/>
        <v>173.77205872579154</v>
      </c>
      <c r="CD5" s="62">
        <f ca="1">AVERAGE(OFFSET($CC$3,0,0,'Données projet'!$E$12+1,1))-AVERAGE(OFFSET($H$3,0,0,'Données projet'!$E$12+1,1))</f>
        <v>262.64209686767367</v>
      </c>
      <c r="CE5" s="62">
        <f t="shared" ref="CE5:CE68" si="40">$CE$3</f>
        <v>381.0342365342517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0.6</v>
      </c>
      <c r="CT5" s="13">
        <f>IF('Données projet'!$A$140&gt;35,CT4+CS5-DB4,IF(A5&lt;'Données projet'!$A$140,$CQ$205^A5,IF(A5='Données projet'!$A$140,'Données projet'!$B$140,CT4+CS5-DB4)))</f>
        <v>1.340393566225653</v>
      </c>
      <c r="CU5" s="18">
        <f>CT5*VLOOKUP('Données projet'!$B$13,Paramètres!$A$1:$I$89,3,0)*VLOOKUP('Données projet'!$B$13,Paramètres!$A$1:$I$89,5,0)</f>
        <v>0.98277656275664871</v>
      </c>
      <c r="CV5" s="14">
        <f t="shared" ref="CV5:CV68" si="41">EXP(-1.0587+0.8836*LN(CU5)+0.284)</f>
        <v>0.45382155345822645</v>
      </c>
      <c r="CW5" s="22">
        <f t="shared" si="13"/>
        <v>2.5020750524075739</v>
      </c>
      <c r="CX5" s="62">
        <f t="shared" si="14"/>
        <v>173.09935633990841</v>
      </c>
      <c r="CY5" s="62">
        <f ca="1">AVERAGE(OFFSET($CX$3,0,0,'Données projet'!$E$13+1,1))-AVERAGE(OFFSET($H$3,0,0,'Données projet'!$E$13+1,1))</f>
        <v>250.11765444522138</v>
      </c>
      <c r="CZ5" s="62">
        <f t="shared" ref="CZ5:CZ68" si="42">$CZ$3</f>
        <v>241.42920565698913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10.163529411764706</v>
      </c>
      <c r="N6" s="14">
        <f>IF('Données projet'!$A$36&gt;35,N5+M6-V5,IF(A6&lt;'Données projet'!$A$36,$K$205^A6,IF(A6='Données projet'!$A$36,'Données projet'!$B$36,N5+M6-V5)))</f>
        <v>2.4822858335751139</v>
      </c>
      <c r="O6" s="14">
        <f>N6*VLOOKUP('Données projet'!$B$9,Paramètres!$A$1:$I$89,3,0)*VLOOKUP('Données projet'!$B$9,Paramètres!$A$1:$I$89,5,0)</f>
        <v>1.3875977809684887</v>
      </c>
      <c r="P6" s="14">
        <f t="shared" si="33"/>
        <v>0.61553985638332231</v>
      </c>
      <c r="Q6" s="22">
        <f t="shared" si="2"/>
        <v>3.4887980517210706</v>
      </c>
      <c r="R6" s="62">
        <f t="shared" si="0"/>
        <v>176.84381862160595</v>
      </c>
      <c r="S6" s="62">
        <f ca="1">AVERAGE(OFFSET($R$3,0,0,'Données projet'!$E$9+1,1))-AVERAGE(OFFSET($H$3,0,0,'Données projet'!$E$9+1,1))</f>
        <v>419.0448820879102</v>
      </c>
      <c r="T6" s="62">
        <f t="shared" si="34"/>
        <v>553.33038335026379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5.8</v>
      </c>
      <c r="AI6" s="14">
        <f>IF('Données projet'!$A$62&gt;35,AI5+AH6-AQ5,IF(A6&lt;'Données projet'!$A$62,$AF$205^A6,IF(A6='Données projet'!$A$62,'Données projet'!$B$62,AI5+AH6-AQ5)))</f>
        <v>2.4428896557373947</v>
      </c>
      <c r="AJ6" s="14">
        <f>AI6*VLOOKUP('Données projet'!$B$10,Paramètres!$A$1:$I$89,3,0)*VLOOKUP('Données projet'!$B$10,Paramètres!$A$1:$I$89,5,0)</f>
        <v>2.1341084032521884</v>
      </c>
      <c r="AK6" s="14">
        <f t="shared" si="35"/>
        <v>0.90042541139273424</v>
      </c>
      <c r="AL6" s="22">
        <f t="shared" si="4"/>
        <v>5.2851463938399075</v>
      </c>
      <c r="AM6" s="62">
        <f t="shared" si="5"/>
        <v>178.64016696372479</v>
      </c>
      <c r="AN6" s="62">
        <f ca="1">AVERAGE(OFFSET($AM$3,0,0,'Données projet'!$E$10+1,1))-AVERAGE(OFFSET($H$3,0,0,'Données projet'!$E$10+1,1))</f>
        <v>341.62910675299065</v>
      </c>
      <c r="AO6" s="62">
        <f t="shared" si="36"/>
        <v>407.15938341104709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177.65174746089073</v>
      </c>
      <c r="BI6" s="62">
        <f ca="1">AVERAGE(OFFSET($BH$3,0,0,'Données projet'!$E$11+1,1))-AVERAGE(OFFSET($H$3,0,0,'Données projet'!$E$11+1,1))</f>
        <v>472.83070477639035</v>
      </c>
      <c r="BJ6" s="62">
        <f t="shared" si="38"/>
        <v>297.32483725004136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6.5</v>
      </c>
      <c r="BY6" s="13">
        <f>IF('Données projet'!$A$114&gt;35,BY5+BX6-CG5,IF(A6&lt;'Données projet'!$A$114,$BV$205^A6,IF(A6='Données projet'!$A$114,'Données projet'!$B$114,BY5+BX6-CG5)))</f>
        <v>3.4984365929380252</v>
      </c>
      <c r="BZ6" s="14">
        <f>BY6*VLOOKUP('Données projet'!$B$12,Paramètres!$A$1:$I$89,3,0)*VLOOKUP('Données projet'!$B$12,Paramètres!$A$1:$I$89,5,0)</f>
        <v>1.9101463797441618</v>
      </c>
      <c r="CA6" s="14">
        <f t="shared" si="39"/>
        <v>0.8163991738117532</v>
      </c>
      <c r="CB6" s="22">
        <f t="shared" si="10"/>
        <v>4.7487335057765518</v>
      </c>
      <c r="CC6" s="62">
        <f t="shared" si="11"/>
        <v>178.10375407566144</v>
      </c>
      <c r="CD6" s="62">
        <f ca="1">AVERAGE(OFFSET($CC$3,0,0,'Données projet'!$E$12+1,1))-AVERAGE(OFFSET($H$3,0,0,'Données projet'!$E$12+1,1))</f>
        <v>262.64209686767367</v>
      </c>
      <c r="CE6" s="62">
        <f t="shared" si="40"/>
        <v>381.0342365342517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0.6</v>
      </c>
      <c r="CT6" s="13">
        <f>IF('Données projet'!$A$140&gt;35,CT5+CS6-DB5,IF(A6&lt;'Données projet'!$A$140,$CQ$205^A6,IF(A6='Données projet'!$A$140,'Données projet'!$B$140,CT5+CS6-DB5)))</f>
        <v>1.5518455739153598</v>
      </c>
      <c r="CU6" s="18">
        <f>CT6*VLOOKUP('Données projet'!$B$13,Paramètres!$A$1:$I$89,3,0)*VLOOKUP('Données projet'!$B$13,Paramètres!$A$1:$I$89,5,0)</f>
        <v>1.137813174794742</v>
      </c>
      <c r="CV6" s="14">
        <f t="shared" si="41"/>
        <v>0.51653096713202284</v>
      </c>
      <c r="CW6" s="22">
        <f t="shared" si="13"/>
        <v>2.8813160471891153</v>
      </c>
      <c r="CX6" s="62">
        <f t="shared" si="14"/>
        <v>176.23633661707399</v>
      </c>
      <c r="CY6" s="62">
        <f ca="1">AVERAGE(OFFSET($CX$3,0,0,'Données projet'!$E$13+1,1))-AVERAGE(OFFSET($H$3,0,0,'Données projet'!$E$13+1,1))</f>
        <v>250.11765444522138</v>
      </c>
      <c r="CZ6" s="62">
        <f t="shared" si="42"/>
        <v>241.42920565698913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10.163529411764706</v>
      </c>
      <c r="N7" s="14">
        <f>IF('Données projet'!$A$36&gt;35,N6+M7-V6,IF(A7&lt;'Données projet'!$A$36,$K$205^A7,IF(A7='Données projet'!$A$36,'Données projet'!$B$36,N6+M7-V6)))</f>
        <v>3.3610041729989346</v>
      </c>
      <c r="O7" s="14">
        <f>N7*VLOOKUP('Données projet'!$B$9,Paramètres!$A$1:$I$89,3,0)*VLOOKUP('Données projet'!$B$9,Paramètres!$A$1:$I$89,5,0)</f>
        <v>1.8788013327064044</v>
      </c>
      <c r="P7" s="14">
        <f t="shared" si="33"/>
        <v>0.80455028383697591</v>
      </c>
      <c r="Q7" s="22">
        <f t="shared" si="2"/>
        <v>4.6735040654797206</v>
      </c>
      <c r="R7" s="62">
        <f t="shared" si="0"/>
        <v>180.75962612965668</v>
      </c>
      <c r="S7" s="62">
        <f ca="1">AVERAGE(OFFSET($R$3,0,0,'Données projet'!$E$9+1,1))-AVERAGE(OFFSET($H$3,0,0,'Données projet'!$E$9+1,1))</f>
        <v>419.0448820879102</v>
      </c>
      <c r="T7" s="62">
        <f t="shared" si="34"/>
        <v>553.33038335026379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5.8</v>
      </c>
      <c r="AI7" s="14">
        <f>IF('Données projet'!$A$62&gt;35,AI6+AH7-AQ6,IF(A7&lt;'Données projet'!$A$62,$AF$205^A7,IF(A7='Données projet'!$A$62,'Données projet'!$B$62,AI6+AH7-AQ6)))</f>
        <v>3.2900699687263746</v>
      </c>
      <c r="AJ7" s="14">
        <f>AI7*VLOOKUP('Données projet'!$B$10,Paramètres!$A$1:$I$89,3,0)*VLOOKUP('Données projet'!$B$10,Paramètres!$A$1:$I$89,5,0)</f>
        <v>2.874205124679361</v>
      </c>
      <c r="AK7" s="14">
        <f t="shared" si="35"/>
        <v>1.1713814899478936</v>
      </c>
      <c r="AL7" s="22">
        <f t="shared" si="4"/>
        <v>7.0460633538091342</v>
      </c>
      <c r="AM7" s="62">
        <f t="shared" si="5"/>
        <v>183.13218541798608</v>
      </c>
      <c r="AN7" s="62">
        <f ca="1">AVERAGE(OFFSET($AM$3,0,0,'Données projet'!$E$10+1,1))-AVERAGE(OFFSET($H$3,0,0,'Données projet'!$E$10+1,1))</f>
        <v>341.62910675299065</v>
      </c>
      <c r="AO7" s="62">
        <f t="shared" si="36"/>
        <v>407.15938341104709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181.37127654212841</v>
      </c>
      <c r="BI7" s="62">
        <f ca="1">AVERAGE(OFFSET($BH$3,0,0,'Données projet'!$E$11+1,1))-AVERAGE(OFFSET($H$3,0,0,'Données projet'!$E$11+1,1))</f>
        <v>472.83070477639035</v>
      </c>
      <c r="BJ7" s="62">
        <f t="shared" si="38"/>
        <v>297.32483725004136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6.5</v>
      </c>
      <c r="BY7" s="13">
        <f>IF('Données projet'!$A$114&gt;35,BY6+BX7-CG6,IF(A7&lt;'Données projet'!$A$114,$BV$205^A7,IF(A7='Données projet'!$A$114,'Données projet'!$B$114,BY6+BX7-CG6)))</f>
        <v>5.3108659866678778</v>
      </c>
      <c r="BZ7" s="14">
        <f>BY7*VLOOKUP('Données projet'!$B$12,Paramètres!$A$1:$I$89,3,0)*VLOOKUP('Données projet'!$B$12,Paramètres!$A$1:$I$89,5,0)</f>
        <v>2.8997328287206612</v>
      </c>
      <c r="CA7" s="14">
        <f t="shared" si="39"/>
        <v>1.1805695589839535</v>
      </c>
      <c r="CB7" s="22">
        <f t="shared" si="10"/>
        <v>7.1065266585855369</v>
      </c>
      <c r="CC7" s="62">
        <f t="shared" si="11"/>
        <v>183.1926487227625</v>
      </c>
      <c r="CD7" s="62">
        <f ca="1">AVERAGE(OFFSET($CC$3,0,0,'Données projet'!$E$12+1,1))-AVERAGE(OFFSET($H$3,0,0,'Données projet'!$E$12+1,1))</f>
        <v>262.64209686767367</v>
      </c>
      <c r="CE7" s="62">
        <f t="shared" si="40"/>
        <v>381.0342365342517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0.6</v>
      </c>
      <c r="CT7" s="13">
        <f>IF('Données projet'!$A$140&gt;35,CT6+CS7-DB6,IF(A7&lt;'Données projet'!$A$140,$CQ$205^A7,IF(A7='Données projet'!$A$140,'Données projet'!$B$140,CT6+CS7-DB6)))</f>
        <v>1.796654912379124</v>
      </c>
      <c r="CU7" s="18">
        <f>CT7*VLOOKUP('Données projet'!$B$13,Paramètres!$A$1:$I$89,3,0)*VLOOKUP('Données projet'!$B$13,Paramètres!$A$1:$I$89,5,0)</f>
        <v>1.3173073817563736</v>
      </c>
      <c r="CV7" s="14">
        <f t="shared" si="41"/>
        <v>0.58790561614632908</v>
      </c>
      <c r="CW7" s="22">
        <f t="shared" si="13"/>
        <v>3.3182459713472077</v>
      </c>
      <c r="CX7" s="62">
        <f t="shared" si="14"/>
        <v>179.40436803552416</v>
      </c>
      <c r="CY7" s="62">
        <f ca="1">AVERAGE(OFFSET($CX$3,0,0,'Données projet'!$E$13+1,1))-AVERAGE(OFFSET($H$3,0,0,'Données projet'!$E$13+1,1))</f>
        <v>250.11765444522138</v>
      </c>
      <c r="CZ7" s="62">
        <f t="shared" si="42"/>
        <v>241.42920565698913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10.163529411764706</v>
      </c>
      <c r="N8" s="14">
        <f>IF('Données projet'!$A$36&gt;35,N7+M8-V7,IF(A8&lt;'Données projet'!$A$36,$K$205^A8,IF(A8='Données projet'!$A$36,'Données projet'!$B$36,N7+M8-V7)))</f>
        <v>4.5507849652619088</v>
      </c>
      <c r="O8" s="14">
        <f>N8*VLOOKUP('Données projet'!$B$9,Paramètres!$A$1:$I$89,3,0)*VLOOKUP('Données projet'!$B$9,Paramètres!$A$1:$I$89,5,0)</f>
        <v>2.5438887955814073</v>
      </c>
      <c r="P8" s="14">
        <f t="shared" si="33"/>
        <v>1.0515991003823111</v>
      </c>
      <c r="Q8" s="22">
        <f t="shared" si="2"/>
        <v>6.2621414188034761</v>
      </c>
      <c r="R8" s="62">
        <f t="shared" si="0"/>
        <v>185.05318929525083</v>
      </c>
      <c r="S8" s="62">
        <f ca="1">AVERAGE(OFFSET($R$3,0,0,'Données projet'!$E$9+1,1))-AVERAGE(OFFSET($H$3,0,0,'Données projet'!$E$9+1,1))</f>
        <v>419.0448820879102</v>
      </c>
      <c r="T8" s="62">
        <f t="shared" si="34"/>
        <v>553.33038335026379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5.8</v>
      </c>
      <c r="AI8" s="14">
        <f>IF('Données projet'!$A$62&gt;35,AI7+AH8-AQ7,IF(A8&lt;'Données projet'!$A$62,$AF$205^A8,IF(A8='Données projet'!$A$62,'Données projet'!$B$62,AI7+AH8-AQ7)))</f>
        <v>4.4310476216936356</v>
      </c>
      <c r="AJ8" s="14">
        <f>AI8*VLOOKUP('Données projet'!$B$10,Paramètres!$A$1:$I$89,3,0)*VLOOKUP('Données projet'!$B$10,Paramètres!$A$1:$I$89,5,0)</f>
        <v>3.8709632023115605</v>
      </c>
      <c r="AK8" s="14">
        <f t="shared" si="35"/>
        <v>1.5238736908481918</v>
      </c>
      <c r="AL8" s="22">
        <f t="shared" si="4"/>
        <v>9.3960075889199022</v>
      </c>
      <c r="AM8" s="62">
        <f t="shared" si="5"/>
        <v>188.18705546536725</v>
      </c>
      <c r="AN8" s="62">
        <f ca="1">AVERAGE(OFFSET($AM$3,0,0,'Données projet'!$E$10+1,1))-AVERAGE(OFFSET($H$3,0,0,'Données projet'!$E$10+1,1))</f>
        <v>341.62910675299065</v>
      </c>
      <c r="AO8" s="62">
        <f t="shared" si="36"/>
        <v>407.15938341104709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185.29285571551281</v>
      </c>
      <c r="BI8" s="62">
        <f ca="1">AVERAGE(OFFSET($BH$3,0,0,'Données projet'!$E$11+1,1))-AVERAGE(OFFSET($H$3,0,0,'Données projet'!$E$11+1,1))</f>
        <v>472.83070477639035</v>
      </c>
      <c r="BJ8" s="62">
        <f t="shared" si="38"/>
        <v>297.32483725004136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6.5</v>
      </c>
      <c r="BY8" s="13">
        <f>IF('Données projet'!$A$114&gt;35,BY7+BX8-CG7,IF(A8&lt;'Données projet'!$A$114,$BV$205^A8,IF(A8='Données projet'!$A$114,'Données projet'!$B$114,BY7+BX8-CG7)))</f>
        <v>8.0622577482985491</v>
      </c>
      <c r="BZ8" s="14">
        <f>BY8*VLOOKUP('Données projet'!$B$12,Paramètres!$A$1:$I$89,3,0)*VLOOKUP('Données projet'!$B$12,Paramètres!$A$1:$I$89,5,0)</f>
        <v>4.401992730571008</v>
      </c>
      <c r="CA8" s="14">
        <f t="shared" si="39"/>
        <v>1.7071850735617471</v>
      </c>
      <c r="CB8" s="22">
        <f t="shared" si="10"/>
        <v>10.64015134219788</v>
      </c>
      <c r="CC8" s="62">
        <f t="shared" si="11"/>
        <v>189.43119921864522</v>
      </c>
      <c r="CD8" s="62">
        <f ca="1">AVERAGE(OFFSET($CC$3,0,0,'Données projet'!$E$12+1,1))-AVERAGE(OFFSET($H$3,0,0,'Données projet'!$E$12+1,1))</f>
        <v>262.64209686767367</v>
      </c>
      <c r="CE8" s="62">
        <f t="shared" si="40"/>
        <v>381.0342365342517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0.6</v>
      </c>
      <c r="CT8" s="13">
        <f>IF('Données projet'!$A$140&gt;35,CT7+CS8-DB7,IF(A8&lt;'Données projet'!$A$140,$CQ$205^A8,IF(A8='Données projet'!$A$140,'Données projet'!$B$140,CT7+CS8-DB7)))</f>
        <v>2.0800838230519041</v>
      </c>
      <c r="CU8" s="18">
        <f>CT8*VLOOKUP('Données projet'!$B$13,Paramètres!$A$1:$I$89,3,0)*VLOOKUP('Données projet'!$B$13,Paramètres!$A$1:$I$89,5,0)</f>
        <v>1.5251174590616561</v>
      </c>
      <c r="CV8" s="14">
        <f t="shared" si="41"/>
        <v>0.66914286943042611</v>
      </c>
      <c r="CW8" s="22">
        <f t="shared" si="13"/>
        <v>3.8216700721237102</v>
      </c>
      <c r="CX8" s="62">
        <f t="shared" si="14"/>
        <v>182.61271794857106</v>
      </c>
      <c r="CY8" s="62">
        <f ca="1">AVERAGE(OFFSET($CX$3,0,0,'Données projet'!$E$13+1,1))-AVERAGE(OFFSET($H$3,0,0,'Données projet'!$E$13+1,1))</f>
        <v>250.11765444522138</v>
      </c>
      <c r="CZ8" s="62">
        <f t="shared" si="42"/>
        <v>241.42920565698913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10.163529411764706</v>
      </c>
      <c r="N9" s="14">
        <f>IF('Données projet'!$A$36&gt;35,N8+M9-V8,IF(A9&lt;'Données projet'!$A$36,$K$205^A9,IF(A9='Données projet'!$A$36,'Données projet'!$B$36,N8+M9-V8)))</f>
        <v>6.1617429595676967</v>
      </c>
      <c r="O9" s="14">
        <f>N9*VLOOKUP('Données projet'!$B$9,Paramètres!$A$1:$I$89,3,0)*VLOOKUP('Données projet'!$B$9,Paramètres!$A$1:$I$89,5,0)</f>
        <v>3.4444143143983426</v>
      </c>
      <c r="P9" s="14">
        <f t="shared" si="33"/>
        <v>1.3745078339304442</v>
      </c>
      <c r="Q9" s="22">
        <f t="shared" si="2"/>
        <v>8.3929560750059693</v>
      </c>
      <c r="R9" s="62">
        <f t="shared" si="0"/>
        <v>189.86320817126494</v>
      </c>
      <c r="S9" s="62">
        <f ca="1">AVERAGE(OFFSET($R$3,0,0,'Données projet'!$E$9+1,1))-AVERAGE(OFFSET($H$3,0,0,'Données projet'!$E$9+1,1))</f>
        <v>419.0448820879102</v>
      </c>
      <c r="T9" s="62">
        <f t="shared" si="34"/>
        <v>553.33038335026379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5.8</v>
      </c>
      <c r="AI9" s="14">
        <f>IF('Données projet'!$A$62&gt;35,AI8+AH9-AQ8,IF(A9&lt;'Données projet'!$A$62,$AF$205^A9,IF(A9='Données projet'!$A$62,'Données projet'!$B$62,AI8+AH9-AQ8)))</f>
        <v>5.9677098701087665</v>
      </c>
      <c r="AJ9" s="14">
        <f>AI9*VLOOKUP('Données projet'!$B$10,Paramètres!$A$1:$I$89,3,0)*VLOOKUP('Données projet'!$B$10,Paramètres!$A$1:$I$89,5,0)</f>
        <v>5.2133913425270189</v>
      </c>
      <c r="AK9" s="14">
        <f t="shared" si="35"/>
        <v>1.9824378698032765</v>
      </c>
      <c r="AL9" s="22">
        <f t="shared" si="4"/>
        <v>12.53273587814193</v>
      </c>
      <c r="AM9" s="62">
        <f t="shared" si="5"/>
        <v>194.0029879744009</v>
      </c>
      <c r="AN9" s="62">
        <f ca="1">AVERAGE(OFFSET($AM$3,0,0,'Données projet'!$E$10+1,1))-AVERAGE(OFFSET($H$3,0,0,'Données projet'!$E$10+1,1))</f>
        <v>341.62910675299065</v>
      </c>
      <c r="AO9" s="62">
        <f t="shared" si="36"/>
        <v>407.15938341104709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189.46981953956174</v>
      </c>
      <c r="BI9" s="62">
        <f ca="1">AVERAGE(OFFSET($BH$3,0,0,'Données projet'!$E$11+1,1))-AVERAGE(OFFSET($H$3,0,0,'Données projet'!$E$11+1,1))</f>
        <v>472.83070477639035</v>
      </c>
      <c r="BJ9" s="62">
        <f t="shared" si="38"/>
        <v>297.32483725004136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6.5</v>
      </c>
      <c r="BY9" s="13">
        <f>IF('Données projet'!$A$114&gt;35,BY8+BX9-CG8,IF(A9&lt;'Données projet'!$A$114,$BV$205^A9,IF(A9='Données projet'!$A$114,'Données projet'!$B$114,BY8+BX9-CG8)))</f>
        <v>12.239058594807817</v>
      </c>
      <c r="BZ9" s="14">
        <f>BY9*VLOOKUP('Données projet'!$B$12,Paramètres!$A$1:$I$89,3,0)*VLOOKUP('Données projet'!$B$12,Paramètres!$A$1:$I$89,5,0)</f>
        <v>6.6825259927650684</v>
      </c>
      <c r="CA9" s="14">
        <f t="shared" si="39"/>
        <v>2.4687074583731836</v>
      </c>
      <c r="CB9" s="22">
        <f t="shared" si="10"/>
        <v>15.938398260732454</v>
      </c>
      <c r="CC9" s="62">
        <f t="shared" si="11"/>
        <v>197.40865035699142</v>
      </c>
      <c r="CD9" s="62">
        <f ca="1">AVERAGE(OFFSET($CC$3,0,0,'Données projet'!$E$12+1,1))-AVERAGE(OFFSET($H$3,0,0,'Données projet'!$E$12+1,1))</f>
        <v>262.64209686767367</v>
      </c>
      <c r="CE9" s="62">
        <f t="shared" si="40"/>
        <v>381.0342365342517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0.6</v>
      </c>
      <c r="CT9" s="13">
        <f>IF('Données projet'!$A$140&gt;35,CT8+CS9-DB8,IF(A9&lt;'Données projet'!$A$140,$CQ$205^A9,IF(A9='Données projet'!$A$140,'Données projet'!$B$140,CT8+CS9-DB8)))</f>
        <v>2.4082246852806919</v>
      </c>
      <c r="CU9" s="18">
        <f>CT9*VLOOKUP('Données projet'!$B$13,Paramètres!$A$1:$I$89,3,0)*VLOOKUP('Données projet'!$B$13,Paramètres!$A$1:$I$89,5,0)</f>
        <v>1.7657103392478033</v>
      </c>
      <c r="CV9" s="14">
        <f t="shared" si="41"/>
        <v>0.7616055492794257</v>
      </c>
      <c r="CW9" s="22">
        <f t="shared" si="13"/>
        <v>4.4017418391849237</v>
      </c>
      <c r="CX9" s="62">
        <f t="shared" si="14"/>
        <v>185.8719939354439</v>
      </c>
      <c r="CY9" s="62">
        <f ca="1">AVERAGE(OFFSET($CX$3,0,0,'Données projet'!$E$13+1,1))-AVERAGE(OFFSET($H$3,0,0,'Données projet'!$E$13+1,1))</f>
        <v>250.11765444522138</v>
      </c>
      <c r="CZ9" s="62">
        <f t="shared" si="42"/>
        <v>241.42920565698913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10.163529411764706</v>
      </c>
      <c r="N10" s="14">
        <f>IF('Données projet'!$A$36&gt;35,N9+M10-V9,IF(A10&lt;'Données projet'!$A$36,$K$205^A10,IF(A10='Données projet'!$A$36,'Données projet'!$B$36,N9+M10-V9)))</f>
        <v>8.3429730452220969</v>
      </c>
      <c r="O10" s="14">
        <f>N10*VLOOKUP('Données projet'!$B$9,Paramètres!$A$1:$I$89,3,0)*VLOOKUP('Données projet'!$B$9,Paramètres!$A$1:$I$89,5,0)</f>
        <v>4.6637219322791523</v>
      </c>
      <c r="P10" s="14">
        <f t="shared" si="33"/>
        <v>1.7965703706377396</v>
      </c>
      <c r="Q10" s="22">
        <f t="shared" si="2"/>
        <v>11.251675760913587</v>
      </c>
      <c r="R10" s="62">
        <f t="shared" si="0"/>
        <v>195.37585669664983</v>
      </c>
      <c r="S10" s="62">
        <f ca="1">AVERAGE(OFFSET($R$3,0,0,'Données projet'!$E$9+1,1))-AVERAGE(OFFSET($H$3,0,0,'Données projet'!$E$9+1,1))</f>
        <v>419.0448820879102</v>
      </c>
      <c r="T10" s="62">
        <f t="shared" si="34"/>
        <v>553.33038335026379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5.8</v>
      </c>
      <c r="AI10" s="14">
        <f>IF('Données projet'!$A$62&gt;35,AI9+AH10-AQ9,IF(A10&lt;'Données projet'!$A$62,$AF$205^A10,IF(A10='Données projet'!$A$62,'Données projet'!$B$62,AI9+AH10-AQ9)))</f>
        <v>8.0372778932539148</v>
      </c>
      <c r="AJ10" s="14">
        <f>AI10*VLOOKUP('Données projet'!$B$10,Paramètres!$A$1:$I$89,3,0)*VLOOKUP('Données projet'!$B$10,Paramètres!$A$1:$I$89,5,0)</f>
        <v>7.0213659675466209</v>
      </c>
      <c r="AK10" s="14">
        <f t="shared" si="35"/>
        <v>2.5789932139603198</v>
      </c>
      <c r="AL10" s="22">
        <f t="shared" si="4"/>
        <v>16.72062557445792</v>
      </c>
      <c r="AM10" s="62">
        <f t="shared" si="5"/>
        <v>200.84480651019416</v>
      </c>
      <c r="AN10" s="62">
        <f ca="1">AVERAGE(OFFSET($AM$3,0,0,'Données projet'!$E$10+1,1))-AVERAGE(OFFSET($H$3,0,0,'Données projet'!$E$10+1,1))</f>
        <v>341.62910675299065</v>
      </c>
      <c r="AO10" s="62">
        <f t="shared" si="36"/>
        <v>407.15938341104709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193.96778694515905</v>
      </c>
      <c r="BI10" s="62">
        <f ca="1">AVERAGE(OFFSET($BH$3,0,0,'Données projet'!$E$11+1,1))-AVERAGE(OFFSET($H$3,0,0,'Données projet'!$E$11+1,1))</f>
        <v>472.83070477639035</v>
      </c>
      <c r="BJ10" s="62">
        <f t="shared" si="38"/>
        <v>297.32483725004136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6.5</v>
      </c>
      <c r="BY10" s="13">
        <f>IF('Données projet'!$A$114&gt;35,BY9+BX10-CG9,IF(A10&lt;'Données projet'!$A$114,$BV$205^A10,IF(A10='Données projet'!$A$114,'Données projet'!$B$114,BY9+BX10-CG9)))</f>
        <v>18.579727907948815</v>
      </c>
      <c r="BZ10" s="14">
        <f>BY10*VLOOKUP('Données projet'!$B$12,Paramètres!$A$1:$I$89,3,0)*VLOOKUP('Données projet'!$B$12,Paramètres!$A$1:$I$89,5,0)</f>
        <v>10.144531437740053</v>
      </c>
      <c r="CA10" s="14">
        <f t="shared" si="39"/>
        <v>3.5699213924781037</v>
      </c>
      <c r="CB10" s="22">
        <f t="shared" si="10"/>
        <v>23.886005345963287</v>
      </c>
      <c r="CC10" s="62">
        <f t="shared" si="11"/>
        <v>208.01018628169953</v>
      </c>
      <c r="CD10" s="62">
        <f ca="1">AVERAGE(OFFSET($CC$3,0,0,'Données projet'!$E$12+1,1))-AVERAGE(OFFSET($H$3,0,0,'Données projet'!$E$12+1,1))</f>
        <v>262.64209686767367</v>
      </c>
      <c r="CE10" s="62">
        <f t="shared" si="40"/>
        <v>381.0342365342517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0.6</v>
      </c>
      <c r="CT10" s="13">
        <f>IF('Données projet'!$A$140&gt;35,CT9+CS10-DB9,IF(A10&lt;'Données projet'!$A$140,$CQ$205^A10,IF(A10='Données projet'!$A$140,'Données projet'!$B$140,CT9+CS10-DB9)))</f>
        <v>2.788130973628832</v>
      </c>
      <c r="CU10" s="18">
        <f>CT10*VLOOKUP('Données projet'!$B$13,Paramètres!$A$1:$I$89,3,0)*VLOOKUP('Données projet'!$B$13,Paramètres!$A$1:$I$89,5,0)</f>
        <v>2.0442576298646595</v>
      </c>
      <c r="CV10" s="14">
        <f t="shared" si="41"/>
        <v>0.8668447938284809</v>
      </c>
      <c r="CW10" s="22">
        <f t="shared" si="13"/>
        <v>5.0701700545988864</v>
      </c>
      <c r="CX10" s="62">
        <f t="shared" si="14"/>
        <v>189.19435099033512</v>
      </c>
      <c r="CY10" s="62">
        <f ca="1">AVERAGE(OFFSET($CX$3,0,0,'Données projet'!$E$13+1,1))-AVERAGE(OFFSET($H$3,0,0,'Données projet'!$E$13+1,1))</f>
        <v>250.11765444522138</v>
      </c>
      <c r="CZ10" s="62">
        <f t="shared" si="42"/>
        <v>241.42920565698913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10.163529411764706</v>
      </c>
      <c r="N11" s="14">
        <f>IF('Données projet'!$A$36&gt;35,N10+M11-V10,IF(A11&lt;'Données projet'!$A$36,$K$205^A11,IF(A11='Données projet'!$A$36,'Données projet'!$B$36,N10+M11-V10)))</f>
        <v>11.296349050916252</v>
      </c>
      <c r="O11" s="14">
        <f>N11*VLOOKUP('Données projet'!$B$9,Paramètres!$A$1:$I$89,3,0)*VLOOKUP('Données projet'!$B$9,Paramètres!$A$1:$I$89,5,0)</f>
        <v>6.3146591194621848</v>
      </c>
      <c r="P11" s="14">
        <f t="shared" si="33"/>
        <v>2.3482333217583955</v>
      </c>
      <c r="Q11" s="22">
        <f t="shared" si="2"/>
        <v>15.087871001792513</v>
      </c>
      <c r="R11" s="62">
        <f t="shared" si="0"/>
        <v>201.84114386801306</v>
      </c>
      <c r="S11" s="62">
        <f ca="1">AVERAGE(OFFSET($R$3,0,0,'Données projet'!$E$9+1,1))-AVERAGE(OFFSET($H$3,0,0,'Données projet'!$E$9+1,1))</f>
        <v>419.0448820879102</v>
      </c>
      <c r="T11" s="62">
        <f t="shared" si="34"/>
        <v>553.33038335026379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5.8</v>
      </c>
      <c r="AI11" s="14">
        <f>IF('Données projet'!$A$62&gt;35,AI10+AH11-AQ10,IF(A11&lt;'Données projet'!$A$62,$AF$205^A11,IF(A11='Données projet'!$A$62,'Données projet'!$B$62,AI10+AH11-AQ10)))</f>
        <v>10.824560399115168</v>
      </c>
      <c r="AJ11" s="14">
        <f>AI11*VLOOKUP('Données projet'!$B$10,Paramètres!$A$1:$I$89,3,0)*VLOOKUP('Données projet'!$B$10,Paramètres!$A$1:$I$89,5,0)</f>
        <v>9.4563359646670122</v>
      </c>
      <c r="AK11" s="14">
        <f t="shared" si="35"/>
        <v>3.3550640345230081</v>
      </c>
      <c r="AL11" s="22">
        <f t="shared" si="4"/>
        <v>22.313188331922618</v>
      </c>
      <c r="AM11" s="62">
        <f t="shared" si="5"/>
        <v>209.06646119814317</v>
      </c>
      <c r="AN11" s="62">
        <f ca="1">AVERAGE(OFFSET($AM$3,0,0,'Données projet'!$E$10+1,1))-AVERAGE(OFFSET($H$3,0,0,'Données projet'!$E$10+1,1))</f>
        <v>341.62910675299065</v>
      </c>
      <c r="AO11" s="62">
        <f t="shared" si="36"/>
        <v>407.15938341104709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198.86752730846644</v>
      </c>
      <c r="BI11" s="62">
        <f ca="1">AVERAGE(OFFSET($BH$3,0,0,'Données projet'!$E$11+1,1))-AVERAGE(OFFSET($H$3,0,0,'Données projet'!$E$11+1,1))</f>
        <v>472.83070477639035</v>
      </c>
      <c r="BJ11" s="62">
        <f t="shared" si="38"/>
        <v>297.32483725004136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6.5</v>
      </c>
      <c r="BY11" s="13">
        <f>IF('Données projet'!$A$114&gt;35,BY10+BX11-CG10,IF(A11&lt;'Données projet'!$A$114,$BV$205^A11,IF(A11='Données projet'!$A$114,'Données projet'!$B$114,BY10+BX11-CG10)))</f>
        <v>28.205297528345771</v>
      </c>
      <c r="BZ11" s="14">
        <f>BY11*VLOOKUP('Données projet'!$B$12,Paramètres!$A$1:$I$89,3,0)*VLOOKUP('Données projet'!$B$12,Paramètres!$A$1:$I$89,5,0)</f>
        <v>15.400092450476791</v>
      </c>
      <c r="CA11" s="14">
        <f t="shared" si="39"/>
        <v>5.1623527547775945</v>
      </c>
      <c r="CB11" s="22">
        <f t="shared" si="10"/>
        <v>35.812925399151389</v>
      </c>
      <c r="CC11" s="62">
        <f t="shared" si="11"/>
        <v>222.56619826537195</v>
      </c>
      <c r="CD11" s="62">
        <f ca="1">AVERAGE(OFFSET($CC$3,0,0,'Données projet'!$E$12+1,1))-AVERAGE(OFFSET($H$3,0,0,'Données projet'!$E$12+1,1))</f>
        <v>262.64209686767367</v>
      </c>
      <c r="CE11" s="62">
        <f t="shared" si="40"/>
        <v>381.0342365342517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0.6</v>
      </c>
      <c r="CT11" s="13">
        <f>IF('Données projet'!$A$140&gt;35,CT10+CS11-DB10,IF(A11&lt;'Données projet'!$A$140,$CQ$205^A11,IF(A11='Données projet'!$A$140,'Données projet'!$B$140,CT10+CS11-DB10)))</f>
        <v>3.227968874176038</v>
      </c>
      <c r="CU11" s="18">
        <f>CT11*VLOOKUP('Données projet'!$B$13,Paramètres!$A$1:$I$89,3,0)*VLOOKUP('Données projet'!$B$13,Paramètres!$A$1:$I$89,5,0)</f>
        <v>2.3667467785458709</v>
      </c>
      <c r="CV11" s="14">
        <f t="shared" si="41"/>
        <v>0.98662607868138441</v>
      </c>
      <c r="CW11" s="22">
        <f t="shared" si="13"/>
        <v>5.8404577263374691</v>
      </c>
      <c r="CX11" s="62">
        <f t="shared" si="14"/>
        <v>192.59373059255802</v>
      </c>
      <c r="CY11" s="62">
        <f ca="1">AVERAGE(OFFSET($CX$3,0,0,'Données projet'!$E$13+1,1))-AVERAGE(OFFSET($H$3,0,0,'Données projet'!$E$13+1,1))</f>
        <v>250.11765444522138</v>
      </c>
      <c r="CZ11" s="62">
        <f t="shared" si="42"/>
        <v>241.42920565698913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10.163529411764706</v>
      </c>
      <c r="N12" s="14">
        <f>IF('Données projet'!$A$36&gt;35,N11+M12-V11,IF(A12&lt;'Données projet'!$A$36,$K$205^A12,IF(A12='Données projet'!$A$36,'Données projet'!$B$36,N11+M12-V11)))</f>
        <v>15.295207258666087</v>
      </c>
      <c r="O12" s="14">
        <f>N12*VLOOKUP('Données projet'!$B$9,Paramètres!$A$1:$I$89,3,0)*VLOOKUP('Données projet'!$B$9,Paramètres!$A$1:$I$89,5,0)</f>
        <v>8.5500208575943439</v>
      </c>
      <c r="P12" s="14">
        <f t="shared" si="33"/>
        <v>3.0692923714750222</v>
      </c>
      <c r="Q12" s="22">
        <f t="shared" si="2"/>
        <v>20.236970540629144</v>
      </c>
      <c r="R12" s="62">
        <f t="shared" si="0"/>
        <v>209.5949292931852</v>
      </c>
      <c r="S12" s="62">
        <f ca="1">AVERAGE(OFFSET($R$3,0,0,'Données projet'!$E$9+1,1))-AVERAGE(OFFSET($H$3,0,0,'Données projet'!$E$9+1,1))</f>
        <v>419.0448820879102</v>
      </c>
      <c r="T12" s="62">
        <f t="shared" si="34"/>
        <v>553.33038335026379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5.8</v>
      </c>
      <c r="AI12" s="14">
        <f>IF('Données projet'!$A$62&gt;35,AI11+AH12-AQ11,IF(A12&lt;'Données projet'!$A$62,$AF$205^A12,IF(A12='Données projet'!$A$62,'Données projet'!$B$62,AI11+AH12-AQ11)))</f>
        <v>14.578456710130657</v>
      </c>
      <c r="AJ12" s="14">
        <f>AI12*VLOOKUP('Données projet'!$B$10,Paramètres!$A$1:$I$89,3,0)*VLOOKUP('Données projet'!$B$10,Paramètres!$A$1:$I$89,5,0)</f>
        <v>12.735739781970144</v>
      </c>
      <c r="AK12" s="14">
        <f t="shared" si="35"/>
        <v>4.364670141362768</v>
      </c>
      <c r="AL12" s="22">
        <f t="shared" si="4"/>
        <v>29.783213949804821</v>
      </c>
      <c r="AM12" s="62">
        <f t="shared" si="5"/>
        <v>219.1411727023609</v>
      </c>
      <c r="AN12" s="62">
        <f ca="1">AVERAGE(OFFSET($AM$3,0,0,'Données projet'!$E$10+1,1))-AVERAGE(OFFSET($H$3,0,0,'Données projet'!$E$10+1,1))</f>
        <v>341.62910675299065</v>
      </c>
      <c r="AO12" s="62">
        <f t="shared" si="36"/>
        <v>407.15938341104709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204.26849655299031</v>
      </c>
      <c r="BI12" s="62">
        <f ca="1">AVERAGE(OFFSET($BH$3,0,0,'Données projet'!$E$11+1,1))-AVERAGE(OFFSET($H$3,0,0,'Données projet'!$E$11+1,1))</f>
        <v>472.83070477639035</v>
      </c>
      <c r="BJ12" s="62">
        <f t="shared" si="38"/>
        <v>297.32483725004136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6.5</v>
      </c>
      <c r="BY12" s="13">
        <f>IF('Données projet'!$A$114&gt;35,BY11+BX12-CG11,IF(A12&lt;'Données projet'!$A$114,$BV$205^A12,IF(A12='Données projet'!$A$114,'Données projet'!$B$114,BY11+BX12-CG11)))</f>
        <v>42.817570451188317</v>
      </c>
      <c r="BZ12" s="14">
        <f>BY12*VLOOKUP('Données projet'!$B$12,Paramètres!$A$1:$I$89,3,0)*VLOOKUP('Données projet'!$B$12,Paramètres!$A$1:$I$89,5,0)</f>
        <v>23.378393466348818</v>
      </c>
      <c r="CA12" s="14">
        <f t="shared" si="39"/>
        <v>7.4651184255517995</v>
      </c>
      <c r="CB12" s="22">
        <f t="shared" si="10"/>
        <v>53.719116545060238</v>
      </c>
      <c r="CC12" s="62">
        <f t="shared" si="11"/>
        <v>243.07707529761632</v>
      </c>
      <c r="CD12" s="62">
        <f ca="1">AVERAGE(OFFSET($CC$3,0,0,'Données projet'!$E$12+1,1))-AVERAGE(OFFSET($H$3,0,0,'Données projet'!$E$12+1,1))</f>
        <v>262.64209686767367</v>
      </c>
      <c r="CE12" s="62">
        <f t="shared" si="40"/>
        <v>381.0342365342517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0.6</v>
      </c>
      <c r="CT12" s="13">
        <f>IF('Données projet'!$A$140&gt;35,CT11+CS12-DB11,IF(A12&lt;'Données projet'!$A$140,$CQ$205^A12,IF(A12='Données projet'!$A$140,'Données projet'!$B$140,CT11+CS12-DB11)))</f>
        <v>3.7371928188465526</v>
      </c>
      <c r="CU12" s="18">
        <f>CT12*VLOOKUP('Données projet'!$B$13,Paramètres!$A$1:$I$89,3,0)*VLOOKUP('Données projet'!$B$13,Paramètres!$A$1:$I$89,5,0)</f>
        <v>2.7401097747782925</v>
      </c>
      <c r="CV12" s="14">
        <f t="shared" si="41"/>
        <v>1.1229588342279577</v>
      </c>
      <c r="CW12" s="22">
        <f t="shared" si="13"/>
        <v>6.7281778273525523</v>
      </c>
      <c r="CX12" s="62">
        <f t="shared" si="14"/>
        <v>196.08613657990861</v>
      </c>
      <c r="CY12" s="62">
        <f ca="1">AVERAGE(OFFSET($CX$3,0,0,'Données projet'!$E$13+1,1))-AVERAGE(OFFSET($H$3,0,0,'Données projet'!$E$13+1,1))</f>
        <v>250.11765444522138</v>
      </c>
      <c r="CZ12" s="62">
        <f t="shared" si="42"/>
        <v>241.42920565698913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10.163529411764706</v>
      </c>
      <c r="N13" s="14">
        <f>IF('Données projet'!$A$36&gt;35,N12+M13-V12,IF(A13&lt;'Données projet'!$A$36,$K$205^A13,IF(A13='Données projet'!$A$36,'Données projet'!$B$36,N12+M13-V12)))</f>
        <v>20.709643800053833</v>
      </c>
      <c r="O13" s="14">
        <f>N13*VLOOKUP('Données projet'!$B$9,Paramètres!$A$1:$I$89,3,0)*VLOOKUP('Données projet'!$B$9,Paramètres!$A$1:$I$89,5,0)</f>
        <v>11.576690884230093</v>
      </c>
      <c r="P13" s="14">
        <f t="shared" si="33"/>
        <v>4.0117630451391877</v>
      </c>
      <c r="Q13" s="22">
        <f t="shared" si="2"/>
        <v>27.149890593651492</v>
      </c>
      <c r="R13" s="62">
        <f t="shared" si="0"/>
        <v>219.08855257869638</v>
      </c>
      <c r="S13" s="62">
        <f ca="1">AVERAGE(OFFSET($R$3,0,0,'Données projet'!$E$9+1,1))-AVERAGE(OFFSET($H$3,0,0,'Données projet'!$E$9+1,1))</f>
        <v>419.0448820879102</v>
      </c>
      <c r="T13" s="62">
        <f t="shared" si="34"/>
        <v>553.33038335026379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5.8</v>
      </c>
      <c r="AI13" s="14">
        <f>IF('Données projet'!$A$62&gt;35,AI12+AH13-AQ12,IF(A13&lt;'Données projet'!$A$62,$AF$205^A13,IF(A13='Données projet'!$A$62,'Données projet'!$B$62,AI12+AH13-AQ12)))</f>
        <v>19.634183025716826</v>
      </c>
      <c r="AJ13" s="14">
        <f>AI13*VLOOKUP('Données projet'!$B$10,Paramètres!$A$1:$I$89,3,0)*VLOOKUP('Données projet'!$B$10,Paramètres!$A$1:$I$89,5,0)</f>
        <v>17.152422291266223</v>
      </c>
      <c r="AK13" s="14">
        <f t="shared" si="35"/>
        <v>5.678086989362658</v>
      </c>
      <c r="AL13" s="22">
        <f t="shared" si="4"/>
        <v>39.763136997095295</v>
      </c>
      <c r="AM13" s="62">
        <f t="shared" si="5"/>
        <v>231.70179898214019</v>
      </c>
      <c r="AN13" s="62">
        <f ca="1">AVERAGE(OFFSET($AM$3,0,0,'Données projet'!$E$10+1,1))-AVERAGE(OFFSET($H$3,0,0,'Données projet'!$E$10+1,1))</f>
        <v>341.62910675299065</v>
      </c>
      <c r="AO13" s="62">
        <f t="shared" si="36"/>
        <v>407.15938341104709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210.29320032238616</v>
      </c>
      <c r="BI13" s="62">
        <f ca="1">AVERAGE(OFFSET($BH$3,0,0,'Données projet'!$E$11+1,1))-AVERAGE(OFFSET($H$3,0,0,'Données projet'!$E$11+1,1))</f>
        <v>472.83070477639035</v>
      </c>
      <c r="BJ13" s="62">
        <f t="shared" si="38"/>
        <v>297.32483725004136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65</v>
      </c>
      <c r="BW13" s="13">
        <f>VLOOKUP(A13,'Données projet'!$A$113:$I$133,9,0)</f>
        <v>6.5</v>
      </c>
      <c r="BX13" s="13">
        <f t="array" ref="BX13">INDEX(BW:BW,MIN(IF(ISNUMBER(BW13:BW209),ROW(BW13:BW209),"")))</f>
        <v>6.5</v>
      </c>
      <c r="BY13" s="13">
        <f>IF('Données projet'!$A$114&gt;35,BY12+BX13-CG12,IF(A13&lt;'Données projet'!$A$114,$BV$205^A13,IF(A13='Données projet'!$A$114,'Données projet'!$B$114,BY12+BX13-CG12)))</f>
        <v>65</v>
      </c>
      <c r="BZ13" s="14">
        <f>BY13*VLOOKUP('Données projet'!$B$12,Paramètres!$A$1:$I$89,3,0)*VLOOKUP('Données projet'!$B$12,Paramètres!$A$1:$I$89,5,0)</f>
        <v>35.49</v>
      </c>
      <c r="CA13" s="14">
        <f t="shared" si="39"/>
        <v>10.79507653868451</v>
      </c>
      <c r="CB13" s="22">
        <f t="shared" si="10"/>
        <v>80.613174971542193</v>
      </c>
      <c r="CC13" s="62">
        <f t="shared" si="11"/>
        <v>272.55183695658707</v>
      </c>
      <c r="CD13" s="62">
        <f ca="1">AVERAGE(OFFSET($CC$3,0,0,'Données projet'!$E$12+1,1))-AVERAGE(OFFSET($H$3,0,0,'Données projet'!$E$12+1,1))</f>
        <v>262.64209686767367</v>
      </c>
      <c r="CE13" s="62">
        <f t="shared" si="40"/>
        <v>381.0342365342517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18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1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11.127579020090105</v>
      </c>
      <c r="CN13" s="24">
        <f t="shared" si="12"/>
        <v>11.127579020090105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0.6</v>
      </c>
      <c r="CT13" s="13">
        <f>IF('Données projet'!$A$140&gt;35,CT12+CS13-DB12,IF(A13&lt;'Données projet'!$A$140,$CQ$205^A13,IF(A13='Données projet'!$A$140,'Données projet'!$B$140,CT12+CS13-DB12)))</f>
        <v>4.3267487109222253</v>
      </c>
      <c r="CU13" s="18">
        <f>CT13*VLOOKUP('Données projet'!$B$13,Paramètres!$A$1:$I$89,3,0)*VLOOKUP('Données projet'!$B$13,Paramètres!$A$1:$I$89,5,0)</f>
        <v>3.1723721548481754</v>
      </c>
      <c r="CV13" s="14">
        <f t="shared" si="41"/>
        <v>1.2781301555052913</v>
      </c>
      <c r="CW13" s="22">
        <f t="shared" si="13"/>
        <v>7.7512915238656204</v>
      </c>
      <c r="CX13" s="62">
        <f t="shared" si="14"/>
        <v>199.68995350891052</v>
      </c>
      <c r="CY13" s="62">
        <f ca="1">AVERAGE(OFFSET($CX$3,0,0,'Données projet'!$E$13+1,1))-AVERAGE(OFFSET($H$3,0,0,'Données projet'!$E$13+1,1))</f>
        <v>250.11765444522138</v>
      </c>
      <c r="CZ13" s="62">
        <f t="shared" si="42"/>
        <v>241.42920565698913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10.163529411764706</v>
      </c>
      <c r="N14" s="14">
        <f>IF('Données projet'!$A$36&gt;35,N13+M14-V13,IF(A14&lt;'Données projet'!$A$36,$K$205^A14,IF(A14='Données projet'!$A$36,'Données projet'!$B$36,N13+M14-V13)))</f>
        <v>28.040767220209094</v>
      </c>
      <c r="O14" s="14">
        <f>N14*VLOOKUP('Données projet'!$B$9,Paramètres!$A$1:$I$89,3,0)*VLOOKUP('Données projet'!$B$9,Paramètres!$A$1:$I$89,5,0)</f>
        <v>15.674788876096885</v>
      </c>
      <c r="P14" s="14">
        <f t="shared" si="33"/>
        <v>5.2436329884760928</v>
      </c>
      <c r="Q14" s="22">
        <f t="shared" si="2"/>
        <v>36.432918080797933</v>
      </c>
      <c r="R14" s="62">
        <f t="shared" si="0"/>
        <v>230.92871668991205</v>
      </c>
      <c r="S14" s="62">
        <f ca="1">AVERAGE(OFFSET($R$3,0,0,'Données projet'!$E$9+1,1))-AVERAGE(OFFSET($H$3,0,0,'Données projet'!$E$9+1,1))</f>
        <v>419.0448820879102</v>
      </c>
      <c r="T14" s="62">
        <f t="shared" si="34"/>
        <v>553.33038335026379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5.8</v>
      </c>
      <c r="AI14" s="14">
        <f>IF('Données projet'!$A$62&gt;35,AI13+AH14-AQ13,IF(A14&lt;'Données projet'!$A$62,$AF$205^A14,IF(A14='Données projet'!$A$62,'Données projet'!$B$62,AI13+AH14-AQ13)))</f>
        <v>26.443206626903088</v>
      </c>
      <c r="AJ14" s="14">
        <f>AI14*VLOOKUP('Données projet'!$B$10,Paramètres!$A$1:$I$89,3,0)*VLOOKUP('Données projet'!$B$10,Paramètres!$A$1:$I$89,5,0)</f>
        <v>23.100785309262541</v>
      </c>
      <c r="AK14" s="14">
        <f t="shared" si="35"/>
        <v>7.3867373282653306</v>
      </c>
      <c r="AL14" s="22">
        <f t="shared" si="4"/>
        <v>53.099101927027704</v>
      </c>
      <c r="AM14" s="62">
        <f t="shared" si="5"/>
        <v>247.59490053614184</v>
      </c>
      <c r="AN14" s="62">
        <f ca="1">AVERAGE(OFFSET($AM$3,0,0,'Données projet'!$E$10+1,1))-AVERAGE(OFFSET($H$3,0,0,'Données projet'!$E$10+1,1))</f>
        <v>341.62910675299065</v>
      </c>
      <c r="AO14" s="62">
        <f t="shared" si="36"/>
        <v>407.15938341104709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217.09257815700823</v>
      </c>
      <c r="BI14" s="62">
        <f ca="1">AVERAGE(OFFSET($BH$3,0,0,'Données projet'!$E$11+1,1))-AVERAGE(OFFSET($H$3,0,0,'Données projet'!$E$11+1,1))</f>
        <v>472.83070477639035</v>
      </c>
      <c r="BJ14" s="62">
        <f t="shared" si="38"/>
        <v>297.32483725004136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19</v>
      </c>
      <c r="BY14" s="13">
        <f>IF('Données projet'!$A$114&gt;35,BY13+BX14-CG13,IF(A14&lt;'Données projet'!$A$114,$BV$205^A14,IF(A14='Données projet'!$A$114,'Données projet'!$B$114,BY13+BX14-CG13)))</f>
        <v>66</v>
      </c>
      <c r="BZ14" s="14">
        <f>BY14*VLOOKUP('Données projet'!$B$12,Paramètres!$A$1:$I$89,3,0)*VLOOKUP('Données projet'!$B$12,Paramètres!$A$1:$I$89,5,0)</f>
        <v>36.036000000000001</v>
      </c>
      <c r="CA14" s="14">
        <f t="shared" si="39"/>
        <v>10.941692499899743</v>
      </c>
      <c r="CB14" s="22">
        <f t="shared" si="10"/>
        <v>81.819481103992061</v>
      </c>
      <c r="CC14" s="62">
        <f t="shared" si="11"/>
        <v>276.31527971310618</v>
      </c>
      <c r="CD14" s="62">
        <f ca="1">AVERAGE(OFFSET($CC$3,0,0,'Données projet'!$E$12+1,1))-AVERAGE(OFFSET($H$3,0,0,'Données projet'!$E$12+1,1))</f>
        <v>262.64209686767367</v>
      </c>
      <c r="CE14" s="62">
        <f t="shared" si="40"/>
        <v>381.0342365342517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7.8683865832948712</v>
      </c>
      <c r="CN14" s="24">
        <f t="shared" si="12"/>
        <v>7.8683865832948712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0.6</v>
      </c>
      <c r="CT14" s="13">
        <f>IF('Données projet'!$A$140&gt;35,CT13+CS14-DB13,IF(A14&lt;'Données projet'!$A$140,$CQ$205^A14,IF(A14='Données projet'!$A$140,'Données projet'!$B$140,CT13+CS14-DB13)))</f>
        <v>5.0093092101266317</v>
      </c>
      <c r="CU14" s="18">
        <f>CT14*VLOOKUP('Données projet'!$B$13,Paramètres!$A$1:$I$89,3,0)*VLOOKUP('Données projet'!$B$13,Paramètres!$A$1:$I$89,5,0)</f>
        <v>3.6728255128648462</v>
      </c>
      <c r="CV14" s="14">
        <f t="shared" si="41"/>
        <v>1.4547431701137148</v>
      </c>
      <c r="CW14" s="22">
        <f t="shared" si="13"/>
        <v>8.9305154561876599</v>
      </c>
      <c r="CX14" s="62">
        <f t="shared" si="14"/>
        <v>203.4263140653018</v>
      </c>
      <c r="CY14" s="62">
        <f ca="1">AVERAGE(OFFSET($CX$3,0,0,'Données projet'!$E$13+1,1))-AVERAGE(OFFSET($H$3,0,0,'Données projet'!$E$13+1,1))</f>
        <v>250.11765444522138</v>
      </c>
      <c r="CZ14" s="62">
        <f t="shared" si="42"/>
        <v>241.42920565698913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10.163529411764706</v>
      </c>
      <c r="N15" s="14">
        <f>IF('Données projet'!$A$36&gt;35,N14+M15-V14,IF(A15&lt;'Données projet'!$A$36,$K$205^A15,IF(A15='Données projet'!$A$36,'Données projet'!$B$36,N14+M15-V14)))</f>
        <v>37.967076299782079</v>
      </c>
      <c r="O15" s="14">
        <f>N15*VLOOKUP('Données projet'!$B$9,Paramètres!$A$1:$I$89,3,0)*VLOOKUP('Données projet'!$B$9,Paramètres!$A$1:$I$89,5,0)</f>
        <v>21.223595651578183</v>
      </c>
      <c r="P15" s="14">
        <f t="shared" si="33"/>
        <v>6.8537664384614088</v>
      </c>
      <c r="Q15" s="22">
        <f t="shared" si="2"/>
        <v>48.901405640152291</v>
      </c>
      <c r="R15" s="62">
        <f t="shared" si="0"/>
        <v>245.93118309288516</v>
      </c>
      <c r="S15" s="62">
        <f ca="1">AVERAGE(OFFSET($R$3,0,0,'Données projet'!$E$9+1,1))-AVERAGE(OFFSET($H$3,0,0,'Données projet'!$E$9+1,1))</f>
        <v>419.0448820879102</v>
      </c>
      <c r="T15" s="62">
        <f t="shared" si="34"/>
        <v>553.33038335026379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5.8</v>
      </c>
      <c r="AI15" s="14">
        <f>IF('Données projet'!$A$62&gt;35,AI14+AH15-AQ14,IF(A15&lt;'Données projet'!$A$62,$AF$205^A15,IF(A15='Données projet'!$A$62,'Données projet'!$B$62,AI14+AH15-AQ14)))</f>
        <v>35.613561093793592</v>
      </c>
      <c r="AJ15" s="14">
        <f>AI15*VLOOKUP('Données projet'!$B$10,Paramètres!$A$1:$I$89,3,0)*VLOOKUP('Données projet'!$B$10,Paramètres!$A$1:$I$89,5,0)</f>
        <v>31.112006971538086</v>
      </c>
      <c r="AK15" s="14">
        <f t="shared" si="35"/>
        <v>9.6095548481396289</v>
      </c>
      <c r="AL15" s="22">
        <f t="shared" si="4"/>
        <v>70.9233868359387</v>
      </c>
      <c r="AM15" s="62">
        <f t="shared" si="5"/>
        <v>267.95316428867159</v>
      </c>
      <c r="AN15" s="62">
        <f ca="1">AVERAGE(OFFSET($AM$3,0,0,'Données projet'!$E$10+1,1))-AVERAGE(OFFSET($H$3,0,0,'Données projet'!$E$10+1,1))</f>
        <v>341.62910675299065</v>
      </c>
      <c r="AO15" s="62">
        <f t="shared" si="36"/>
        <v>407.15938341104709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224.85264818290764</v>
      </c>
      <c r="BI15" s="62">
        <f ca="1">AVERAGE(OFFSET($BH$3,0,0,'Données projet'!$E$11+1,1))-AVERAGE(OFFSET($H$3,0,0,'Données projet'!$E$11+1,1))</f>
        <v>472.83070477639035</v>
      </c>
      <c r="BJ15" s="62">
        <f t="shared" si="38"/>
        <v>297.32483725004136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19</v>
      </c>
      <c r="BY15" s="13">
        <f>IF('Données projet'!$A$114&gt;35,BY14+BX15-CG14,IF(A15&lt;'Données projet'!$A$114,$BV$205^A15,IF(A15='Données projet'!$A$114,'Données projet'!$B$114,BY14+BX15-CG14)))</f>
        <v>85</v>
      </c>
      <c r="BZ15" s="14">
        <f>BY15*VLOOKUP('Données projet'!$B$12,Paramètres!$A$1:$I$89,3,0)*VLOOKUP('Données projet'!$B$12,Paramètres!$A$1:$I$89,5,0)</f>
        <v>46.41</v>
      </c>
      <c r="CA15" s="14">
        <f t="shared" si="39"/>
        <v>13.682644606433925</v>
      </c>
      <c r="CB15" s="22">
        <f t="shared" si="10"/>
        <v>104.66135602287243</v>
      </c>
      <c r="CC15" s="62">
        <f t="shared" si="11"/>
        <v>301.69113347560528</v>
      </c>
      <c r="CD15" s="62">
        <f ca="1">AVERAGE(OFFSET($CC$3,0,0,'Données projet'!$E$12+1,1))-AVERAGE(OFFSET($H$3,0,0,'Données projet'!$E$12+1,1))</f>
        <v>262.64209686767367</v>
      </c>
      <c r="CE15" s="62">
        <f t="shared" si="40"/>
        <v>381.0342365342517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5.5637895100450532</v>
      </c>
      <c r="CN15" s="24">
        <f t="shared" si="12"/>
        <v>5.5637895100450532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0.6</v>
      </c>
      <c r="CT15" s="13">
        <f>IF('Données projet'!$A$140&gt;35,CT14+CS15-DB14,IF(A15&lt;'Données projet'!$A$140,$CQ$205^A15,IF(A15='Données projet'!$A$140,'Données projet'!$B$140,CT14+CS15-DB14)))</f>
        <v>5.799546134795289</v>
      </c>
      <c r="CU15" s="18">
        <f>CT15*VLOOKUP('Données projet'!$B$13,Paramètres!$A$1:$I$89,3,0)*VLOOKUP('Données projet'!$B$13,Paramètres!$A$1:$I$89,5,0)</f>
        <v>4.2522272260319056</v>
      </c>
      <c r="CV15" s="14">
        <f t="shared" si="41"/>
        <v>1.6557607078411023</v>
      </c>
      <c r="CW15" s="22">
        <f t="shared" si="13"/>
        <v>10.289745651495487</v>
      </c>
      <c r="CX15" s="62">
        <f t="shared" si="14"/>
        <v>207.31952310422835</v>
      </c>
      <c r="CY15" s="62">
        <f ca="1">AVERAGE(OFFSET($CX$3,0,0,'Données projet'!$E$13+1,1))-AVERAGE(OFFSET($H$3,0,0,'Données projet'!$E$13+1,1))</f>
        <v>250.11765444522138</v>
      </c>
      <c r="CZ15" s="62">
        <f t="shared" si="42"/>
        <v>241.42920565698913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10.163529411764706</v>
      </c>
      <c r="N16" s="14">
        <f>IF('Données projet'!$A$36&gt;35,N15+M16-V15,IF(A16&lt;'Données projet'!$A$36,$K$205^A16,IF(A16='Données projet'!$A$36,'Données projet'!$B$36,N15+M16-V15)))</f>
        <v>51.40725542326031</v>
      </c>
      <c r="O16" s="14">
        <f>N16*VLOOKUP('Données projet'!$B$9,Paramètres!$A$1:$I$89,3,0)*VLOOKUP('Données projet'!$B$9,Paramètres!$A$1:$I$89,5,0)</f>
        <v>28.736655781602511</v>
      </c>
      <c r="P16" s="14">
        <f t="shared" si="33"/>
        <v>8.9583146830098084</v>
      </c>
      <c r="Q16" s="22">
        <f t="shared" si="2"/>
        <v>65.652073559199778</v>
      </c>
      <c r="R16" s="62">
        <f t="shared" si="0"/>
        <v>265.19307381081859</v>
      </c>
      <c r="S16" s="62">
        <f ca="1">AVERAGE(OFFSET($R$3,0,0,'Données projet'!$E$9+1,1))-AVERAGE(OFFSET($H$3,0,0,'Données projet'!$E$9+1,1))</f>
        <v>419.0448820879102</v>
      </c>
      <c r="T16" s="62">
        <f t="shared" si="34"/>
        <v>553.33038335026379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5.8</v>
      </c>
      <c r="AI16" s="14">
        <f>IF('Données projet'!$A$62&gt;35,AI15+AH16-AQ15,IF(A16&lt;'Données projet'!$A$62,$AF$205^A16,IF(A16='Données projet'!$A$62,'Données projet'!$B$62,AI15+AH16-AQ15)))</f>
        <v>47.964142612378375</v>
      </c>
      <c r="AJ16" s="14">
        <f>AI16*VLOOKUP('Données projet'!$B$10,Paramètres!$A$1:$I$89,3,0)*VLOOKUP('Données projet'!$B$10,Paramètres!$A$1:$I$89,5,0)</f>
        <v>41.901474986173753</v>
      </c>
      <c r="AK16" s="14">
        <f t="shared" si="35"/>
        <v>12.501262773491545</v>
      </c>
      <c r="AL16" s="22">
        <f t="shared" si="4"/>
        <v>94.751434931417066</v>
      </c>
      <c r="AM16" s="62">
        <f t="shared" si="5"/>
        <v>294.29243518303588</v>
      </c>
      <c r="AN16" s="62">
        <f ca="1">AVERAGE(OFFSET($AM$3,0,0,'Données projet'!$E$10+1,1))-AVERAGE(OFFSET($H$3,0,0,'Données projet'!$E$10+1,1))</f>
        <v>341.62910675299065</v>
      </c>
      <c r="AO16" s="62">
        <f t="shared" si="36"/>
        <v>407.15938341104709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233.80270813005566</v>
      </c>
      <c r="BI16" s="62">
        <f ca="1">AVERAGE(OFFSET($BH$3,0,0,'Données projet'!$E$11+1,1))-AVERAGE(OFFSET($H$3,0,0,'Données projet'!$E$11+1,1))</f>
        <v>472.83070477639035</v>
      </c>
      <c r="BJ16" s="62">
        <f t="shared" si="38"/>
        <v>297.32483725004136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19</v>
      </c>
      <c r="BY16" s="13">
        <f>IF('Données projet'!$A$114&gt;35,BY15+BX16-CG15,IF(A16&lt;'Données projet'!$A$114,$BV$205^A16,IF(A16='Données projet'!$A$114,'Données projet'!$B$114,BY15+BX16-CG15)))</f>
        <v>104</v>
      </c>
      <c r="BZ16" s="14">
        <f>BY16*VLOOKUP('Données projet'!$B$12,Paramètres!$A$1:$I$89,3,0)*VLOOKUP('Données projet'!$B$12,Paramètres!$A$1:$I$89,5,0)</f>
        <v>56.783999999999999</v>
      </c>
      <c r="CA16" s="14">
        <f t="shared" si="39"/>
        <v>16.352574732529362</v>
      </c>
      <c r="CB16" s="22">
        <f t="shared" si="10"/>
        <v>127.37953432582198</v>
      </c>
      <c r="CC16" s="62">
        <f t="shared" si="11"/>
        <v>326.92053457744078</v>
      </c>
      <c r="CD16" s="62">
        <f ca="1">AVERAGE(OFFSET($CC$3,0,0,'Données projet'!$E$12+1,1))-AVERAGE(OFFSET($H$3,0,0,'Données projet'!$E$12+1,1))</f>
        <v>262.64209686767367</v>
      </c>
      <c r="CE16" s="62">
        <f t="shared" si="40"/>
        <v>381.0342365342517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3.934193291647436</v>
      </c>
      <c r="CN16" s="24">
        <f t="shared" si="12"/>
        <v>3.934193291647436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0.6</v>
      </c>
      <c r="CT16" s="13">
        <f>IF('Données projet'!$A$140&gt;35,CT15+CS16-DB15,IF(A16&lt;'Données projet'!$A$140,$CQ$205^A16,IF(A16='Données projet'!$A$140,'Données projet'!$B$140,CT15+CS16-DB15)))</f>
        <v>6.7144458364886441</v>
      </c>
      <c r="CU16" s="18">
        <f>CT16*VLOOKUP('Données projet'!$B$13,Paramètres!$A$1:$I$89,3,0)*VLOOKUP('Données projet'!$B$13,Paramètres!$A$1:$I$89,5,0)</f>
        <v>4.9230316873134736</v>
      </c>
      <c r="CV16" s="14">
        <f t="shared" si="41"/>
        <v>1.8845550045896882</v>
      </c>
      <c r="CW16" s="22">
        <f t="shared" si="13"/>
        <v>11.856546821731341</v>
      </c>
      <c r="CX16" s="62">
        <f t="shared" si="14"/>
        <v>211.39754707335015</v>
      </c>
      <c r="CY16" s="62">
        <f ca="1">AVERAGE(OFFSET($CX$3,0,0,'Données projet'!$E$13+1,1))-AVERAGE(OFFSET($H$3,0,0,'Données projet'!$E$13+1,1))</f>
        <v>250.11765444522138</v>
      </c>
      <c r="CZ16" s="62">
        <f t="shared" si="42"/>
        <v>241.42920565698913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10.163529411764706</v>
      </c>
      <c r="N17" s="14">
        <f>IF('Données projet'!$A$36&gt;35,N16+M17-V16,IF(A17&lt;'Données projet'!$A$36,$K$205^A17,IF(A17='Données projet'!$A$36,'Données projet'!$B$36,N16+M17-V16)))</f>
        <v>69.605199233302443</v>
      </c>
      <c r="O17" s="14">
        <f>N17*VLOOKUP('Données projet'!$B$9,Paramètres!$A$1:$I$89,3,0)*VLOOKUP('Données projet'!$B$9,Paramètres!$A$1:$I$89,5,0)</f>
        <v>38.909306371416065</v>
      </c>
      <c r="P17" s="14">
        <f t="shared" si="33"/>
        <v>11.709094945150285</v>
      </c>
      <c r="Q17" s="22">
        <f t="shared" si="2"/>
        <v>88.160382293019723</v>
      </c>
      <c r="R17" s="62">
        <f t="shared" si="0"/>
        <v>290.19024406529292</v>
      </c>
      <c r="S17" s="62">
        <f ca="1">AVERAGE(OFFSET($R$3,0,0,'Données projet'!$E$9+1,1))-AVERAGE(OFFSET($H$3,0,0,'Données projet'!$E$9+1,1))</f>
        <v>419.0448820879102</v>
      </c>
      <c r="T17" s="62">
        <f t="shared" si="34"/>
        <v>553.33038335026379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5.8</v>
      </c>
      <c r="AI17" s="14">
        <f>IF('Données projet'!$A$62&gt;35,AI16+AH17-AQ16,IF(A17&lt;'Données projet'!$A$62,$AF$205^A17,IF(A17='Données projet'!$A$62,'Données projet'!$B$62,AI16+AH17-AQ16)))</f>
        <v>64.597835933388069</v>
      </c>
      <c r="AJ17" s="14">
        <f>AI17*VLOOKUP('Données projet'!$B$10,Paramètres!$A$1:$I$89,3,0)*VLOOKUP('Données projet'!$B$10,Paramètres!$A$1:$I$89,5,0)</f>
        <v>56.432669471407827</v>
      </c>
      <c r="AK17" s="14">
        <f t="shared" si="35"/>
        <v>16.263143652501352</v>
      </c>
      <c r="AL17" s="22">
        <f t="shared" si="4"/>
        <v>126.61187452414181</v>
      </c>
      <c r="AM17" s="62">
        <f t="shared" si="5"/>
        <v>328.64173629641499</v>
      </c>
      <c r="AN17" s="62">
        <f ca="1">AVERAGE(OFFSET($AM$3,0,0,'Données projet'!$E$10+1,1))-AVERAGE(OFFSET($H$3,0,0,'Données projet'!$E$10+1,1))</f>
        <v>341.62910675299065</v>
      </c>
      <c r="AO17" s="62">
        <f t="shared" si="36"/>
        <v>407.15938341104709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244.22545806894149</v>
      </c>
      <c r="BI17" s="62">
        <f ca="1">AVERAGE(OFFSET($BH$3,0,0,'Données projet'!$E$11+1,1))-AVERAGE(OFFSET($H$3,0,0,'Données projet'!$E$11+1,1))</f>
        <v>472.83070477639035</v>
      </c>
      <c r="BJ17" s="62">
        <f t="shared" si="38"/>
        <v>297.32483725004136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19</v>
      </c>
      <c r="BY17" s="13">
        <f>IF('Données projet'!$A$114&gt;35,BY16+BX17-CG16,IF(A17&lt;'Données projet'!$A$114,$BV$205^A17,IF(A17='Données projet'!$A$114,'Données projet'!$B$114,BY16+BX17-CG16)))</f>
        <v>123</v>
      </c>
      <c r="BZ17" s="14">
        <f>BY17*VLOOKUP('Données projet'!$B$12,Paramètres!$A$1:$I$89,3,0)*VLOOKUP('Données projet'!$B$12,Paramètres!$A$1:$I$89,5,0)</f>
        <v>67.158000000000001</v>
      </c>
      <c r="CA17" s="14">
        <f t="shared" si="39"/>
        <v>18.965995379979955</v>
      </c>
      <c r="CB17" s="22">
        <f t="shared" si="10"/>
        <v>149.99929195346508</v>
      </c>
      <c r="CC17" s="62">
        <f t="shared" si="11"/>
        <v>352.0291537257383</v>
      </c>
      <c r="CD17" s="62">
        <f ca="1">AVERAGE(OFFSET($CC$3,0,0,'Données projet'!$E$12+1,1))-AVERAGE(OFFSET($H$3,0,0,'Données projet'!$E$12+1,1))</f>
        <v>262.64209686767367</v>
      </c>
      <c r="CE17" s="62">
        <f t="shared" si="40"/>
        <v>381.0342365342517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2.781894755022527</v>
      </c>
      <c r="CN17" s="24">
        <f t="shared" si="12"/>
        <v>2.781894755022527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0.6</v>
      </c>
      <c r="CT17" s="13">
        <f>IF('Données projet'!$A$140&gt;35,CT16+CS17-DB16,IF(A17&lt;'Données projet'!$A$140,$CQ$205^A17,IF(A17='Données projet'!$A$140,'Données projet'!$B$140,CT16+CS17-DB16)))</f>
        <v>7.7736743261084582</v>
      </c>
      <c r="CU17" s="18">
        <f>CT17*VLOOKUP('Données projet'!$B$13,Paramètres!$A$1:$I$89,3,0)*VLOOKUP('Données projet'!$B$13,Paramètres!$A$1:$I$89,5,0)</f>
        <v>5.6996580159027213</v>
      </c>
      <c r="CV17" s="14">
        <f t="shared" si="41"/>
        <v>2.1449642744299671</v>
      </c>
      <c r="CW17" s="22">
        <f t="shared" si="13"/>
        <v>13.662717155662767</v>
      </c>
      <c r="CX17" s="62">
        <f t="shared" si="14"/>
        <v>215.69257892793595</v>
      </c>
      <c r="CY17" s="62">
        <f ca="1">AVERAGE(OFFSET($CX$3,0,0,'Données projet'!$E$13+1,1))-AVERAGE(OFFSET($H$3,0,0,'Données projet'!$E$13+1,1))</f>
        <v>250.11765444522138</v>
      </c>
      <c r="CZ17" s="62">
        <f t="shared" si="42"/>
        <v>241.42920565698913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10.163529411764706</v>
      </c>
      <c r="N18" s="14">
        <f>IF('Données projet'!$A$36&gt;35,N17+M18-V17,IF(A18&lt;'Données projet'!$A$36,$K$205^A18,IF(A18='Données projet'!$A$36,'Données projet'!$B$36,N17+M18-V17)))</f>
        <v>94.245135641214503</v>
      </c>
      <c r="O18" s="14">
        <f>N18*VLOOKUP('Données projet'!$B$9,Paramètres!$A$1:$I$89,3,0)*VLOOKUP('Données projet'!$B$9,Paramètres!$A$1:$I$89,5,0)</f>
        <v>52.683030823438912</v>
      </c>
      <c r="P18" s="14">
        <f t="shared" si="33"/>
        <v>15.304542124934633</v>
      </c>
      <c r="Q18" s="22">
        <f t="shared" si="2"/>
        <v>118.41168955175056</v>
      </c>
      <c r="R18" s="62">
        <f t="shared" si="0"/>
        <v>322.90843948463157</v>
      </c>
      <c r="S18" s="62">
        <f ca="1">AVERAGE(OFFSET($R$3,0,0,'Données projet'!$E$9+1,1))-AVERAGE(OFFSET($H$3,0,0,'Données projet'!$E$9+1,1))</f>
        <v>419.0448820879102</v>
      </c>
      <c r="T18" s="62">
        <f t="shared" si="34"/>
        <v>553.33038335026379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87</v>
      </c>
      <c r="AG18" s="13">
        <f>VLOOKUP(A18,'Données projet'!$A$61:$I$81,9,0)</f>
        <v>5.8</v>
      </c>
      <c r="AH18" s="13">
        <f t="array" ref="AH18">INDEX(AG:AG,MIN(IF(ISNUMBER(AG18:AG214),ROW(AG18:AG214),"")))</f>
        <v>5.8</v>
      </c>
      <c r="AI18" s="14">
        <f>IF('Données projet'!$A$62&gt;35,AI17+AH18-AQ17,IF(A18&lt;'Données projet'!$A$62,$AF$205^A18,IF(A18='Données projet'!$A$62,'Données projet'!$B$62,AI17+AH18-AQ17)))</f>
        <v>87</v>
      </c>
      <c r="AJ18" s="14">
        <f>AI18*VLOOKUP('Données projet'!$B$10,Paramètres!$A$1:$I$89,3,0)*VLOOKUP('Données projet'!$B$10,Paramètres!$A$1:$I$89,5,0)</f>
        <v>76.003200000000007</v>
      </c>
      <c r="AK18" s="14">
        <f t="shared" si="35"/>
        <v>21.157049992000456</v>
      </c>
      <c r="AL18" s="22">
        <f t="shared" si="4"/>
        <v>169.22076873606747</v>
      </c>
      <c r="AM18" s="62">
        <f t="shared" si="5"/>
        <v>373.71751866894851</v>
      </c>
      <c r="AN18" s="62">
        <f ca="1">AVERAGE(OFFSET($AM$3,0,0,'Données projet'!$E$10+1,1))-AVERAGE(OFFSET($H$3,0,0,'Données projet'!$E$10+1,1))</f>
        <v>341.62910675299065</v>
      </c>
      <c r="AO18" s="62">
        <f t="shared" si="36"/>
        <v>407.15938341104709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21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256.46949622159559</v>
      </c>
      <c r="BI18" s="62">
        <f ca="1">AVERAGE(OFFSET($BH$3,0,0,'Données projet'!$E$11+1,1))-AVERAGE(OFFSET($H$3,0,0,'Données projet'!$E$11+1,1))</f>
        <v>472.83070477639035</v>
      </c>
      <c r="BJ18" s="62">
        <f t="shared" si="38"/>
        <v>297.32483725004136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142</v>
      </c>
      <c r="BW18" s="13">
        <f>VLOOKUP(A18,'Données projet'!$A$113:$I$133,9,0)</f>
        <v>19</v>
      </c>
      <c r="BX18" s="13">
        <f t="array" ref="BX18">INDEX(BW:BW,MIN(IF(ISNUMBER(BW18:BW214),ROW(BW18:BW214),"")))</f>
        <v>19</v>
      </c>
      <c r="BY18" s="13">
        <f>IF('Données projet'!$A$114&gt;35,BY17+BX18-CG17,IF(A18&lt;'Données projet'!$A$114,$BV$205^A18,IF(A18='Données projet'!$A$114,'Données projet'!$B$114,BY17+BX18-CG17)))</f>
        <v>142</v>
      </c>
      <c r="BZ18" s="14">
        <f>BY18*VLOOKUP('Données projet'!$B$12,Paramètres!$A$1:$I$89,3,0)*VLOOKUP('Données projet'!$B$12,Paramètres!$A$1:$I$89,5,0)</f>
        <v>77.531999999999996</v>
      </c>
      <c r="CA18" s="14">
        <f t="shared" si="39"/>
        <v>21.532649196514885</v>
      </c>
      <c r="CB18" s="22">
        <f t="shared" si="10"/>
        <v>172.53759735059677</v>
      </c>
      <c r="CC18" s="62">
        <f t="shared" si="11"/>
        <v>377.03434728347781</v>
      </c>
      <c r="CD18" s="62">
        <f ca="1">AVERAGE(OFFSET($CC$3,0,0,'Données projet'!$E$12+1,1))-AVERAGE(OFFSET($H$3,0,0,'Données projet'!$E$12+1,1))</f>
        <v>262.64209686767367</v>
      </c>
      <c r="CE18" s="62">
        <f t="shared" si="40"/>
        <v>381.0342365342517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41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1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27.313248858251178</v>
      </c>
      <c r="CN18" s="24">
        <f t="shared" si="12"/>
        <v>27.313248858251178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9</v>
      </c>
      <c r="CR18" s="13">
        <f>VLOOKUP(A18,'Données projet'!$A$139:$I$159,9,0)</f>
        <v>0.6</v>
      </c>
      <c r="CS18" s="13">
        <f t="array" ref="CS18">INDEX(CR:CR,MIN(IF(ISNUMBER(CR18:CR214),ROW(CR18:CR214),"")))</f>
        <v>0.6</v>
      </c>
      <c r="CT18" s="13">
        <f>IF('Données projet'!$A$140&gt;35,CT17+CS18-DB17,IF(A18&lt;'Données projet'!$A$140,$CQ$205^A18,IF(A18='Données projet'!$A$140,'Données projet'!$B$140,CT17+CS18-DB17)))</f>
        <v>9</v>
      </c>
      <c r="CU18" s="18">
        <f>CT18*VLOOKUP('Données projet'!$B$13,Paramètres!$A$1:$I$89,3,0)*VLOOKUP('Données projet'!$B$13,Paramètres!$A$1:$I$89,5,0)</f>
        <v>6.5987999999999998</v>
      </c>
      <c r="CV18" s="14">
        <f t="shared" si="41"/>
        <v>2.4413570988248194</v>
      </c>
      <c r="CW18" s="22">
        <f t="shared" si="13"/>
        <v>15.744940280453227</v>
      </c>
      <c r="CX18" s="62">
        <f t="shared" si="14"/>
        <v>220.24169021333427</v>
      </c>
      <c r="CY18" s="62">
        <f ca="1">AVERAGE(OFFSET($CX$3,0,0,'Données projet'!$E$13+1,1))-AVERAGE(OFFSET($H$3,0,0,'Données projet'!$E$13+1,1))</f>
        <v>250.11765444522138</v>
      </c>
      <c r="CZ18" s="62">
        <f t="shared" si="42"/>
        <v>241.42920565698913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10.163529411764706</v>
      </c>
      <c r="N19" s="14">
        <f>IF('Données projet'!$A$36&gt;35,N18+M19-V18,IF(A19&lt;'Données projet'!$A$36,$K$205^A19,IF(A19='Données projet'!$A$36,'Données projet'!$B$36,N18+M19-V18)))</f>
        <v>127.60750188013651</v>
      </c>
      <c r="O19" s="14">
        <f>N19*VLOOKUP('Données projet'!$B$9,Paramètres!$A$1:$I$89,3,0)*VLOOKUP('Données projet'!$B$9,Paramètres!$A$1:$I$89,5,0)</f>
        <v>71.332593550996307</v>
      </c>
      <c r="P19" s="14">
        <f t="shared" si="33"/>
        <v>20.004023432307392</v>
      </c>
      <c r="Q19" s="22">
        <f t="shared" si="2"/>
        <v>159.07794124592061</v>
      </c>
      <c r="R19" s="62">
        <f t="shared" si="0"/>
        <v>366.01998716803467</v>
      </c>
      <c r="S19" s="62">
        <f ca="1">AVERAGE(OFFSET($R$3,0,0,'Données projet'!$E$9+1,1))-AVERAGE(OFFSET($H$3,0,0,'Données projet'!$E$9+1,1))</f>
        <v>419.0448820879102</v>
      </c>
      <c r="T19" s="62">
        <f t="shared" si="34"/>
        <v>553.33038335026379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14.2</v>
      </c>
      <c r="AI19" s="14">
        <f>IF('Données projet'!$A$62&gt;35,AI18+AH19-AQ18,IF(A19&lt;'Données projet'!$A$62,$AF$205^A19,IF(A19='Données projet'!$A$62,'Données projet'!$B$62,AI18+AH19-AQ18)))</f>
        <v>80.2</v>
      </c>
      <c r="AJ19" s="14">
        <f>AI19*VLOOKUP('Données projet'!$B$10,Paramètres!$A$1:$I$89,3,0)*VLOOKUP('Données projet'!$B$10,Paramètres!$A$1:$I$89,5,0)</f>
        <v>70.062720000000013</v>
      </c>
      <c r="AK19" s="14">
        <f t="shared" si="35"/>
        <v>19.689032345957123</v>
      </c>
      <c r="AL19" s="22">
        <f t="shared" si="4"/>
        <v>156.31763533587534</v>
      </c>
      <c r="AM19" s="62">
        <f t="shared" si="5"/>
        <v>363.25968125798943</v>
      </c>
      <c r="AN19" s="62">
        <f ca="1">AVERAGE(OFFSET($AM$3,0,0,'Données projet'!$E$10+1,1))-AVERAGE(OFFSET($H$3,0,0,'Données projet'!$E$10+1,1))</f>
        <v>341.62910675299065</v>
      </c>
      <c r="AO19" s="62">
        <f t="shared" si="36"/>
        <v>407.15938341104709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270.96474543463864</v>
      </c>
      <c r="BI19" s="62">
        <f ca="1">AVERAGE(OFFSET($BH$3,0,0,'Données projet'!$E$11+1,1))-AVERAGE(OFFSET($H$3,0,0,'Données projet'!$E$11+1,1))</f>
        <v>472.83070477639035</v>
      </c>
      <c r="BJ19" s="62">
        <f t="shared" si="38"/>
        <v>297.32483725004136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20</v>
      </c>
      <c r="BY19" s="13">
        <f>IF('Données projet'!$A$114&gt;35,BY18+BX19-CG18,IF(A19&lt;'Données projet'!$A$114,$BV$205^A19,IF(A19='Données projet'!$A$114,'Données projet'!$B$114,BY18+BX19-CG18)))</f>
        <v>121</v>
      </c>
      <c r="BZ19" s="14">
        <f>BY19*VLOOKUP('Données projet'!$B$12,Paramètres!$A$1:$I$89,3,0)*VLOOKUP('Données projet'!$B$12,Paramètres!$A$1:$I$89,5,0)</f>
        <v>66.066000000000003</v>
      </c>
      <c r="CA19" s="14">
        <f t="shared" si="39"/>
        <v>18.69324238096624</v>
      </c>
      <c r="CB19" s="22">
        <f t="shared" si="10"/>
        <v>147.62234714684953</v>
      </c>
      <c r="CC19" s="62">
        <f t="shared" si="11"/>
        <v>354.56439306896357</v>
      </c>
      <c r="CD19" s="62">
        <f ca="1">AVERAGE(OFFSET($CC$3,0,0,'Données projet'!$E$12+1,1))-AVERAGE(OFFSET($H$3,0,0,'Données projet'!$E$12+1,1))</f>
        <v>262.64209686767367</v>
      </c>
      <c r="CE19" s="62">
        <f t="shared" si="40"/>
        <v>381.0342365342517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19.313383483905135</v>
      </c>
      <c r="CN19" s="24">
        <f t="shared" si="12"/>
        <v>19.313383483905135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18.600000000000001</v>
      </c>
      <c r="CU19" s="18">
        <f>CT19*VLOOKUP('Données projet'!$B$13,Paramètres!$A$1:$I$89,3,0)*VLOOKUP('Données projet'!$B$13,Paramètres!$A$1:$I$89,5,0)</f>
        <v>13.637520000000002</v>
      </c>
      <c r="CV19" s="14">
        <f t="shared" si="41"/>
        <v>4.6366494723377283</v>
      </c>
      <c r="CW19" s="22">
        <f t="shared" si="13"/>
        <v>31.827511830988218</v>
      </c>
      <c r="CX19" s="62">
        <f t="shared" si="14"/>
        <v>238.76955775310228</v>
      </c>
      <c r="CY19" s="62">
        <f ca="1">AVERAGE(OFFSET($CX$3,0,0,'Données projet'!$E$13+1,1))-AVERAGE(OFFSET($H$3,0,0,'Données projet'!$E$13+1,1))</f>
        <v>250.11765444522138</v>
      </c>
      <c r="CZ19" s="62">
        <f t="shared" si="42"/>
        <v>241.42920565698913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172.78</v>
      </c>
      <c r="L20" s="13">
        <f>VLOOKUP(A20,'Données projet'!$A$35:$I$55,9,0)</f>
        <v>10.163529411764706</v>
      </c>
      <c r="M20" s="13">
        <f t="array" ref="M20">INDEX(L:L,MIN(IF(ISNUMBER(L20:L216),ROW(L20:L216),"")))</f>
        <v>10.163529411764706</v>
      </c>
      <c r="N20" s="14">
        <f>IF('Données projet'!$A$36&gt;35,N19+M20-V19,IF(A20&lt;'Données projet'!$A$36,$K$205^A20,IF(A20='Données projet'!$A$36,'Données projet'!$B$36,N19+M20-V19)))</f>
        <v>172.78</v>
      </c>
      <c r="O20" s="14">
        <f>N20*VLOOKUP('Données projet'!$B$9,Paramètres!$A$1:$I$89,3,0)*VLOOKUP('Données projet'!$B$9,Paramètres!$A$1:$I$89,5,0)</f>
        <v>96.58402000000001</v>
      </c>
      <c r="P20" s="14">
        <f t="shared" si="33"/>
        <v>26.146548535310259</v>
      </c>
      <c r="Q20" s="22">
        <f t="shared" si="2"/>
        <v>213.75574019899872</v>
      </c>
      <c r="R20" s="62">
        <f t="shared" si="0"/>
        <v>423.12186451487145</v>
      </c>
      <c r="S20" s="62">
        <f ca="1">AVERAGE(OFFSET($R$3,0,0,'Données projet'!$E$9+1,1))-AVERAGE(OFFSET($H$3,0,0,'Données projet'!$E$9+1,1))</f>
        <v>419.0448820879102</v>
      </c>
      <c r="T20" s="62">
        <f t="shared" si="34"/>
        <v>553.33038335026379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14.2</v>
      </c>
      <c r="AI20" s="14">
        <f>IF('Données projet'!$A$62&gt;35,AI19+AH20-AQ19,IF(A20&lt;'Données projet'!$A$62,$AF$205^A20,IF(A20='Données projet'!$A$62,'Données projet'!$B$62,AI19+AH20-AQ19)))</f>
        <v>94.4</v>
      </c>
      <c r="AJ20" s="14">
        <f>AI20*VLOOKUP('Données projet'!$B$10,Paramètres!$A$1:$I$89,3,0)*VLOOKUP('Données projet'!$B$10,Paramètres!$A$1:$I$89,5,0)</f>
        <v>82.467840000000024</v>
      </c>
      <c r="AK20" s="14">
        <f t="shared" si="35"/>
        <v>22.739512759227473</v>
      </c>
      <c r="AL20" s="22">
        <f t="shared" si="4"/>
        <v>183.23613938898788</v>
      </c>
      <c r="AM20" s="62">
        <f t="shared" si="5"/>
        <v>392.6022637048606</v>
      </c>
      <c r="AN20" s="62">
        <f ca="1">AVERAGE(OFFSET($AM$3,0,0,'Données projet'!$E$10+1,1))-AVERAGE(OFFSET($H$3,0,0,'Données projet'!$E$10+1,1))</f>
        <v>341.62910675299065</v>
      </c>
      <c r="AO20" s="62">
        <f t="shared" si="36"/>
        <v>407.15938341104709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288.24149918328646</v>
      </c>
      <c r="BI20" s="62">
        <f ca="1">AVERAGE(OFFSET($BH$3,0,0,'Données projet'!$E$11+1,1))-AVERAGE(OFFSET($H$3,0,0,'Données projet'!$E$11+1,1))</f>
        <v>472.83070477639035</v>
      </c>
      <c r="BJ20" s="62">
        <f t="shared" si="38"/>
        <v>297.32483725004136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20</v>
      </c>
      <c r="BY20" s="13">
        <f>IF('Données projet'!$A$114&gt;35,BY19+BX20-CG19,IF(A20&lt;'Données projet'!$A$114,$BV$205^A20,IF(A20='Données projet'!$A$114,'Données projet'!$B$114,BY19+BX20-CG19)))</f>
        <v>141</v>
      </c>
      <c r="BZ20" s="14">
        <f>BY20*VLOOKUP('Données projet'!$B$12,Paramètres!$A$1:$I$89,3,0)*VLOOKUP('Données projet'!$B$12,Paramètres!$A$1:$I$89,5,0)</f>
        <v>76.986000000000004</v>
      </c>
      <c r="CA20" s="14">
        <f t="shared" si="39"/>
        <v>21.398606468170591</v>
      </c>
      <c r="CB20" s="22">
        <f t="shared" si="10"/>
        <v>171.35318959873044</v>
      </c>
      <c r="CC20" s="62">
        <f t="shared" si="11"/>
        <v>380.71931391460316</v>
      </c>
      <c r="CD20" s="62">
        <f ca="1">AVERAGE(OFFSET($CC$3,0,0,'Données projet'!$E$12+1,1))-AVERAGE(OFFSET($H$3,0,0,'Données projet'!$E$12+1,1))</f>
        <v>262.64209686767367</v>
      </c>
      <c r="CE20" s="62">
        <f t="shared" si="40"/>
        <v>381.0342365342517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13.656624429125589</v>
      </c>
      <c r="CN20" s="24">
        <f t="shared" si="12"/>
        <v>13.656624429125589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28.200000000000003</v>
      </c>
      <c r="CU20" s="18">
        <f>CT20*VLOOKUP('Données projet'!$B$13,Paramètres!$A$1:$I$89,3,0)*VLOOKUP('Données projet'!$B$13,Paramètres!$A$1:$I$89,5,0)</f>
        <v>20.676240000000004</v>
      </c>
      <c r="CV20" s="14">
        <f t="shared" si="41"/>
        <v>6.6973460495067982</v>
      </c>
      <c r="CW20" s="22">
        <f t="shared" si="13"/>
        <v>47.675662369557671</v>
      </c>
      <c r="CX20" s="62">
        <f t="shared" si="14"/>
        <v>257.0417866854304</v>
      </c>
      <c r="CY20" s="62">
        <f ca="1">AVERAGE(OFFSET($CX$3,0,0,'Données projet'!$E$13+1,1))-AVERAGE(OFFSET($H$3,0,0,'Données projet'!$E$13+1,1))</f>
        <v>250.11765444522138</v>
      </c>
      <c r="CZ20" s="62">
        <f t="shared" si="42"/>
        <v>241.42920565698913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202.31</v>
      </c>
      <c r="L21" s="13">
        <f>VLOOKUP(A21,'Données projet'!$A$35:$I$55,9,0)</f>
        <v>29.53</v>
      </c>
      <c r="M21" s="13">
        <f t="array" ref="M21">INDEX(L:L,MIN(IF(ISNUMBER(L21:L217),ROW(L21:L217),"")))</f>
        <v>29.53</v>
      </c>
      <c r="N21" s="14">
        <f>IF('Données projet'!$A$36&gt;35,N20+M21-V20,IF(A21&lt;'Données projet'!$A$36,$K$205^A21,IF(A21='Données projet'!$A$36,'Données projet'!$B$36,N20+M21-V20)))</f>
        <v>202.31</v>
      </c>
      <c r="O21" s="14">
        <f>N21*VLOOKUP('Données projet'!$B$9,Paramètres!$A$1:$I$89,3,0)*VLOOKUP('Données projet'!$B$9,Paramètres!$A$1:$I$89,5,0)</f>
        <v>113.09129000000001</v>
      </c>
      <c r="P21" s="14">
        <f t="shared" si="33"/>
        <v>30.05813764305373</v>
      </c>
      <c r="Q21" s="22">
        <f t="shared" si="2"/>
        <v>249.31858647831859</v>
      </c>
      <c r="R21" s="62">
        <f t="shared" si="0"/>
        <v>461.0879396703217</v>
      </c>
      <c r="S21" s="62">
        <f ca="1">AVERAGE(OFFSET($R$3,0,0,'Données projet'!$E$9+1,1))-AVERAGE(OFFSET($H$3,0,0,'Données projet'!$E$9+1,1))</f>
        <v>419.0448820879102</v>
      </c>
      <c r="T21" s="62">
        <f t="shared" si="34"/>
        <v>553.33038335026379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74.819999999999993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0.16500000000000001</v>
      </c>
      <c r="Y21" s="17">
        <f>IF(ISNA(VLOOKUP(A21,'Données projet'!$A$35:$I$55,7,0)),0%,VLOOKUP(A21,'Données projet'!$A$35:$I$55,7,0))</f>
        <v>0.7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9.1186060691651978</v>
      </c>
      <c r="AB21" s="23">
        <f>EXP(-LN(2)/2)*AB20+(1-EXP(-LN(2)/2))/(LN(2)/2)*V21*Y21*VLOOKUP('Données projet'!$B$9,Paramètres!$A$1:$I$89,3,0)*0.475*44/12</f>
        <v>33.148439702013967</v>
      </c>
      <c r="AC21" s="24">
        <f t="shared" si="3"/>
        <v>42.267045771179163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14.2</v>
      </c>
      <c r="AI21" s="14">
        <f>IF('Données projet'!$A$62&gt;35,AI20+AH21-AQ20,IF(A21&lt;'Données projet'!$A$62,$AF$205^A21,IF(A21='Données projet'!$A$62,'Données projet'!$B$62,AI20+AH21-AQ20)))</f>
        <v>108.60000000000001</v>
      </c>
      <c r="AJ21" s="14">
        <f>AI21*VLOOKUP('Données projet'!$B$10,Paramètres!$A$1:$I$89,3,0)*VLOOKUP('Données projet'!$B$10,Paramètres!$A$1:$I$89,5,0)</f>
        <v>94.87296000000002</v>
      </c>
      <c r="AK21" s="14">
        <f t="shared" si="35"/>
        <v>25.736834760472274</v>
      </c>
      <c r="AL21" s="22">
        <f t="shared" si="4"/>
        <v>210.06205920782259</v>
      </c>
      <c r="AM21" s="62">
        <f t="shared" si="5"/>
        <v>421.83141239982569</v>
      </c>
      <c r="AN21" s="62">
        <f ca="1">AVERAGE(OFFSET($AM$3,0,0,'Données projet'!$E$10+1,1))-AVERAGE(OFFSET($H$3,0,0,'Données projet'!$E$10+1,1))</f>
        <v>341.62910675299065</v>
      </c>
      <c r="AO21" s="62">
        <f t="shared" si="36"/>
        <v>407.15938341104709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308.95393822316214</v>
      </c>
      <c r="BI21" s="62">
        <f ca="1">AVERAGE(OFFSET($BH$3,0,0,'Données projet'!$E$11+1,1))-AVERAGE(OFFSET($H$3,0,0,'Données projet'!$E$11+1,1))</f>
        <v>472.83070477639035</v>
      </c>
      <c r="BJ21" s="62">
        <f t="shared" si="38"/>
        <v>297.32483725004136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20</v>
      </c>
      <c r="BY21" s="13">
        <f>IF('Données projet'!$A$114&gt;35,BY20+BX21-CG20,IF(A21&lt;'Données projet'!$A$114,$BV$205^A21,IF(A21='Données projet'!$A$114,'Données projet'!$B$114,BY20+BX21-CG20)))</f>
        <v>161</v>
      </c>
      <c r="BZ21" s="14">
        <f>BY21*VLOOKUP('Données projet'!$B$12,Paramètres!$A$1:$I$89,3,0)*VLOOKUP('Données projet'!$B$12,Paramètres!$A$1:$I$89,5,0)</f>
        <v>87.906000000000006</v>
      </c>
      <c r="CA21" s="14">
        <f t="shared" si="39"/>
        <v>24.059512761382098</v>
      </c>
      <c r="CB21" s="22">
        <f t="shared" si="10"/>
        <v>195.00660139274046</v>
      </c>
      <c r="CC21" s="62">
        <f t="shared" si="11"/>
        <v>406.77595458474354</v>
      </c>
      <c r="CD21" s="62">
        <f ca="1">AVERAGE(OFFSET($CC$3,0,0,'Données projet'!$E$12+1,1))-AVERAGE(OFFSET($H$3,0,0,'Données projet'!$E$12+1,1))</f>
        <v>262.64209686767367</v>
      </c>
      <c r="CE21" s="62">
        <f t="shared" si="40"/>
        <v>381.0342365342517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9.6566917419525673</v>
      </c>
      <c r="CN21" s="24">
        <f t="shared" si="12"/>
        <v>9.6566917419525673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37.800000000000004</v>
      </c>
      <c r="CU21" s="18">
        <f>CT21*VLOOKUP('Données projet'!$B$13,Paramètres!$A$1:$I$89,3,0)*VLOOKUP('Données projet'!$B$13,Paramètres!$A$1:$I$89,5,0)</f>
        <v>27.714960000000005</v>
      </c>
      <c r="CV21" s="14">
        <f t="shared" si="41"/>
        <v>8.6762964320028821</v>
      </c>
      <c r="CW21" s="22">
        <f t="shared" si="13"/>
        <v>63.381438285738369</v>
      </c>
      <c r="CX21" s="62">
        <f t="shared" si="14"/>
        <v>275.15079147774145</v>
      </c>
      <c r="CY21" s="62">
        <f ca="1">AVERAGE(OFFSET($CX$3,0,0,'Données projet'!$E$13+1,1))-AVERAGE(OFFSET($H$3,0,0,'Données projet'!$E$13+1,1))</f>
        <v>250.11765444522138</v>
      </c>
      <c r="CZ21" s="62">
        <f t="shared" si="42"/>
        <v>241.42920565698913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150.35</v>
      </c>
      <c r="L22" s="13">
        <f>VLOOKUP(A22,'Données projet'!$A$35:$I$55,9,0)</f>
        <v>22.859999999999985</v>
      </c>
      <c r="M22" s="13">
        <f t="array" ref="M22">INDEX(L:L,MIN(IF(ISNUMBER(L22:L218),ROW(L22:L218),"")))</f>
        <v>22.859999999999985</v>
      </c>
      <c r="N22" s="14">
        <f>IF('Données projet'!$A$36&gt;35,N21+M22-V21,IF(A22&lt;'Données projet'!$A$36,$K$205^A22,IF(A22='Données projet'!$A$36,'Données projet'!$B$36,N21+M22-V21)))</f>
        <v>150.35</v>
      </c>
      <c r="O22" s="14">
        <f>N22*VLOOKUP('Données projet'!$B$9,Paramètres!$A$1:$I$89,3,0)*VLOOKUP('Données projet'!$B$9,Paramètres!$A$1:$I$89,5,0)</f>
        <v>84.045649999999995</v>
      </c>
      <c r="P22" s="14">
        <f t="shared" si="33"/>
        <v>23.123508581543572</v>
      </c>
      <c r="Q22" s="22">
        <f t="shared" si="2"/>
        <v>186.65295119618835</v>
      </c>
      <c r="R22" s="62">
        <f t="shared" si="0"/>
        <v>400.80504543921188</v>
      </c>
      <c r="S22" s="62">
        <f ca="1">AVERAGE(OFFSET($R$3,0,0,'Données projet'!$E$9+1,1))-AVERAGE(OFFSET($H$3,0,0,'Données projet'!$E$9+1,1))</f>
        <v>419.0448820879102</v>
      </c>
      <c r="T22" s="62">
        <f t="shared" si="34"/>
        <v>553.33038335026379</v>
      </c>
      <c r="U22" s="16">
        <f>IF(ISNA(VLOOKUP(A22,'Données projet'!$A$35:$I$55,3,0)),0,VLOOKUP(A22,'Données projet'!$A$35:$I$55,3,0))</f>
        <v>3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8.8692573066772233</v>
      </c>
      <c r="AB22" s="23">
        <f>EXP(-LN(2)/2)*AB21+(1-EXP(-LN(2)/2))/(LN(2)/2)*V22*Y22*VLOOKUP('Données projet'!$B$9,Paramètres!$A$1:$I$89,3,0)*0.475*44/12</f>
        <v>23.439486499047455</v>
      </c>
      <c r="AC22" s="24">
        <f t="shared" si="3"/>
        <v>32.308743805724674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14.2</v>
      </c>
      <c r="AI22" s="14">
        <f>IF('Données projet'!$A$62&gt;35,AI21+AH22-AQ21,IF(A22&lt;'Données projet'!$A$62,$AF$205^A22,IF(A22='Données projet'!$A$62,'Données projet'!$B$62,AI21+AH22-AQ21)))</f>
        <v>122.80000000000001</v>
      </c>
      <c r="AJ22" s="14">
        <f>AI22*VLOOKUP('Données projet'!$B$10,Paramètres!$A$1:$I$89,3,0)*VLOOKUP('Données projet'!$B$10,Paramètres!$A$1:$I$89,5,0)</f>
        <v>107.27808000000003</v>
      </c>
      <c r="AK22" s="14">
        <f t="shared" si="35"/>
        <v>28.688746800886673</v>
      </c>
      <c r="AL22" s="22">
        <f t="shared" si="4"/>
        <v>236.80889001154432</v>
      </c>
      <c r="AM22" s="62">
        <f t="shared" si="5"/>
        <v>450.96098425456785</v>
      </c>
      <c r="AN22" s="62">
        <f ca="1">AVERAGE(OFFSET($AM$3,0,0,'Données projet'!$E$10+1,1))-AVERAGE(OFFSET($H$3,0,0,'Données projet'!$E$10+1,1))</f>
        <v>341.62910675299065</v>
      </c>
      <c r="AO22" s="62">
        <f t="shared" si="36"/>
        <v>407.15938341104709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333.90916953776684</v>
      </c>
      <c r="BI22" s="62">
        <f ca="1">AVERAGE(OFFSET($BH$3,0,0,'Données projet'!$E$11+1,1))-AVERAGE(OFFSET($H$3,0,0,'Données projet'!$E$11+1,1))</f>
        <v>472.83070477639035</v>
      </c>
      <c r="BJ22" s="62">
        <f t="shared" si="38"/>
        <v>297.32483725004136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20</v>
      </c>
      <c r="BY22" s="13">
        <f>IF('Données projet'!$A$114&gt;35,BY21+BX22-CG21,IF(A22&lt;'Données projet'!$A$114,$BV$205^A22,IF(A22='Données projet'!$A$114,'Données projet'!$B$114,BY21+BX22-CG21)))</f>
        <v>181</v>
      </c>
      <c r="BZ22" s="14">
        <f>BY22*VLOOKUP('Données projet'!$B$12,Paramètres!$A$1:$I$89,3,0)*VLOOKUP('Données projet'!$B$12,Paramètres!$A$1:$I$89,5,0)</f>
        <v>98.825999999999993</v>
      </c>
      <c r="CA22" s="14">
        <f t="shared" si="39"/>
        <v>26.682116294536247</v>
      </c>
      <c r="CB22" s="22">
        <f t="shared" si="10"/>
        <v>218.59330254631723</v>
      </c>
      <c r="CC22" s="62">
        <f t="shared" si="11"/>
        <v>432.74539678934076</v>
      </c>
      <c r="CD22" s="62">
        <f ca="1">AVERAGE(OFFSET($CC$3,0,0,'Données projet'!$E$12+1,1))-AVERAGE(OFFSET($H$3,0,0,'Données projet'!$E$12+1,1))</f>
        <v>262.64209686767367</v>
      </c>
      <c r="CE22" s="62">
        <f t="shared" si="40"/>
        <v>381.0342365342517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6.8283122145627946</v>
      </c>
      <c r="CN22" s="24">
        <f t="shared" si="12"/>
        <v>6.8283122145627946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47.400000000000006</v>
      </c>
      <c r="CU22" s="18">
        <f>CT22*VLOOKUP('Données projet'!$B$13,Paramètres!$A$1:$I$89,3,0)*VLOOKUP('Données projet'!$B$13,Paramètres!$A$1:$I$89,5,0)</f>
        <v>34.753680000000003</v>
      </c>
      <c r="CV22" s="14">
        <f t="shared" si="41"/>
        <v>10.596937427931278</v>
      </c>
      <c r="CW22" s="22">
        <f t="shared" si="13"/>
        <v>78.985658686980315</v>
      </c>
      <c r="CX22" s="62">
        <f t="shared" si="14"/>
        <v>293.13775293000384</v>
      </c>
      <c r="CY22" s="62">
        <f ca="1">AVERAGE(OFFSET($CX$3,0,0,'Données projet'!$E$13+1,1))-AVERAGE(OFFSET($H$3,0,0,'Données projet'!$E$13+1,1))</f>
        <v>250.11765444522138</v>
      </c>
      <c r="CZ22" s="62">
        <f t="shared" si="42"/>
        <v>241.42920565698913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27.097500000000004</v>
      </c>
      <c r="N23" s="14">
        <f>IF('Données projet'!$A$36&gt;35,N22+M23-V22,IF(A23&lt;'Données projet'!$A$36,$K$205^A23,IF(A23='Données projet'!$A$36,'Données projet'!$B$36,N22+M23-V22)))</f>
        <v>177.44749999999999</v>
      </c>
      <c r="O23" s="14">
        <f>N23*VLOOKUP('Données projet'!$B$9,Paramètres!$A$1:$I$89,3,0)*VLOOKUP('Données projet'!$B$9,Paramètres!$A$1:$I$89,5,0)</f>
        <v>99.193152499999997</v>
      </c>
      <c r="P23" s="14">
        <f t="shared" si="33"/>
        <v>26.769686721634265</v>
      </c>
      <c r="Q23" s="22">
        <f t="shared" si="2"/>
        <v>219.38527831101297</v>
      </c>
      <c r="R23" s="62">
        <f t="shared" si="0"/>
        <v>435.89998119790869</v>
      </c>
      <c r="S23" s="62">
        <f ca="1">AVERAGE(OFFSET($R$3,0,0,'Données projet'!$E$9+1,1))-AVERAGE(OFFSET($H$3,0,0,'Données projet'!$E$9+1,1))</f>
        <v>419.0448820879102</v>
      </c>
      <c r="T23" s="62">
        <f t="shared" si="34"/>
        <v>553.33038335026379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8.6267269992121633</v>
      </c>
      <c r="AB23" s="23">
        <f>EXP(-LN(2)/2)*AB22+(1-EXP(-LN(2)/2))/(LN(2)/2)*V23*Y23*VLOOKUP('Données projet'!$B$9,Paramètres!$A$1:$I$89,3,0)*0.475*44/12</f>
        <v>16.574219851006983</v>
      </c>
      <c r="AC23" s="24">
        <f t="shared" si="3"/>
        <v>25.200946850219147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137</v>
      </c>
      <c r="AG23" s="13">
        <f>VLOOKUP(A23,'Données projet'!$A$61:$I$81,9,0)</f>
        <v>14.2</v>
      </c>
      <c r="AH23" s="13">
        <f t="array" ref="AH23">INDEX(AG:AG,MIN(IF(ISNUMBER(AG23:AG219),ROW(AG23:AG219),"")))</f>
        <v>14.2</v>
      </c>
      <c r="AI23" s="14">
        <f>IF('Données projet'!$A$62&gt;35,AI22+AH23-AQ22,IF(A23&lt;'Données projet'!$A$62,$AF$205^A23,IF(A23='Données projet'!$A$62,'Données projet'!$B$62,AI22+AH23-AQ22)))</f>
        <v>137</v>
      </c>
      <c r="AJ23" s="14">
        <f>AI23*VLOOKUP('Données projet'!$B$10,Paramètres!$A$1:$I$89,3,0)*VLOOKUP('Données projet'!$B$10,Paramètres!$A$1:$I$89,5,0)</f>
        <v>119.68320000000003</v>
      </c>
      <c r="AK23" s="14">
        <f t="shared" si="35"/>
        <v>31.601099532596194</v>
      </c>
      <c r="AL23" s="22">
        <f t="shared" si="4"/>
        <v>263.48682168593842</v>
      </c>
      <c r="AM23" s="62">
        <f t="shared" si="5"/>
        <v>480.00152457283411</v>
      </c>
      <c r="AN23" s="62">
        <f ca="1">AVERAGE(OFFSET($AM$3,0,0,'Données projet'!$E$10+1,1))-AVERAGE(OFFSET($H$3,0,0,'Données projet'!$E$10+1,1))</f>
        <v>341.62910675299065</v>
      </c>
      <c r="AO23" s="62">
        <f t="shared" si="36"/>
        <v>407.15938341104709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0.215</v>
      </c>
      <c r="AT23" s="17">
        <f>IF(ISNA(VLOOKUP(A23,'Données projet'!$A$61:$I$81,7,0)),0%,VLOOKUP(A23,'Données projet'!$A$61:$I$81,7,0))</f>
        <v>0.5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8.8931024011363835</v>
      </c>
      <c r="AW23" s="23">
        <f>EXP(-LN(2)/2)*AW22+(1-EXP(-LN(2)/2))/(LN(2)/2)*AQ23*AT23*VLOOKUP('Données projet'!$B$10,Paramètres!$A$1:$I$89,3,0)*0.475*44/12</f>
        <v>17.721699920884245</v>
      </c>
      <c r="AX23" s="23">
        <f t="shared" si="6"/>
        <v>26.61480232202063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364.10308709124286</v>
      </c>
      <c r="BI23" s="62">
        <f ca="1">AVERAGE(OFFSET($BH$3,0,0,'Données projet'!$E$11+1,1))-AVERAGE(OFFSET($H$3,0,0,'Données projet'!$E$11+1,1))</f>
        <v>472.83070477639035</v>
      </c>
      <c r="BJ23" s="62">
        <f t="shared" si="38"/>
        <v>297.32483725004136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201</v>
      </c>
      <c r="BW23" s="13">
        <f>VLOOKUP(A23,'Données projet'!$A$113:$I$133,9,0)</f>
        <v>20</v>
      </c>
      <c r="BX23" s="13">
        <f t="array" ref="BX23">INDEX(BW:BW,MIN(IF(ISNUMBER(BW23:BW219),ROW(BW23:BW219),"")))</f>
        <v>20</v>
      </c>
      <c r="BY23" s="13">
        <f>IF('Données projet'!$A$114&gt;35,BY22+BX23-CG22,IF(A23&lt;'Données projet'!$A$114,$BV$205^A23,IF(A23='Données projet'!$A$114,'Données projet'!$B$114,BY22+BX23-CG22)))</f>
        <v>201</v>
      </c>
      <c r="BZ23" s="14">
        <f>BY23*VLOOKUP('Données projet'!$B$12,Paramètres!$A$1:$I$89,3,0)*VLOOKUP('Données projet'!$B$12,Paramètres!$A$1:$I$89,5,0)</f>
        <v>109.74600000000001</v>
      </c>
      <c r="CA23" s="14">
        <f t="shared" si="39"/>
        <v>29.271132142080997</v>
      </c>
      <c r="CB23" s="22">
        <f t="shared" si="10"/>
        <v>242.12150514745778</v>
      </c>
      <c r="CC23" s="62">
        <f t="shared" si="11"/>
        <v>458.6362080343535</v>
      </c>
      <c r="CD23" s="62">
        <f ca="1">AVERAGE(OFFSET($CC$3,0,0,'Données projet'!$E$12+1,1))-AVERAGE(OFFSET($H$3,0,0,'Données projet'!$E$12+1,1))</f>
        <v>262.64209686767367</v>
      </c>
      <c r="CE23" s="62">
        <f t="shared" si="40"/>
        <v>381.0342365342517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47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1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33.883691090100449</v>
      </c>
      <c r="CN23" s="24">
        <f t="shared" si="12"/>
        <v>33.883691090100449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57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57.000000000000007</v>
      </c>
      <c r="CU23" s="18">
        <f>CT23*VLOOKUP('Données projet'!$B$13,Paramètres!$A$1:$I$89,3,0)*VLOOKUP('Données projet'!$B$13,Paramètres!$A$1:$I$89,5,0)</f>
        <v>41.792400000000008</v>
      </c>
      <c r="CV23" s="14">
        <f t="shared" si="41"/>
        <v>12.472503937619972</v>
      </c>
      <c r="CW23" s="22">
        <f t="shared" si="13"/>
        <v>94.511374358021442</v>
      </c>
      <c r="CX23" s="62">
        <f t="shared" si="14"/>
        <v>311.02607724491713</v>
      </c>
      <c r="CY23" s="62">
        <f ca="1">AVERAGE(OFFSET($CX$3,0,0,'Données projet'!$E$13+1,1))-AVERAGE(OFFSET($H$3,0,0,'Données projet'!$E$13+1,1))</f>
        <v>250.11765444522138</v>
      </c>
      <c r="CZ23" s="62">
        <f t="shared" si="42"/>
        <v>241.42920565698913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21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27.097500000000004</v>
      </c>
      <c r="N24" s="14">
        <f>IF('Données projet'!$A$36&gt;35,N23+M24-V23,IF(A24&lt;'Données projet'!$A$36,$K$205^A24,IF(A24='Données projet'!$A$36,'Données projet'!$B$36,N23+M24-V23)))</f>
        <v>204.54499999999999</v>
      </c>
      <c r="O24" s="14">
        <f>N24*VLOOKUP('Données projet'!$B$9,Paramètres!$A$1:$I$89,3,0)*VLOOKUP('Données projet'!$B$9,Paramètres!$A$1:$I$89,5,0)</f>
        <v>114.340655</v>
      </c>
      <c r="P24" s="14">
        <f t="shared" si="33"/>
        <v>30.351361817470281</v>
      </c>
      <c r="Q24" s="22">
        <f t="shared" si="2"/>
        <v>252.00526262376073</v>
      </c>
      <c r="R24" s="62">
        <f t="shared" si="0"/>
        <v>470.86279099963508</v>
      </c>
      <c r="S24" s="62">
        <f ca="1">AVERAGE(OFFSET($R$3,0,0,'Données projet'!$E$9+1,1))-AVERAGE(OFFSET($H$3,0,0,'Données projet'!$E$9+1,1))</f>
        <v>419.0448820879102</v>
      </c>
      <c r="T24" s="62">
        <f t="shared" si="34"/>
        <v>553.33038335026379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8.3908286957588505</v>
      </c>
      <c r="AB24" s="23">
        <f>EXP(-LN(2)/2)*AB23+(1-EXP(-LN(2)/2))/(LN(2)/2)*V24*Y24*VLOOKUP('Données projet'!$B$9,Paramètres!$A$1:$I$89,3,0)*0.475*44/12</f>
        <v>11.719743249523727</v>
      </c>
      <c r="AC24" s="24">
        <f t="shared" si="3"/>
        <v>20.11057194528258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13.8</v>
      </c>
      <c r="AI24" s="14">
        <f>IF('Données projet'!$A$62&gt;35,AI23+AH24-AQ23,IF(A24&lt;'Données projet'!$A$62,$AF$205^A24,IF(A24='Données projet'!$A$62,'Données projet'!$B$62,AI23+AH24-AQ23)))</f>
        <v>107.80000000000001</v>
      </c>
      <c r="AJ24" s="14">
        <f>AI24*VLOOKUP('Données projet'!$B$10,Paramètres!$A$1:$I$89,3,0)*VLOOKUP('Données projet'!$B$10,Paramètres!$A$1:$I$89,5,0)</f>
        <v>94.174080000000018</v>
      </c>
      <c r="AK24" s="14">
        <f t="shared" si="35"/>
        <v>25.569241067746205</v>
      </c>
      <c r="AL24" s="22">
        <f t="shared" si="4"/>
        <v>208.55295085965801</v>
      </c>
      <c r="AM24" s="62">
        <f t="shared" si="5"/>
        <v>427.41047923553242</v>
      </c>
      <c r="AN24" s="62">
        <f ca="1">AVERAGE(OFFSET($AM$3,0,0,'Données projet'!$E$10+1,1))-AVERAGE(OFFSET($H$3,0,0,'Données projet'!$E$10+1,1))</f>
        <v>341.62910675299065</v>
      </c>
      <c r="AO24" s="62">
        <f t="shared" si="36"/>
        <v>407.15938341104709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8.6499200483093794</v>
      </c>
      <c r="AW24" s="23">
        <f>EXP(-LN(2)/2)*AW23+(1-EXP(-LN(2)/2))/(LN(2)/2)*AQ24*AT24*VLOOKUP('Données projet'!$B$10,Paramètres!$A$1:$I$89,3,0)*0.475*44/12</f>
        <v>12.531134188210354</v>
      </c>
      <c r="AX24" s="23">
        <f t="shared" si="6"/>
        <v>21.181054236519735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368.80929029089941</v>
      </c>
      <c r="BI24" s="62">
        <f ca="1">AVERAGE(OFFSET($BH$3,0,0,'Données projet'!$E$11+1,1))-AVERAGE(OFFSET($H$3,0,0,'Données projet'!$E$11+1,1))</f>
        <v>472.83070477639035</v>
      </c>
      <c r="BJ24" s="62">
        <f t="shared" si="38"/>
        <v>297.32483725004136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18</v>
      </c>
      <c r="BY24" s="13">
        <f>IF('Données projet'!$A$114&gt;35,BY23+BX24-CG23,IF(A24&lt;'Données projet'!$A$114,$BV$205^A24,IF(A24='Données projet'!$A$114,'Données projet'!$B$114,BY23+BX24-CG23)))</f>
        <v>172</v>
      </c>
      <c r="BZ24" s="14">
        <f>BY24*VLOOKUP('Données projet'!$B$12,Paramètres!$A$1:$I$89,3,0)*VLOOKUP('Données projet'!$B$12,Paramètres!$A$1:$I$89,5,0)</f>
        <v>93.911999999999992</v>
      </c>
      <c r="CA24" s="14">
        <f t="shared" si="39"/>
        <v>25.506356157232645</v>
      </c>
      <c r="CB24" s="22">
        <f t="shared" si="10"/>
        <v>207.98697030718017</v>
      </c>
      <c r="CC24" s="62">
        <f t="shared" si="11"/>
        <v>426.84449868305455</v>
      </c>
      <c r="CD24" s="62">
        <f ca="1">AVERAGE(OFFSET($CC$3,0,0,'Données projet'!$E$12+1,1))-AVERAGE(OFFSET($H$3,0,0,'Données projet'!$E$12+1,1))</f>
        <v>262.64209686767367</v>
      </c>
      <c r="CE24" s="62">
        <f t="shared" si="40"/>
        <v>381.0342365342517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23.959387741440228</v>
      </c>
      <c r="CN24" s="24">
        <f t="shared" si="12"/>
        <v>23.959387741440228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10.199999999999999</v>
      </c>
      <c r="CT24" s="13">
        <f>IF('Données projet'!$A$140&gt;35,CT23+CS24-DB23,IF(A24&lt;'Données projet'!$A$140,$CQ$205^A24,IF(A24='Données projet'!$A$140,'Données projet'!$B$140,CT23+CS24-DB23)))</f>
        <v>46.2</v>
      </c>
      <c r="CU24" s="18">
        <f>CT24*VLOOKUP('Données projet'!$B$13,Paramètres!$A$1:$I$89,3,0)*VLOOKUP('Données projet'!$B$13,Paramètres!$A$1:$I$89,5,0)</f>
        <v>33.873840000000001</v>
      </c>
      <c r="CV24" s="14">
        <f t="shared" si="41"/>
        <v>10.359535353619636</v>
      </c>
      <c r="CW24" s="22">
        <f t="shared" si="13"/>
        <v>77.039795407554195</v>
      </c>
      <c r="CX24" s="62">
        <f t="shared" si="14"/>
        <v>295.89732378342859</v>
      </c>
      <c r="CY24" s="62">
        <f ca="1">AVERAGE(OFFSET($CX$3,0,0,'Données projet'!$E$13+1,1))-AVERAGE(OFFSET($H$3,0,0,'Données projet'!$E$13+1,1))</f>
        <v>250.11765444522138</v>
      </c>
      <c r="CZ24" s="62">
        <f t="shared" si="42"/>
        <v>241.42920565698913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27.097500000000004</v>
      </c>
      <c r="N25" s="14">
        <f>IF('Données projet'!$A$36&gt;35,N24+M25-V24,IF(A25&lt;'Données projet'!$A$36,$K$205^A25,IF(A25='Données projet'!$A$36,'Données projet'!$B$36,N24+M25-V24)))</f>
        <v>231.64249999999998</v>
      </c>
      <c r="O25" s="14">
        <f>N25*VLOOKUP('Données projet'!$B$9,Paramètres!$A$1:$I$89,3,0)*VLOOKUP('Données projet'!$B$9,Paramètres!$A$1:$I$89,5,0)</f>
        <v>129.4881575</v>
      </c>
      <c r="P25" s="14">
        <f t="shared" si="33"/>
        <v>33.878060417139011</v>
      </c>
      <c r="Q25" s="22">
        <f t="shared" si="2"/>
        <v>284.52949620568376</v>
      </c>
      <c r="R25" s="62">
        <f t="shared" si="0"/>
        <v>505.71041010915212</v>
      </c>
      <c r="S25" s="62">
        <f ca="1">AVERAGE(OFFSET($R$3,0,0,'Données projet'!$E$9+1,1))-AVERAGE(OFFSET($H$3,0,0,'Données projet'!$E$9+1,1))</f>
        <v>419.0448820879102</v>
      </c>
      <c r="T25" s="62">
        <f t="shared" si="34"/>
        <v>553.33038335026379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8.161381043818821</v>
      </c>
      <c r="AB25" s="23">
        <f>EXP(-LN(2)/2)*AB24+(1-EXP(-LN(2)/2))/(LN(2)/2)*V25*Y25*VLOOKUP('Données projet'!$B$9,Paramètres!$A$1:$I$89,3,0)*0.475*44/12</f>
        <v>8.2871099255034917</v>
      </c>
      <c r="AC25" s="24">
        <f t="shared" si="3"/>
        <v>16.448490969322314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13.8</v>
      </c>
      <c r="AI25" s="14">
        <f>IF('Données projet'!$A$62&gt;35,AI24+AH25-AQ24,IF(A25&lt;'Données projet'!$A$62,$AF$205^A25,IF(A25='Données projet'!$A$62,'Données projet'!$B$62,AI24+AH25-AQ24)))</f>
        <v>121.60000000000001</v>
      </c>
      <c r="AJ25" s="14">
        <f>AI25*VLOOKUP('Données projet'!$B$10,Paramètres!$A$1:$I$89,3,0)*VLOOKUP('Données projet'!$B$10,Paramètres!$A$1:$I$89,5,0)</f>
        <v>106.22976000000003</v>
      </c>
      <c r="AK25" s="14">
        <f t="shared" si="35"/>
        <v>28.440891625171492</v>
      </c>
      <c r="AL25" s="22">
        <f t="shared" si="4"/>
        <v>234.55138491384039</v>
      </c>
      <c r="AM25" s="62">
        <f t="shared" si="5"/>
        <v>455.73229881730879</v>
      </c>
      <c r="AN25" s="62">
        <f ca="1">AVERAGE(OFFSET($AM$3,0,0,'Données projet'!$E$10+1,1))-AVERAGE(OFFSET($H$3,0,0,'Données projet'!$E$10+1,1))</f>
        <v>341.62910675299065</v>
      </c>
      <c r="AO25" s="62">
        <f t="shared" si="36"/>
        <v>407.15938341104709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8.4133875297088334</v>
      </c>
      <c r="AW25" s="23">
        <f>EXP(-LN(2)/2)*AW24+(1-EXP(-LN(2)/2))/(LN(2)/2)*AQ25*AT25*VLOOKUP('Données projet'!$B$10,Paramètres!$A$1:$I$89,3,0)*0.475*44/12</f>
        <v>8.860849960442124</v>
      </c>
      <c r="AX25" s="23">
        <f t="shared" si="6"/>
        <v>17.274237490150959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385.29482020389531</v>
      </c>
      <c r="BI25" s="62">
        <f ca="1">AVERAGE(OFFSET($BH$3,0,0,'Données projet'!$E$11+1,1))-AVERAGE(OFFSET($H$3,0,0,'Données projet'!$E$11+1,1))</f>
        <v>472.83070477639035</v>
      </c>
      <c r="BJ25" s="62">
        <f t="shared" si="38"/>
        <v>297.32483725004136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18</v>
      </c>
      <c r="BY25" s="13">
        <f>IF('Données projet'!$A$114&gt;35,BY24+BX25-CG24,IF(A25&lt;'Données projet'!$A$114,$BV$205^A25,IF(A25='Données projet'!$A$114,'Données projet'!$B$114,BY24+BX25-CG24)))</f>
        <v>190</v>
      </c>
      <c r="BZ25" s="14">
        <f>BY25*VLOOKUP('Données projet'!$B$12,Paramètres!$A$1:$I$89,3,0)*VLOOKUP('Données projet'!$B$12,Paramètres!$A$1:$I$89,5,0)</f>
        <v>103.74</v>
      </c>
      <c r="CA25" s="14">
        <f t="shared" si="39"/>
        <v>27.851088016239377</v>
      </c>
      <c r="CB25" s="22">
        <f t="shared" si="10"/>
        <v>229.18781162828358</v>
      </c>
      <c r="CC25" s="62">
        <f t="shared" si="11"/>
        <v>450.36872553175198</v>
      </c>
      <c r="CD25" s="62">
        <f ca="1">AVERAGE(OFFSET($CC$3,0,0,'Données projet'!$E$12+1,1))-AVERAGE(OFFSET($H$3,0,0,'Données projet'!$E$12+1,1))</f>
        <v>262.64209686767367</v>
      </c>
      <c r="CE25" s="62">
        <f t="shared" si="40"/>
        <v>381.0342365342517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16.941845545050224</v>
      </c>
      <c r="CN25" s="24">
        <f t="shared" si="12"/>
        <v>16.941845545050224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10.199999999999999</v>
      </c>
      <c r="CT25" s="13">
        <f>IF('Données projet'!$A$140&gt;35,CT24+CS25-DB24,IF(A25&lt;'Données projet'!$A$140,$CQ$205^A25,IF(A25='Données projet'!$A$140,'Données projet'!$B$140,CT24+CS25-DB24)))</f>
        <v>56.400000000000006</v>
      </c>
      <c r="CU25" s="18">
        <f>CT25*VLOOKUP('Données projet'!$B$13,Paramètres!$A$1:$I$89,3,0)*VLOOKUP('Données projet'!$B$13,Paramètres!$A$1:$I$89,5,0)</f>
        <v>41.352480000000007</v>
      </c>
      <c r="CV25" s="14">
        <f t="shared" si="41"/>
        <v>12.356425172287516</v>
      </c>
      <c r="CW25" s="22">
        <f t="shared" si="13"/>
        <v>93.54300984173409</v>
      </c>
      <c r="CX25" s="62">
        <f t="shared" si="14"/>
        <v>314.72392374520246</v>
      </c>
      <c r="CY25" s="62">
        <f ca="1">AVERAGE(OFFSET($CX$3,0,0,'Données projet'!$E$13+1,1))-AVERAGE(OFFSET($H$3,0,0,'Données projet'!$E$13+1,1))</f>
        <v>250.11765444522138</v>
      </c>
      <c r="CZ25" s="62">
        <f t="shared" si="42"/>
        <v>241.42920565698913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258.74</v>
      </c>
      <c r="L26" s="13">
        <f>VLOOKUP(A26,'Données projet'!$A$35:$I$55,9,0)</f>
        <v>27.097500000000004</v>
      </c>
      <c r="M26" s="13">
        <f t="array" ref="M26">INDEX(L:L,MIN(IF(ISNUMBER(L26:L222),ROW(L26:L222),"")))</f>
        <v>27.097500000000004</v>
      </c>
      <c r="N26" s="14">
        <f>IF('Données projet'!$A$36&gt;35,N25+M26-V25,IF(A26&lt;'Données projet'!$A$36,$K$205^A26,IF(A26='Données projet'!$A$36,'Données projet'!$B$36,N25+M26-V25)))</f>
        <v>258.74</v>
      </c>
      <c r="O26" s="14">
        <f>N26*VLOOKUP('Données projet'!$B$9,Paramètres!$A$1:$I$89,3,0)*VLOOKUP('Données projet'!$B$9,Paramètres!$A$1:$I$89,5,0)</f>
        <v>144.63566</v>
      </c>
      <c r="P26" s="14">
        <f t="shared" si="33"/>
        <v>37.356948366647352</v>
      </c>
      <c r="Q26" s="22">
        <f t="shared" si="2"/>
        <v>316.97045957191079</v>
      </c>
      <c r="R26" s="62">
        <f t="shared" si="0"/>
        <v>540.45565628145732</v>
      </c>
      <c r="S26" s="62">
        <f ca="1">AVERAGE(OFFSET($R$3,0,0,'Données projet'!$E$9+1,1))-AVERAGE(OFFSET($H$3,0,0,'Données projet'!$E$9+1,1))</f>
        <v>419.0448820879102</v>
      </c>
      <c r="T26" s="62">
        <f t="shared" si="34"/>
        <v>553.33038335026379</v>
      </c>
      <c r="U26" s="16">
        <f>IF(ISNA(VLOOKUP(A26,'Données projet'!$A$35:$I$55,3,0)),0,VLOOKUP(A26,'Données projet'!$A$35:$I$55,3,0))</f>
        <v>4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7.938207649987219</v>
      </c>
      <c r="AB26" s="23">
        <f>EXP(-LN(2)/2)*AB25+(1-EXP(-LN(2)/2))/(LN(2)/2)*V26*Y26*VLOOKUP('Données projet'!$B$9,Paramètres!$A$1:$I$89,3,0)*0.475*44/12</f>
        <v>5.8598716247618636</v>
      </c>
      <c r="AC26" s="24">
        <f t="shared" si="3"/>
        <v>13.798079274749082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13.8</v>
      </c>
      <c r="AI26" s="14">
        <f>IF('Données projet'!$A$62&gt;35,AI25+AH26-AQ25,IF(A26&lt;'Données projet'!$A$62,$AF$205^A26,IF(A26='Données projet'!$A$62,'Données projet'!$B$62,AI25+AH26-AQ25)))</f>
        <v>135.4</v>
      </c>
      <c r="AJ26" s="14">
        <f>AI26*VLOOKUP('Données projet'!$B$10,Paramètres!$A$1:$I$89,3,0)*VLOOKUP('Données projet'!$B$10,Paramètres!$A$1:$I$89,5,0)</f>
        <v>118.28544000000002</v>
      </c>
      <c r="AK26" s="14">
        <f t="shared" si="35"/>
        <v>31.274772013169596</v>
      </c>
      <c r="AL26" s="22">
        <f t="shared" si="4"/>
        <v>260.48403592293715</v>
      </c>
      <c r="AM26" s="62">
        <f t="shared" si="5"/>
        <v>483.96923263248368</v>
      </c>
      <c r="AN26" s="62">
        <f ca="1">AVERAGE(OFFSET($AM$3,0,0,'Données projet'!$E$10+1,1))-AVERAGE(OFFSET($H$3,0,0,'Données projet'!$E$10+1,1))</f>
        <v>341.62910675299065</v>
      </c>
      <c r="AO26" s="62">
        <f t="shared" si="36"/>
        <v>407.15938341104709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8.1833230052681234</v>
      </c>
      <c r="AW26" s="23">
        <f>EXP(-LN(2)/2)*AW25+(1-EXP(-LN(2)/2))/(LN(2)/2)*AQ26*AT26*VLOOKUP('Données projet'!$B$10,Paramètres!$A$1:$I$89,3,0)*0.475*44/12</f>
        <v>6.2655670941051778</v>
      </c>
      <c r="AX26" s="23">
        <f t="shared" si="6"/>
        <v>14.448890099373301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401.73236386226296</v>
      </c>
      <c r="BI26" s="62">
        <f ca="1">AVERAGE(OFFSET($BH$3,0,0,'Données projet'!$E$11+1,1))-AVERAGE(OFFSET($H$3,0,0,'Données projet'!$E$11+1,1))</f>
        <v>472.83070477639035</v>
      </c>
      <c r="BJ26" s="62">
        <f t="shared" si="38"/>
        <v>297.32483725004136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18</v>
      </c>
      <c r="BY26" s="13">
        <f>IF('Données projet'!$A$114&gt;35,BY25+BX26-CG25,IF(A26&lt;'Données projet'!$A$114,$BV$205^A26,IF(A26='Données projet'!$A$114,'Données projet'!$B$114,BY25+BX26-CG25)))</f>
        <v>208</v>
      </c>
      <c r="BZ26" s="14">
        <f>BY26*VLOOKUP('Données projet'!$B$12,Paramètres!$A$1:$I$89,3,0)*VLOOKUP('Données projet'!$B$12,Paramètres!$A$1:$I$89,5,0)</f>
        <v>113.568</v>
      </c>
      <c r="CA26" s="14">
        <f t="shared" si="39"/>
        <v>30.17006506205821</v>
      </c>
      <c r="CB26" s="22">
        <f t="shared" si="10"/>
        <v>250.3437966497514</v>
      </c>
      <c r="CC26" s="62">
        <f t="shared" si="11"/>
        <v>473.8289933592979</v>
      </c>
      <c r="CD26" s="62">
        <f ca="1">AVERAGE(OFFSET($CC$3,0,0,'Données projet'!$E$12+1,1))-AVERAGE(OFFSET($H$3,0,0,'Données projet'!$E$12+1,1))</f>
        <v>262.64209686767367</v>
      </c>
      <c r="CE26" s="62">
        <f t="shared" si="40"/>
        <v>381.0342365342517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11.979693870720114</v>
      </c>
      <c r="CN26" s="24">
        <f t="shared" si="12"/>
        <v>11.979693870720114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10.199999999999999</v>
      </c>
      <c r="CT26" s="13">
        <f>IF('Données projet'!$A$140&gt;35,CT25+CS26-DB25,IF(A26&lt;'Données projet'!$A$140,$CQ$205^A26,IF(A26='Données projet'!$A$140,'Données projet'!$B$140,CT25+CS26-DB25)))</f>
        <v>66.600000000000009</v>
      </c>
      <c r="CU26" s="18">
        <f>CT26*VLOOKUP('Données projet'!$B$13,Paramètres!$A$1:$I$89,3,0)*VLOOKUP('Données projet'!$B$13,Paramètres!$A$1:$I$89,5,0)</f>
        <v>48.831120000000006</v>
      </c>
      <c r="CV26" s="14">
        <f t="shared" si="41"/>
        <v>14.311476973396354</v>
      </c>
      <c r="CW26" s="22">
        <f t="shared" si="13"/>
        <v>109.973356395332</v>
      </c>
      <c r="CX26" s="62">
        <f t="shared" si="14"/>
        <v>333.45855310487849</v>
      </c>
      <c r="CY26" s="62">
        <f ca="1">AVERAGE(OFFSET($CX$3,0,0,'Données projet'!$E$13+1,1))-AVERAGE(OFFSET($H$3,0,0,'Données projet'!$E$13+1,1))</f>
        <v>250.11765444522138</v>
      </c>
      <c r="CZ26" s="62">
        <f t="shared" si="42"/>
        <v>241.42920565698913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289.08999999999997</v>
      </c>
      <c r="L27" s="13">
        <f>VLOOKUP(A27,'Données projet'!$A$35:$I$55,9,0)</f>
        <v>30.349999999999966</v>
      </c>
      <c r="M27" s="13">
        <f t="array" ref="M27">INDEX(L:L,MIN(IF(ISNUMBER(L27:L223),ROW(L27:L223),"")))</f>
        <v>30.349999999999966</v>
      </c>
      <c r="N27" s="14">
        <f>IF('Données projet'!$A$36&gt;35,N26+M27-V26,IF(A27&lt;'Données projet'!$A$36,$K$205^A27,IF(A27='Données projet'!$A$36,'Données projet'!$B$36,N26+M27-V26)))</f>
        <v>289.08999999999997</v>
      </c>
      <c r="O27" s="14">
        <f>N27*VLOOKUP('Données projet'!$B$9,Paramètres!$A$1:$I$89,3,0)*VLOOKUP('Données projet'!$B$9,Paramètres!$A$1:$I$89,5,0)</f>
        <v>161.60130999999998</v>
      </c>
      <c r="P27" s="14">
        <f t="shared" si="33"/>
        <v>41.203485747561459</v>
      </c>
      <c r="Q27" s="22">
        <f t="shared" si="2"/>
        <v>353.21835259366952</v>
      </c>
      <c r="R27" s="62">
        <f t="shared" si="0"/>
        <v>578.9890607772893</v>
      </c>
      <c r="S27" s="62">
        <f ca="1">AVERAGE(OFFSET($R$3,0,0,'Données projet'!$E$9+1,1))-AVERAGE(OFFSET($H$3,0,0,'Données projet'!$E$9+1,1))</f>
        <v>419.0448820879102</v>
      </c>
      <c r="T27" s="62">
        <f t="shared" si="34"/>
        <v>553.33038335026379</v>
      </c>
      <c r="U27" s="16">
        <f>IF(ISNA(VLOOKUP(A27,'Données projet'!$A$35:$I$55,3,0)),0,VLOOKUP(A27,'Données projet'!$A$35:$I$55,3,0))</f>
        <v>5</v>
      </c>
      <c r="V27" s="16">
        <f>IF(ISNA(VLOOKUP(A27,'Données projet'!$A$35:$I$55,4,0)),0,VLOOKUP(A27,'Données projet'!$A$35:$I$55,4,0))</f>
        <v>51.39</v>
      </c>
      <c r="W27" s="17">
        <f>IF(ISNA(VLOOKUP(A27,'Données projet'!$A$35:$I$55,5,0)),0%,VLOOKUP(A27,'Données projet'!$A$35:$I$55,5,0)*VLOOKUP('Données projet'!$B$9,Paramètres!$A$1:$I$89,7,0))</f>
        <v>5.5000000000000007E-2</v>
      </c>
      <c r="X27" s="17">
        <f>IF(ISNA(VLOOKUP(A27,'Données projet'!$A$35:$I$55,6,0)),0%,VLOOKUP(A27,'Données projet'!$A$35:$I$55,6,0)*VLOOKUP('Données projet'!$B$9,Paramètres!$A$1:$I$89,7,0))</f>
        <v>0.22000000000000003</v>
      </c>
      <c r="Y27" s="17">
        <f>IF(ISNA(VLOOKUP(A27,'Données projet'!$A$35:$I$55,7,0)),0%,VLOOKUP(A27,'Données projet'!$A$35:$I$55,7,0))</f>
        <v>0.5</v>
      </c>
      <c r="Z27" s="23">
        <f>EXP(-LN(2)/35)*Z26+(1-EXP(-LN(2)/35))/(LN(2)/35)*V27*W27*VLOOKUP('Données projet'!$B$9,Paramètres!$A$1:$I$89,3,0)*0.475*44/12</f>
        <v>2.0959526707380927</v>
      </c>
      <c r="AA27" s="23">
        <f>EXP(-LN(2)/25)*AA26+(1-EXP(-LN(2)/25))/(LN(2)/25)*Calculateur!V27*Calculateur!X27*VLOOKUP('Données projet'!$B$9,Paramètres!$A$1:$I$89,3,0)*0.475*44/12</f>
        <v>16.071937370157393</v>
      </c>
      <c r="AB27" s="23">
        <f>EXP(-LN(2)/2)*AB26+(1-EXP(-LN(2)/2))/(LN(2)/2)*V27*Y27*VLOOKUP('Données projet'!$B$9,Paramètres!$A$1:$I$89,3,0)*0.475*44/12</f>
        <v>20.406379229434627</v>
      </c>
      <c r="AC27" s="24">
        <f t="shared" si="3"/>
        <v>38.574269270330113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13.8</v>
      </c>
      <c r="AI27" s="14">
        <f>IF('Données projet'!$A$62&gt;35,AI26+AH27-AQ26,IF(A27&lt;'Données projet'!$A$62,$AF$205^A27,IF(A27='Données projet'!$A$62,'Données projet'!$B$62,AI26+AH27-AQ26)))</f>
        <v>149.20000000000002</v>
      </c>
      <c r="AJ27" s="14">
        <f>AI27*VLOOKUP('Données projet'!$B$10,Paramètres!$A$1:$I$89,3,0)*VLOOKUP('Données projet'!$B$10,Paramètres!$A$1:$I$89,5,0)</f>
        <v>130.34112000000005</v>
      </c>
      <c r="AK27" s="14">
        <f t="shared" si="35"/>
        <v>34.075170122989917</v>
      </c>
      <c r="AL27" s="22">
        <f t="shared" si="4"/>
        <v>286.35837196420749</v>
      </c>
      <c r="AM27" s="62">
        <f t="shared" si="5"/>
        <v>512.12908014782727</v>
      </c>
      <c r="AN27" s="62">
        <f ca="1">AVERAGE(OFFSET($AM$3,0,0,'Données projet'!$E$10+1,1))-AVERAGE(OFFSET($H$3,0,0,'Données projet'!$E$10+1,1))</f>
        <v>341.62910675299065</v>
      </c>
      <c r="AO27" s="62">
        <f t="shared" si="36"/>
        <v>407.15938341104709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7.9595496073468128</v>
      </c>
      <c r="AW27" s="23">
        <f>EXP(-LN(2)/2)*AW26+(1-EXP(-LN(2)/2))/(LN(2)/2)*AQ27*AT27*VLOOKUP('Données projet'!$B$10,Paramètres!$A$1:$I$89,3,0)*0.475*44/12</f>
        <v>4.4304249802210629</v>
      </c>
      <c r="AX27" s="23">
        <f t="shared" si="6"/>
        <v>12.389974587567876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418.12486670230362</v>
      </c>
      <c r="BI27" s="62">
        <f ca="1">AVERAGE(OFFSET($BH$3,0,0,'Données projet'!$E$11+1,1))-AVERAGE(OFFSET($H$3,0,0,'Données projet'!$E$11+1,1))</f>
        <v>472.83070477639035</v>
      </c>
      <c r="BJ27" s="62">
        <f t="shared" si="38"/>
        <v>297.32483725004136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18</v>
      </c>
      <c r="BY27" s="13">
        <f>IF('Données projet'!$A$114&gt;35,BY26+BX27-CG26,IF(A27&lt;'Données projet'!$A$114,$BV$205^A27,IF(A27='Données projet'!$A$114,'Données projet'!$B$114,BY26+BX27-CG26)))</f>
        <v>226</v>
      </c>
      <c r="BZ27" s="14">
        <f>BY27*VLOOKUP('Données projet'!$B$12,Paramètres!$A$1:$I$89,3,0)*VLOOKUP('Données projet'!$B$12,Paramètres!$A$1:$I$89,5,0)</f>
        <v>123.396</v>
      </c>
      <c r="CA27" s="14">
        <f t="shared" si="39"/>
        <v>32.465769489878191</v>
      </c>
      <c r="CB27" s="22">
        <f t="shared" si="10"/>
        <v>271.45924852820451</v>
      </c>
      <c r="CC27" s="62">
        <f t="shared" si="11"/>
        <v>497.22995671182434</v>
      </c>
      <c r="CD27" s="62">
        <f ca="1">AVERAGE(OFFSET($CC$3,0,0,'Données projet'!$E$12+1,1))-AVERAGE(OFFSET($H$3,0,0,'Données projet'!$E$12+1,1))</f>
        <v>262.64209686767367</v>
      </c>
      <c r="CE27" s="62">
        <f t="shared" si="40"/>
        <v>381.0342365342517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8.4709227725251122</v>
      </c>
      <c r="CN27" s="24">
        <f t="shared" si="12"/>
        <v>8.4709227725251122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10.199999999999999</v>
      </c>
      <c r="CT27" s="13">
        <f>IF('Données projet'!$A$140&gt;35,CT26+CS27-DB26,IF(A27&lt;'Données projet'!$A$140,$CQ$205^A27,IF(A27='Données projet'!$A$140,'Données projet'!$B$140,CT26+CS27-DB26)))</f>
        <v>76.800000000000011</v>
      </c>
      <c r="CU27" s="18">
        <f>CT27*VLOOKUP('Données projet'!$B$13,Paramètres!$A$1:$I$89,3,0)*VLOOKUP('Données projet'!$B$13,Paramètres!$A$1:$I$89,5,0)</f>
        <v>56.309760000000004</v>
      </c>
      <c r="CV27" s="14">
        <f t="shared" si="41"/>
        <v>16.231841799069148</v>
      </c>
      <c r="CW27" s="22">
        <f t="shared" si="13"/>
        <v>126.34328980004544</v>
      </c>
      <c r="CX27" s="62">
        <f t="shared" si="14"/>
        <v>352.11399798366523</v>
      </c>
      <c r="CY27" s="62">
        <f ca="1">AVERAGE(OFFSET($CX$3,0,0,'Données projet'!$E$13+1,1))-AVERAGE(OFFSET($H$3,0,0,'Données projet'!$E$13+1,1))</f>
        <v>250.11765444522138</v>
      </c>
      <c r="CZ27" s="62">
        <f t="shared" si="42"/>
        <v>241.42920565698913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27.550000000000011</v>
      </c>
      <c r="N28" s="14">
        <f>IF('Données projet'!$A$36&gt;35,N27+M28-V27,IF(A28&lt;'Données projet'!$A$36,$K$205^A28,IF(A28='Données projet'!$A$36,'Données projet'!$B$36,N27+M28-V27)))</f>
        <v>265.25</v>
      </c>
      <c r="O28" s="14">
        <f>N28*VLOOKUP('Données projet'!$B$9,Paramètres!$A$1:$I$89,3,0)*VLOOKUP('Données projet'!$B$9,Paramètres!$A$1:$I$89,5,0)</f>
        <v>148.27475000000001</v>
      </c>
      <c r="P28" s="14">
        <f t="shared" si="33"/>
        <v>38.186252787335206</v>
      </c>
      <c r="Q28" s="22">
        <f t="shared" si="2"/>
        <v>324.75291318794217</v>
      </c>
      <c r="R28" s="62">
        <f t="shared" si="0"/>
        <v>552.79068715427434</v>
      </c>
      <c r="S28" s="62">
        <f ca="1">AVERAGE(OFFSET($R$3,0,0,'Données projet'!$E$9+1,1))-AVERAGE(OFFSET($H$3,0,0,'Données projet'!$E$9+1,1))</f>
        <v>419.0448820879102</v>
      </c>
      <c r="T28" s="62">
        <f t="shared" si="34"/>
        <v>553.33038335026379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2.0548523172698157</v>
      </c>
      <c r="AA28" s="23">
        <f>EXP(-LN(2)/25)*AA27+(1-EXP(-LN(2)/25))/(LN(2)/25)*Calculateur!V28*Calculateur!X28*VLOOKUP('Données projet'!$B$9,Paramètres!$A$1:$I$89,3,0)*0.475*44/12</f>
        <v>15.632449397583986</v>
      </c>
      <c r="AB28" s="23">
        <f>EXP(-LN(2)/2)*AB27+(1-EXP(-LN(2)/2))/(LN(2)/2)*V28*Y28*VLOOKUP('Données projet'!$B$9,Paramètres!$A$1:$I$89,3,0)*0.475*44/12</f>
        <v>14.42948913259754</v>
      </c>
      <c r="AC28" s="24">
        <f t="shared" si="3"/>
        <v>32.116790847451341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163</v>
      </c>
      <c r="AG28" s="13">
        <f>VLOOKUP(A28,'Données projet'!$A$61:$I$81,9,0)</f>
        <v>13.8</v>
      </c>
      <c r="AH28" s="13">
        <f t="array" ref="AH28">INDEX(AG:AG,MIN(IF(ISNUMBER(AG28:AG224),ROW(AG28:AG224),"")))</f>
        <v>13.8</v>
      </c>
      <c r="AI28" s="14">
        <f>IF('Données projet'!$A$62&gt;35,AI27+AH28-AQ27,IF(A28&lt;'Données projet'!$A$62,$AF$205^A28,IF(A28='Données projet'!$A$62,'Données projet'!$B$62,AI27+AH28-AQ27)))</f>
        <v>163.00000000000003</v>
      </c>
      <c r="AJ28" s="14">
        <f>AI28*VLOOKUP('Données projet'!$B$10,Paramètres!$A$1:$I$89,3,0)*VLOOKUP('Données projet'!$B$10,Paramètres!$A$1:$I$89,5,0)</f>
        <v>142.39680000000004</v>
      </c>
      <c r="AK28" s="14">
        <f t="shared" si="35"/>
        <v>36.845535084476985</v>
      </c>
      <c r="AL28" s="22">
        <f t="shared" si="4"/>
        <v>312.18040027213078</v>
      </c>
      <c r="AM28" s="62">
        <f t="shared" si="5"/>
        <v>540.21817423846289</v>
      </c>
      <c r="AN28" s="62">
        <f ca="1">AVERAGE(OFFSET($AM$3,0,0,'Données projet'!$E$10+1,1))-AVERAGE(OFFSET($H$3,0,0,'Données projet'!$E$10+1,1))</f>
        <v>341.62910675299065</v>
      </c>
      <c r="AO28" s="62">
        <f t="shared" si="36"/>
        <v>407.15938341104709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44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0.215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16.841814040805925</v>
      </c>
      <c r="AW28" s="23">
        <f>EXP(-LN(2)/2)*AW27+(1-EXP(-LN(2)/2))/(LN(2)/2)*AQ28*AT28*VLOOKUP('Données projet'!$B$10,Paramètres!$A$1:$I$89,3,0)*0.475*44/12</f>
        <v>21.26661602423647</v>
      </c>
      <c r="AX28" s="23">
        <f t="shared" si="6"/>
        <v>38.108430065042398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434.47485318479289</v>
      </c>
      <c r="BI28" s="62">
        <f ca="1">AVERAGE(OFFSET($BH$3,0,0,'Données projet'!$E$11+1,1))-AVERAGE(OFFSET($H$3,0,0,'Données projet'!$E$11+1,1))</f>
        <v>472.83070477639035</v>
      </c>
      <c r="BJ28" s="62">
        <f t="shared" si="38"/>
        <v>297.32483725004136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0.129</v>
      </c>
      <c r="BO28" s="17">
        <f>IF(ISNA(VLOOKUP(A28,'Données projet'!$A$87:$I$107,7,0)),0%,VLOOKUP(A28,'Données projet'!$A$87:$I$107,7,0))</f>
        <v>0.7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3.5986042274365828</v>
      </c>
      <c r="BR28" s="23">
        <f>EXP(-LN(2)/2)*BR27+(1-EXP(-LN(2)/2))/(LN(2)/2)*BL28*BO28*VLOOKUP('Données projet'!$B$11,Paramètres!$A$1:$I$89,3,0)*0.475*44/12</f>
        <v>16.73258178576512</v>
      </c>
      <c r="BS28" s="24">
        <f t="shared" si="9"/>
        <v>20.331186013201702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244</v>
      </c>
      <c r="BW28" s="13">
        <f>VLOOKUP(A28,'Données projet'!$A$113:$I$133,9,0)</f>
        <v>18</v>
      </c>
      <c r="BX28" s="13">
        <f t="array" ref="BX28">INDEX(BW:BW,MIN(IF(ISNUMBER(BW28:BW224),ROW(BW28:BW224),"")))</f>
        <v>18</v>
      </c>
      <c r="BY28" s="13">
        <f>IF('Données projet'!$A$114&gt;35,BY27+BX28-CG27,IF(A28&lt;'Données projet'!$A$114,$BV$205^A28,IF(A28='Données projet'!$A$114,'Données projet'!$B$114,BY27+BX28-CG27)))</f>
        <v>244</v>
      </c>
      <c r="BZ28" s="14">
        <f>BY28*VLOOKUP('Données projet'!$B$12,Paramètres!$A$1:$I$89,3,0)*VLOOKUP('Données projet'!$B$12,Paramètres!$A$1:$I$89,5,0)</f>
        <v>133.22399999999999</v>
      </c>
      <c r="CA28" s="14">
        <f t="shared" si="39"/>
        <v>34.740265606230608</v>
      </c>
      <c r="CB28" s="22">
        <f t="shared" si="10"/>
        <v>292.53776259751828</v>
      </c>
      <c r="CC28" s="62">
        <f t="shared" si="11"/>
        <v>520.57553656385039</v>
      </c>
      <c r="CD28" s="62">
        <f ca="1">AVERAGE(OFFSET($CC$3,0,0,'Données projet'!$E$12+1,1))-AVERAGE(OFFSET($H$3,0,0,'Données projet'!$E$12+1,1))</f>
        <v>262.64209686767367</v>
      </c>
      <c r="CE28" s="62">
        <f t="shared" si="40"/>
        <v>381.0342365342517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44</v>
      </c>
      <c r="CH28" s="17">
        <f>IF(ISNA(VLOOKUP(A28,'Données projet'!$A$113:$I$133,5,0)),0%,VLOOKUP(A28,'Données projet'!$A$113:$I$133,5,0)*VLOOKUP('Données projet'!$B$12,Paramètres!$A$1:$I$89,7,0))</f>
        <v>0.09</v>
      </c>
      <c r="CI28" s="17">
        <f>IF(ISNA(VLOOKUP(A28,'Données projet'!$A$113:$I$133,6,0)),0%,VLOOKUP(A28,'Données projet'!$A$113:$I$133,6,0)*VLOOKUP('Données projet'!$B$12,Paramètres!$A$1:$I$89,7,0))</f>
        <v>0.24</v>
      </c>
      <c r="CJ28" s="17">
        <f>IF(ISNA(VLOOKUP(A28,'Données projet'!$A$113:$I$133,7,0)),0%,VLOOKUP(A28,'Données projet'!$A$113:$I$133,7,0))</f>
        <v>0.45</v>
      </c>
      <c r="CK28" s="23">
        <f>EXP(-LN(2)/35)*CK27+(1-EXP(-LN(2)/35))/(LN(2)/35)*CG28*CH28*VLOOKUP('Données projet'!$B$12,Paramètres!$A$1:$I$89,3,0)*0.475*44/12</f>
        <v>2.8682446029731561</v>
      </c>
      <c r="CL28" s="23">
        <f>EXP(-LN(2)/25)*CL27+(1-EXP(-LN(2)/25))/(LN(2)/25)*Calculateur!CG28*Calculateur!CI28*VLOOKUP('Données projet'!$B$12,Paramètres!$A$1:$I$89,3,0)*0.475*44/12</f>
        <v>7.6185366162250032</v>
      </c>
      <c r="CM28" s="23">
        <f>EXP(-LN(2)/2)*CM27+(1-EXP(-LN(2)/2))/(LN(2)/2)*CG28*CJ28*VLOOKUP('Données projet'!$B$12,Paramètres!$A$1:$I$89,3,0)*0.475*44/12</f>
        <v>18.230183857459174</v>
      </c>
      <c r="CN28" s="24">
        <f t="shared" si="12"/>
        <v>28.716965076657331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87</v>
      </c>
      <c r="CR28" s="13">
        <f>VLOOKUP(A28,'Données projet'!$A$139:$I$159,9,0)</f>
        <v>10.199999999999999</v>
      </c>
      <c r="CS28" s="13">
        <f t="array" ref="CS28">INDEX(CR:CR,MIN(IF(ISNUMBER(CR28:CR224),ROW(CR28:CR224),"")))</f>
        <v>10.199999999999999</v>
      </c>
      <c r="CT28" s="13">
        <f>IF('Données projet'!$A$140&gt;35,CT27+CS28-DB27,IF(A28&lt;'Données projet'!$A$140,$CQ$205^A28,IF(A28='Données projet'!$A$140,'Données projet'!$B$140,CT27+CS28-DB27)))</f>
        <v>87.000000000000014</v>
      </c>
      <c r="CU28" s="18">
        <f>CT28*VLOOKUP('Données projet'!$B$13,Paramètres!$A$1:$I$89,3,0)*VLOOKUP('Données projet'!$B$13,Paramètres!$A$1:$I$89,5,0)</f>
        <v>63.788400000000017</v>
      </c>
      <c r="CV28" s="14">
        <f t="shared" si="41"/>
        <v>18.122655666579625</v>
      </c>
      <c r="CW28" s="22">
        <f t="shared" si="13"/>
        <v>142.66175528595954</v>
      </c>
      <c r="CX28" s="62">
        <f t="shared" si="14"/>
        <v>370.69952925229165</v>
      </c>
      <c r="CY28" s="62">
        <f ca="1">AVERAGE(OFFSET($CX$3,0,0,'Données projet'!$E$13+1,1))-AVERAGE(OFFSET($H$3,0,0,'Données projet'!$E$13+1,1))</f>
        <v>250.11765444522138</v>
      </c>
      <c r="CZ28" s="62">
        <f t="shared" si="42"/>
        <v>241.42920565698913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21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0.129</v>
      </c>
      <c r="DE28" s="17">
        <f>IF(ISNA(VLOOKUP(A28,'Données projet'!$A$139:$I$159,7,0)),0%,VLOOKUP(A28,'Données projet'!$A$139:$I$159,7,0))</f>
        <v>0.7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2.1870827416748195</v>
      </c>
      <c r="DH28" s="23">
        <f>EXP(-LN(2)/2)*DH27+(1-EXP(-LN(2)/2))/(LN(2)/2)*DB28*DE28*VLOOKUP('Données projet'!$B$13,Paramètres!$A$1:$I$89,3,0)*0.475*44/12</f>
        <v>10.169370826693456</v>
      </c>
      <c r="DI28" s="24">
        <f t="shared" si="15"/>
        <v>12.356453568368275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>
        <f>VLOOKUP(A29,'Données projet'!$A$35:$I$55,2,0)</f>
        <v>292.8</v>
      </c>
      <c r="L29" s="13">
        <f>VLOOKUP(A29,'Données projet'!$A$35:$I$55,9,0)</f>
        <v>27.550000000000011</v>
      </c>
      <c r="M29" s="13">
        <f t="array" ref="M29">INDEX(L:L,MIN(IF(ISNUMBER(L29:L225),ROW(L29:L225),"")))</f>
        <v>27.550000000000011</v>
      </c>
      <c r="N29" s="14">
        <f>IF('Données projet'!$A$36&gt;35,N28+M29-V28,IF(A29&lt;'Données projet'!$A$36,$K$205^A29,IF(A29='Données projet'!$A$36,'Données projet'!$B$36,N28+M29-V28)))</f>
        <v>292.8</v>
      </c>
      <c r="O29" s="14">
        <f>N29*VLOOKUP('Données projet'!$B$9,Paramètres!$A$1:$I$89,3,0)*VLOOKUP('Données projet'!$B$9,Paramètres!$A$1:$I$89,5,0)</f>
        <v>163.67519999999999</v>
      </c>
      <c r="P29" s="14">
        <f t="shared" si="33"/>
        <v>41.670368197291587</v>
      </c>
      <c r="Q29" s="22">
        <f t="shared" si="2"/>
        <v>357.64353127694949</v>
      </c>
      <c r="R29" s="62">
        <f t="shared" si="0"/>
        <v>587.9302453261397</v>
      </c>
      <c r="S29" s="62">
        <f ca="1">AVERAGE(OFFSET($R$3,0,0,'Données projet'!$E$9+1,1))-AVERAGE(OFFSET($H$3,0,0,'Données projet'!$E$9+1,1))</f>
        <v>419.0448820879102</v>
      </c>
      <c r="T29" s="62">
        <f t="shared" si="34"/>
        <v>553.33038335026379</v>
      </c>
      <c r="U29" s="16">
        <f>IF(ISNA(VLOOKUP(A29,'Données projet'!$A$35:$I$55,3,0)),0,VLOOKUP(A29,'Données projet'!$A$35:$I$55,3,0))</f>
        <v>6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2.0145579166643115</v>
      </c>
      <c r="AA29" s="23">
        <f>EXP(-LN(2)/25)*AA28+(1-EXP(-LN(2)/25))/(LN(2)/25)*Calculateur!V29*Calculateur!X29*VLOOKUP('Données projet'!$B$9,Paramètres!$A$1:$I$89,3,0)*0.475*44/12</f>
        <v>15.204979246732266</v>
      </c>
      <c r="AB29" s="23">
        <f>EXP(-LN(2)/2)*AB28+(1-EXP(-LN(2)/2))/(LN(2)/2)*V29*Y29*VLOOKUP('Données projet'!$B$9,Paramètres!$A$1:$I$89,3,0)*0.475*44/12</f>
        <v>10.203189614717315</v>
      </c>
      <c r="AC29" s="24">
        <f t="shared" si="3"/>
        <v>27.422726778113891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</v>
      </c>
      <c r="AI29" s="14">
        <f>IF('Données projet'!$A$62&gt;35,AI28+AH29-AQ28,IF(A29&lt;'Données projet'!$A$62,$AF$205^A29,IF(A29='Données projet'!$A$62,'Données projet'!$B$62,AI28+AH29-AQ28)))</f>
        <v>132.00000000000003</v>
      </c>
      <c r="AJ29" s="14">
        <f>AI29*VLOOKUP('Données projet'!$B$10,Paramètres!$A$1:$I$89,3,0)*VLOOKUP('Données projet'!$B$10,Paramètres!$A$1:$I$89,5,0)</f>
        <v>115.31520000000003</v>
      </c>
      <c r="AK29" s="14">
        <f t="shared" si="35"/>
        <v>30.579827148797317</v>
      </c>
      <c r="AL29" s="22">
        <f t="shared" si="4"/>
        <v>254.10050561748869</v>
      </c>
      <c r="AM29" s="62">
        <f t="shared" si="5"/>
        <v>484.3872196666789</v>
      </c>
      <c r="AN29" s="62">
        <f ca="1">AVERAGE(OFFSET($AM$3,0,0,'Données projet'!$E$10+1,1))-AVERAGE(OFFSET($H$3,0,0,'Données projet'!$E$10+1,1))</f>
        <v>341.62910675299065</v>
      </c>
      <c r="AO29" s="62">
        <f t="shared" si="36"/>
        <v>407.15938341104709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16.381273750187578</v>
      </c>
      <c r="AW29" s="23">
        <f>EXP(-LN(2)/2)*AW28+(1-EXP(-LN(2)/2))/(LN(2)/2)*AQ29*AT29*VLOOKUP('Données projet'!$B$10,Paramètres!$A$1:$I$89,3,0)*0.475*44/12</f>
        <v>15.037768403628103</v>
      </c>
      <c r="AX29" s="23">
        <f t="shared" si="6"/>
        <v>31.419042153815681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399.90016633808318</v>
      </c>
      <c r="BI29" s="62">
        <f ca="1">AVERAGE(OFFSET($BH$3,0,0,'Données projet'!$E$11+1,1))-AVERAGE(OFFSET($H$3,0,0,'Données projet'!$E$11+1,1))</f>
        <v>472.83070477639035</v>
      </c>
      <c r="BJ29" s="62">
        <f t="shared" si="38"/>
        <v>297.32483725004136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3.5002002055949579</v>
      </c>
      <c r="BR29" s="23">
        <f>EXP(-LN(2)/2)*BR28+(1-EXP(-LN(2)/2))/(LN(2)/2)*BL29*BO29*VLOOKUP('Données projet'!$B$11,Paramètres!$A$1:$I$89,3,0)*0.475*44/12</f>
        <v>11.831722047473029</v>
      </c>
      <c r="BS29" s="24">
        <f t="shared" si="9"/>
        <v>15.331922253067987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14.4</v>
      </c>
      <c r="BY29" s="13">
        <f>IF('Données projet'!$A$114&gt;35,BY28+BX29-CG28,IF(A29&lt;'Données projet'!$A$114,$BV$205^A29,IF(A29='Données projet'!$A$114,'Données projet'!$B$114,BY28+BX29-CG28)))</f>
        <v>214.39999999999998</v>
      </c>
      <c r="BZ29" s="14">
        <f>BY29*VLOOKUP('Données projet'!$B$12,Paramètres!$A$1:$I$89,3,0)*VLOOKUP('Données projet'!$B$12,Paramètres!$A$1:$I$89,5,0)</f>
        <v>117.06239999999998</v>
      </c>
      <c r="CA29" s="14">
        <f t="shared" si="39"/>
        <v>30.988867171899152</v>
      </c>
      <c r="CB29" s="22">
        <f t="shared" si="10"/>
        <v>257.85595699105767</v>
      </c>
      <c r="CC29" s="62">
        <f t="shared" si="11"/>
        <v>488.14267104024782</v>
      </c>
      <c r="CD29" s="62">
        <f ca="1">AVERAGE(OFFSET($CC$3,0,0,'Données projet'!$E$12+1,1))-AVERAGE(OFFSET($H$3,0,0,'Données projet'!$E$12+1,1))</f>
        <v>262.64209686767367</v>
      </c>
      <c r="CE29" s="62">
        <f t="shared" si="40"/>
        <v>381.0342365342517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2.8120000757653156</v>
      </c>
      <c r="CL29" s="23">
        <f>EXP(-LN(2)/25)*CL28+(1-EXP(-LN(2)/25))/(LN(2)/25)*Calculateur!CG29*Calculateur!CI29*VLOOKUP('Données projet'!$B$12,Paramètres!$A$1:$I$89,3,0)*0.475*44/12</f>
        <v>7.4102073318129023</v>
      </c>
      <c r="CM29" s="23">
        <f>EXP(-LN(2)/2)*CM28+(1-EXP(-LN(2)/2))/(LN(2)/2)*CG29*CJ29*VLOOKUP('Données projet'!$B$12,Paramètres!$A$1:$I$89,3,0)*0.475*44/12</f>
        <v>12.890686627886916</v>
      </c>
      <c r="CN29" s="24">
        <f t="shared" si="12"/>
        <v>23.112894035465132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9.6</v>
      </c>
      <c r="CT29" s="13">
        <f>IF('Données projet'!$A$140&gt;35,CT28+CS29-DB28,IF(A29&lt;'Données projet'!$A$140,$CQ$205^A29,IF(A29='Données projet'!$A$140,'Données projet'!$B$140,CT28+CS29-DB28)))</f>
        <v>75.600000000000009</v>
      </c>
      <c r="CU29" s="18">
        <f>CT29*VLOOKUP('Données projet'!$B$13,Paramètres!$A$1:$I$89,3,0)*VLOOKUP('Données projet'!$B$13,Paramètres!$A$1:$I$89,5,0)</f>
        <v>55.42992000000001</v>
      </c>
      <c r="CV29" s="14">
        <f t="shared" si="41"/>
        <v>16.007535946649163</v>
      </c>
      <c r="CW29" s="22">
        <f t="shared" si="13"/>
        <v>124.42023577374732</v>
      </c>
      <c r="CX29" s="62">
        <f t="shared" si="14"/>
        <v>354.70694982293753</v>
      </c>
      <c r="CY29" s="62">
        <f ca="1">AVERAGE(OFFSET($CX$3,0,0,'Données projet'!$E$13+1,1))-AVERAGE(OFFSET($H$3,0,0,'Données projet'!$E$13+1,1))</f>
        <v>250.11765444522138</v>
      </c>
      <c r="CZ29" s="62">
        <f t="shared" si="42"/>
        <v>241.42920565698913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2.1272768490900389</v>
      </c>
      <c r="DH29" s="23">
        <f>EXP(-LN(2)/2)*DH28+(1-EXP(-LN(2)/2))/(LN(2)/2)*DB29*DE29*VLOOKUP('Données projet'!$B$13,Paramètres!$A$1:$I$89,3,0)*0.475*44/12</f>
        <v>7.1908310719555901</v>
      </c>
      <c r="DI29" s="24">
        <f t="shared" si="15"/>
        <v>9.3181079210456286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28.629999999999995</v>
      </c>
      <c r="N30" s="14">
        <f>IF('Données projet'!$A$36&gt;35,N29+M30-V29,IF(A30&lt;'Données projet'!$A$36,$K$205^A30,IF(A30='Données projet'!$A$36,'Données projet'!$B$36,N29+M30-V29)))</f>
        <v>321.43</v>
      </c>
      <c r="O30" s="14">
        <f>N30*VLOOKUP('Données projet'!$B$9,Paramètres!$A$1:$I$89,3,0)*VLOOKUP('Données projet'!$B$9,Paramètres!$A$1:$I$89,5,0)</f>
        <v>179.67937000000001</v>
      </c>
      <c r="P30" s="14">
        <f t="shared" si="33"/>
        <v>45.250844498664819</v>
      </c>
      <c r="Q30" s="22">
        <f t="shared" si="2"/>
        <v>391.75345691850794</v>
      </c>
      <c r="R30" s="62">
        <f t="shared" si="0"/>
        <v>624.27129979107144</v>
      </c>
      <c r="S30" s="62">
        <f ca="1">AVERAGE(OFFSET($R$3,0,0,'Données projet'!$E$9+1,1))-AVERAGE(OFFSET($H$3,0,0,'Données projet'!$E$9+1,1))</f>
        <v>419.0448820879102</v>
      </c>
      <c r="T30" s="62">
        <f t="shared" si="34"/>
        <v>553.33038335026379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1.9750536646775236</v>
      </c>
      <c r="AA30" s="23">
        <f>EXP(-LN(2)/25)*AA29+(1-EXP(-LN(2)/25))/(LN(2)/25)*Calculateur!V30*Calculateur!X30*VLOOKUP('Données projet'!$B$9,Paramètres!$A$1:$I$89,3,0)*0.475*44/12</f>
        <v>14.789198289635266</v>
      </c>
      <c r="AB30" s="23">
        <f>EXP(-LN(2)/2)*AB29+(1-EXP(-LN(2)/2))/(LN(2)/2)*V30*Y30*VLOOKUP('Données projet'!$B$9,Paramètres!$A$1:$I$89,3,0)*0.475*44/12</f>
        <v>7.214744566298771</v>
      </c>
      <c r="AC30" s="24">
        <f t="shared" si="3"/>
        <v>23.97899652061156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</v>
      </c>
      <c r="AI30" s="14">
        <f>IF('Données projet'!$A$62&gt;35,AI29+AH30-AQ29,IF(A30&lt;'Données projet'!$A$62,$AF$205^A30,IF(A30='Données projet'!$A$62,'Données projet'!$B$62,AI29+AH30-AQ29)))</f>
        <v>145.00000000000003</v>
      </c>
      <c r="AJ30" s="14">
        <f>AI30*VLOOKUP('Données projet'!$B$10,Paramètres!$A$1:$I$89,3,0)*VLOOKUP('Données projet'!$B$10,Paramètres!$A$1:$I$89,5,0)</f>
        <v>126.67200000000003</v>
      </c>
      <c r="AK30" s="14">
        <f t="shared" si="35"/>
        <v>33.226199426361347</v>
      </c>
      <c r="AL30" s="22">
        <f t="shared" si="4"/>
        <v>278.48936400091276</v>
      </c>
      <c r="AM30" s="62">
        <f t="shared" si="5"/>
        <v>511.00720687347626</v>
      </c>
      <c r="AN30" s="62">
        <f ca="1">AVERAGE(OFFSET($AM$3,0,0,'Données projet'!$E$10+1,1))-AVERAGE(OFFSET($H$3,0,0,'Données projet'!$E$10+1,1))</f>
        <v>341.62910675299065</v>
      </c>
      <c r="AO30" s="62">
        <f t="shared" si="36"/>
        <v>407.15938341104709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15.933326958034952</v>
      </c>
      <c r="AW30" s="23">
        <f>EXP(-LN(2)/2)*AW29+(1-EXP(-LN(2)/2))/(LN(2)/2)*AQ30*AT30*VLOOKUP('Données projet'!$B$10,Paramètres!$A$1:$I$89,3,0)*0.475*44/12</f>
        <v>10.633308012118237</v>
      </c>
      <c r="AX30" s="23">
        <f t="shared" si="6"/>
        <v>26.566634970153189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420.17244660972904</v>
      </c>
      <c r="BI30" s="62">
        <f ca="1">AVERAGE(OFFSET($BH$3,0,0,'Données projet'!$E$11+1,1))-AVERAGE(OFFSET($H$3,0,0,'Données projet'!$E$11+1,1))</f>
        <v>472.83070477639035</v>
      </c>
      <c r="BJ30" s="62">
        <f t="shared" si="38"/>
        <v>297.32483725004136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3.4044870469054347</v>
      </c>
      <c r="BR30" s="23">
        <f>EXP(-LN(2)/2)*BR29+(1-EXP(-LN(2)/2))/(LN(2)/2)*BL30*BO30*VLOOKUP('Données projet'!$B$11,Paramètres!$A$1:$I$89,3,0)*0.475*44/12</f>
        <v>8.3662908928825619</v>
      </c>
      <c r="BS30" s="24">
        <f t="shared" si="9"/>
        <v>11.770777939787997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14.4</v>
      </c>
      <c r="BY30" s="13">
        <f>IF('Données projet'!$A$114&gt;35,BY29+BX30-CG29,IF(A30&lt;'Données projet'!$A$114,$BV$205^A30,IF(A30='Données projet'!$A$114,'Données projet'!$B$114,BY29+BX30-CG29)))</f>
        <v>228.79999999999998</v>
      </c>
      <c r="BZ30" s="14">
        <f>BY30*VLOOKUP('Données projet'!$B$12,Paramètres!$A$1:$I$89,3,0)*VLOOKUP('Données projet'!$B$12,Paramètres!$A$1:$I$89,5,0)</f>
        <v>124.92479999999999</v>
      </c>
      <c r="CA30" s="14">
        <f t="shared" si="39"/>
        <v>32.820925500842712</v>
      </c>
      <c r="CB30" s="22">
        <f t="shared" si="10"/>
        <v>274.74047191396772</v>
      </c>
      <c r="CC30" s="62">
        <f t="shared" si="11"/>
        <v>507.25831478653123</v>
      </c>
      <c r="CD30" s="62">
        <f ca="1">AVERAGE(OFFSET($CC$3,0,0,'Données projet'!$E$12+1,1))-AVERAGE(OFFSET($H$3,0,0,'Données projet'!$E$12+1,1))</f>
        <v>262.64209686767367</v>
      </c>
      <c r="CE30" s="62">
        <f t="shared" si="40"/>
        <v>381.0342365342517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2.7568584694302469</v>
      </c>
      <c r="CL30" s="23">
        <f>EXP(-LN(2)/25)*CL29+(1-EXP(-LN(2)/25))/(LN(2)/25)*Calculateur!CG30*Calculateur!CI30*VLOOKUP('Données projet'!$B$12,Paramètres!$A$1:$I$89,3,0)*0.475*44/12</f>
        <v>7.2075748226386107</v>
      </c>
      <c r="CM30" s="23">
        <f>EXP(-LN(2)/2)*CM29+(1-EXP(-LN(2)/2))/(LN(2)/2)*CG30*CJ30*VLOOKUP('Données projet'!$B$12,Paramètres!$A$1:$I$89,3,0)*0.475*44/12</f>
        <v>9.1150919287295888</v>
      </c>
      <c r="CN30" s="24">
        <f t="shared" si="12"/>
        <v>19.079525220798445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9.6</v>
      </c>
      <c r="CT30" s="13">
        <f>IF('Données projet'!$A$140&gt;35,CT29+CS30-DB29,IF(A30&lt;'Données projet'!$A$140,$CQ$205^A30,IF(A30='Données projet'!$A$140,'Données projet'!$B$140,CT29+CS30-DB29)))</f>
        <v>85.2</v>
      </c>
      <c r="CU30" s="18">
        <f>CT30*VLOOKUP('Données projet'!$B$13,Paramètres!$A$1:$I$89,3,0)*VLOOKUP('Données projet'!$B$13,Paramètres!$A$1:$I$89,5,0)</f>
        <v>62.468640000000001</v>
      </c>
      <c r="CV30" s="14">
        <f t="shared" si="41"/>
        <v>17.790946479108314</v>
      </c>
      <c r="CW30" s="22">
        <f t="shared" si="13"/>
        <v>139.78544645111364</v>
      </c>
      <c r="CX30" s="62">
        <f t="shared" si="14"/>
        <v>372.30328932367718</v>
      </c>
      <c r="CY30" s="62">
        <f ca="1">AVERAGE(OFFSET($CX$3,0,0,'Données projet'!$E$13+1,1))-AVERAGE(OFFSET($H$3,0,0,'Données projet'!$E$13+1,1))</f>
        <v>250.11765444522138</v>
      </c>
      <c r="CZ30" s="62">
        <f t="shared" si="42"/>
        <v>241.42920565698913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2.0691063517830441</v>
      </c>
      <c r="DH30" s="23">
        <f>EXP(-LN(2)/2)*DH29+(1-EXP(-LN(2)/2))/(LN(2)/2)*DB30*DE30*VLOOKUP('Données projet'!$B$13,Paramètres!$A$1:$I$89,3,0)*0.475*44/12</f>
        <v>5.0846854133467287</v>
      </c>
      <c r="DI30" s="24">
        <f t="shared" si="15"/>
        <v>7.1537917651297729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350.06</v>
      </c>
      <c r="L31" s="13">
        <f>VLOOKUP(A31,'Données projet'!$A$35:$I$55,9,0)</f>
        <v>28.629999999999995</v>
      </c>
      <c r="M31" s="13">
        <f t="array" ref="M31">INDEX(L:L,MIN(IF(ISNUMBER(L31:L227),ROW(L31:L227),"")))</f>
        <v>28.629999999999995</v>
      </c>
      <c r="N31" s="14">
        <f>IF('Données projet'!$A$36&gt;35,N30+M31-V30,IF(A31&lt;'Données projet'!$A$36,$K$205^A31,IF(A31='Données projet'!$A$36,'Données projet'!$B$36,N30+M31-V30)))</f>
        <v>350.06</v>
      </c>
      <c r="O31" s="14">
        <f>N31*VLOOKUP('Données projet'!$B$9,Paramètres!$A$1:$I$89,3,0)*VLOOKUP('Données projet'!$B$9,Paramètres!$A$1:$I$89,5,0)</f>
        <v>195.68354000000002</v>
      </c>
      <c r="P31" s="14">
        <f t="shared" si="33"/>
        <v>48.79433922175842</v>
      </c>
      <c r="Q31" s="22">
        <f t="shared" si="2"/>
        <v>425.79897297789597</v>
      </c>
      <c r="R31" s="62">
        <f t="shared" si="0"/>
        <v>660.53044239988003</v>
      </c>
      <c r="S31" s="62">
        <f ca="1">AVERAGE(OFFSET($R$3,0,0,'Données projet'!$E$9+1,1))-AVERAGE(OFFSET($H$3,0,0,'Données projet'!$E$9+1,1))</f>
        <v>419.0448820879102</v>
      </c>
      <c r="T31" s="62">
        <f t="shared" si="34"/>
        <v>553.33038335026379</v>
      </c>
      <c r="U31" s="16">
        <f>IF(ISNA(VLOOKUP(A31,'Données projet'!$A$35:$I$55,3,0)),0,VLOOKUP(A31,'Données projet'!$A$35:$I$55,3,0))</f>
        <v>7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1.9363240669769821</v>
      </c>
      <c r="AA31" s="23">
        <f>EXP(-LN(2)/25)*AA30+(1-EXP(-LN(2)/25))/(LN(2)/25)*Calculateur!V31*Calculateur!X31*VLOOKUP('Données projet'!$B$9,Paramètres!$A$1:$I$89,3,0)*0.475*44/12</f>
        <v>14.384786884675053</v>
      </c>
      <c r="AB31" s="23">
        <f>EXP(-LN(2)/2)*AB30+(1-EXP(-LN(2)/2))/(LN(2)/2)*V31*Y31*VLOOKUP('Données projet'!$B$9,Paramètres!$A$1:$I$89,3,0)*0.475*44/12</f>
        <v>5.1015948073586586</v>
      </c>
      <c r="AC31" s="24">
        <f t="shared" si="3"/>
        <v>21.422705759010693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</v>
      </c>
      <c r="AI31" s="14">
        <f>IF('Données projet'!$A$62&gt;35,AI30+AH31-AQ30,IF(A31&lt;'Données projet'!$A$62,$AF$205^A31,IF(A31='Données projet'!$A$62,'Données projet'!$B$62,AI30+AH31-AQ30)))</f>
        <v>158.00000000000003</v>
      </c>
      <c r="AJ31" s="14">
        <f>AI31*VLOOKUP('Données projet'!$B$10,Paramètres!$A$1:$I$89,3,0)*VLOOKUP('Données projet'!$B$10,Paramètres!$A$1:$I$89,5,0)</f>
        <v>138.02880000000005</v>
      </c>
      <c r="AK31" s="14">
        <f t="shared" si="35"/>
        <v>35.845059256813073</v>
      </c>
      <c r="AL31" s="22">
        <f t="shared" si="4"/>
        <v>302.83030487228285</v>
      </c>
      <c r="AM31" s="62">
        <f t="shared" si="5"/>
        <v>537.56177429426691</v>
      </c>
      <c r="AN31" s="62">
        <f ca="1">AVERAGE(OFFSET($AM$3,0,0,'Données projet'!$E$10+1,1))-AVERAGE(OFFSET($H$3,0,0,'Données projet'!$E$10+1,1))</f>
        <v>341.62910675299065</v>
      </c>
      <c r="AO31" s="62">
        <f t="shared" si="36"/>
        <v>407.15938341104709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15.497629294470238</v>
      </c>
      <c r="AW31" s="23">
        <f>EXP(-LN(2)/2)*AW30+(1-EXP(-LN(2)/2))/(LN(2)/2)*AQ31*AT31*VLOOKUP('Données projet'!$B$10,Paramètres!$A$1:$I$89,3,0)*0.475*44/12</f>
        <v>7.5188842018140534</v>
      </c>
      <c r="AX31" s="23">
        <f t="shared" si="6"/>
        <v>23.01651349628429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440.3867625099287</v>
      </c>
      <c r="BI31" s="62">
        <f ca="1">AVERAGE(OFFSET($BH$3,0,0,'Données projet'!$E$11+1,1))-AVERAGE(OFFSET($H$3,0,0,'Données projet'!$E$11+1,1))</f>
        <v>472.83070477639035</v>
      </c>
      <c r="BJ31" s="62">
        <f t="shared" si="38"/>
        <v>297.32483725004136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3.3113911695736129</v>
      </c>
      <c r="BR31" s="23">
        <f>EXP(-LN(2)/2)*BR30+(1-EXP(-LN(2)/2))/(LN(2)/2)*BL31*BO31*VLOOKUP('Données projet'!$B$11,Paramètres!$A$1:$I$89,3,0)*0.475*44/12</f>
        <v>5.9158610237365155</v>
      </c>
      <c r="BS31" s="24">
        <f t="shared" si="9"/>
        <v>9.2272521933101288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14.4</v>
      </c>
      <c r="BY31" s="13">
        <f>IF('Données projet'!$A$114&gt;35,BY30+BX31-CG30,IF(A31&lt;'Données projet'!$A$114,$BV$205^A31,IF(A31='Données projet'!$A$114,'Données projet'!$B$114,BY30+BX31-CG30)))</f>
        <v>243.2</v>
      </c>
      <c r="BZ31" s="14">
        <f>BY31*VLOOKUP('Données projet'!$B$12,Paramètres!$A$1:$I$89,3,0)*VLOOKUP('Données projet'!$B$12,Paramètres!$A$1:$I$89,5,0)</f>
        <v>132.78719999999998</v>
      </c>
      <c r="CA31" s="14">
        <f t="shared" si="39"/>
        <v>34.63960211985458</v>
      </c>
      <c r="CB31" s="22">
        <f t="shared" si="10"/>
        <v>291.60168035874665</v>
      </c>
      <c r="CC31" s="62">
        <f t="shared" si="11"/>
        <v>526.33314978073076</v>
      </c>
      <c r="CD31" s="62">
        <f ca="1">AVERAGE(OFFSET($CC$3,0,0,'Données projet'!$E$12+1,1))-AVERAGE(OFFSET($H$3,0,0,'Données projet'!$E$12+1,1))</f>
        <v>262.64209686767367</v>
      </c>
      <c r="CE31" s="62">
        <f t="shared" si="40"/>
        <v>381.0342365342517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2.7027981563623502</v>
      </c>
      <c r="CL31" s="23">
        <f>EXP(-LN(2)/25)*CL30+(1-EXP(-LN(2)/25))/(LN(2)/25)*Calculateur!CG31*Calculateur!CI31*VLOOKUP('Données projet'!$B$12,Paramètres!$A$1:$I$89,3,0)*0.475*44/12</f>
        <v>7.0104833100836714</v>
      </c>
      <c r="CM31" s="23">
        <f>EXP(-LN(2)/2)*CM30+(1-EXP(-LN(2)/2))/(LN(2)/2)*CG31*CJ31*VLOOKUP('Données projet'!$B$12,Paramètres!$A$1:$I$89,3,0)*0.475*44/12</f>
        <v>6.4453433139434591</v>
      </c>
      <c r="CN31" s="24">
        <f t="shared" si="12"/>
        <v>16.158624780389481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9.6</v>
      </c>
      <c r="CT31" s="13">
        <f>IF('Données projet'!$A$140&gt;35,CT30+CS31-DB30,IF(A31&lt;'Données projet'!$A$140,$CQ$205^A31,IF(A31='Données projet'!$A$140,'Données projet'!$B$140,CT30+CS31-DB30)))</f>
        <v>94.8</v>
      </c>
      <c r="CU31" s="18">
        <f>CT31*VLOOKUP('Données projet'!$B$13,Paramètres!$A$1:$I$89,3,0)*VLOOKUP('Données projet'!$B$13,Paramètres!$A$1:$I$89,5,0)</f>
        <v>69.507359999999991</v>
      </c>
      <c r="CV31" s="14">
        <f t="shared" si="41"/>
        <v>19.551067455038922</v>
      </c>
      <c r="CW31" s="22">
        <f t="shared" si="13"/>
        <v>155.11009448419279</v>
      </c>
      <c r="CX31" s="62">
        <f t="shared" si="14"/>
        <v>389.84156390617687</v>
      </c>
      <c r="CY31" s="62">
        <f ca="1">AVERAGE(OFFSET($CX$3,0,0,'Données projet'!$E$13+1,1))-AVERAGE(OFFSET($H$3,0,0,'Données projet'!$E$13+1,1))</f>
        <v>250.11765444522138</v>
      </c>
      <c r="CZ31" s="62">
        <f t="shared" si="42"/>
        <v>241.42920565698913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2.0125265297839627</v>
      </c>
      <c r="DH31" s="23">
        <f>EXP(-LN(2)/2)*DH30+(1-EXP(-LN(2)/2))/(LN(2)/2)*DB31*DE31*VLOOKUP('Données projet'!$B$13,Paramètres!$A$1:$I$89,3,0)*0.475*44/12</f>
        <v>3.5954155359777955</v>
      </c>
      <c r="DI31" s="24">
        <f t="shared" si="15"/>
        <v>5.6079420657617582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30.25</v>
      </c>
      <c r="N32" s="14">
        <f>IF('Données projet'!$A$36&gt;35,N31+M32-V31,IF(A32&lt;'Données projet'!$A$36,$K$205^A32,IF(A32='Données projet'!$A$36,'Données projet'!$B$36,N31+M32-V31)))</f>
        <v>380.31</v>
      </c>
      <c r="O32" s="14">
        <f>N32*VLOOKUP('Données projet'!$B$9,Paramètres!$A$1:$I$89,3,0)*VLOOKUP('Données projet'!$B$9,Paramètres!$A$1:$I$89,5,0)</f>
        <v>212.59329</v>
      </c>
      <c r="P32" s="14">
        <f t="shared" si="33"/>
        <v>52.501879375758435</v>
      </c>
      <c r="Q32" s="22">
        <f t="shared" si="2"/>
        <v>461.70741999611255</v>
      </c>
      <c r="R32" s="62">
        <f t="shared" si="0"/>
        <v>698.63531731888838</v>
      </c>
      <c r="S32" s="62">
        <f ca="1">AVERAGE(OFFSET($R$3,0,0,'Données projet'!$E$9+1,1))-AVERAGE(OFFSET($H$3,0,0,'Données projet'!$E$9+1,1))</f>
        <v>419.0448820879102</v>
      </c>
      <c r="T32" s="62">
        <f t="shared" si="34"/>
        <v>553.33038335026379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1.8983539330646262</v>
      </c>
      <c r="AA32" s="23">
        <f>EXP(-LN(2)/25)*AA31+(1-EXP(-LN(2)/25))/(LN(2)/25)*Calculateur!V32*Calculateur!X32*VLOOKUP('Données projet'!$B$9,Paramètres!$A$1:$I$89,3,0)*0.475*44/12</f>
        <v>13.991434130850548</v>
      </c>
      <c r="AB32" s="23">
        <f>EXP(-LN(2)/2)*AB31+(1-EXP(-LN(2)/2))/(LN(2)/2)*V32*Y32*VLOOKUP('Données projet'!$B$9,Paramètres!$A$1:$I$89,3,0)*0.475*44/12</f>
        <v>3.6073722831493864</v>
      </c>
      <c r="AC32" s="24">
        <f t="shared" si="3"/>
        <v>19.497160347064561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</v>
      </c>
      <c r="AI32" s="14">
        <f>IF('Données projet'!$A$62&gt;35,AI31+AH32-AQ31,IF(A32&lt;'Données projet'!$A$62,$AF$205^A32,IF(A32='Données projet'!$A$62,'Données projet'!$B$62,AI31+AH32-AQ31)))</f>
        <v>171.00000000000003</v>
      </c>
      <c r="AJ32" s="14">
        <f>AI32*VLOOKUP('Données projet'!$B$10,Paramètres!$A$1:$I$89,3,0)*VLOOKUP('Données projet'!$B$10,Paramètres!$A$1:$I$89,5,0)</f>
        <v>149.38560000000004</v>
      </c>
      <c r="AK32" s="14">
        <f t="shared" si="35"/>
        <v>38.438927680599591</v>
      </c>
      <c r="AL32" s="22">
        <f t="shared" si="4"/>
        <v>327.12771904371101</v>
      </c>
      <c r="AM32" s="62">
        <f t="shared" si="5"/>
        <v>564.0556163664869</v>
      </c>
      <c r="AN32" s="62">
        <f ca="1">AVERAGE(OFFSET($AM$3,0,0,'Données projet'!$E$10+1,1))-AVERAGE(OFFSET($H$3,0,0,'Données projet'!$E$10+1,1))</f>
        <v>341.62910675299065</v>
      </c>
      <c r="AO32" s="62">
        <f t="shared" si="36"/>
        <v>407.15938341104709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15.073845806428045</v>
      </c>
      <c r="AW32" s="23">
        <f>EXP(-LN(2)/2)*AW31+(1-EXP(-LN(2)/2))/(LN(2)/2)*AQ32*AT32*VLOOKUP('Données projet'!$B$10,Paramètres!$A$1:$I$89,3,0)*0.475*44/12</f>
        <v>5.3166540060591192</v>
      </c>
      <c r="AX32" s="23">
        <f t="shared" si="6"/>
        <v>20.390499812487164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460.54745843353226</v>
      </c>
      <c r="BI32" s="62">
        <f ca="1">AVERAGE(OFFSET($BH$3,0,0,'Données projet'!$E$11+1,1))-AVERAGE(OFFSET($H$3,0,0,'Données projet'!$E$11+1,1))</f>
        <v>472.83070477639035</v>
      </c>
      <c r="BJ32" s="62">
        <f t="shared" si="38"/>
        <v>297.32483725004136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3.220841003903129</v>
      </c>
      <c r="BR32" s="23">
        <f>EXP(-LN(2)/2)*BR31+(1-EXP(-LN(2)/2))/(LN(2)/2)*BL32*BO32*VLOOKUP('Données projet'!$B$11,Paramètres!$A$1:$I$89,3,0)*0.475*44/12</f>
        <v>4.1831454464412818</v>
      </c>
      <c r="BS32" s="24">
        <f t="shared" si="9"/>
        <v>7.4039864503444104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14.4</v>
      </c>
      <c r="BY32" s="13">
        <f>IF('Données projet'!$A$114&gt;35,BY31+BX32-CG31,IF(A32&lt;'Données projet'!$A$114,$BV$205^A32,IF(A32='Données projet'!$A$114,'Données projet'!$B$114,BY31+BX32-CG31)))</f>
        <v>257.59999999999997</v>
      </c>
      <c r="BZ32" s="14">
        <f>BY32*VLOOKUP('Données projet'!$B$12,Paramètres!$A$1:$I$89,3,0)*VLOOKUP('Données projet'!$B$12,Paramètres!$A$1:$I$89,5,0)</f>
        <v>140.64959999999996</v>
      </c>
      <c r="CA32" s="14">
        <f t="shared" si="39"/>
        <v>36.445779615258601</v>
      </c>
      <c r="CB32" s="22">
        <f t="shared" si="10"/>
        <v>308.44111949657531</v>
      </c>
      <c r="CC32" s="62">
        <f t="shared" si="11"/>
        <v>545.36901681935115</v>
      </c>
      <c r="CD32" s="62">
        <f ca="1">AVERAGE(OFFSET($CC$3,0,0,'Données projet'!$E$12+1,1))-AVERAGE(OFFSET($H$3,0,0,'Données projet'!$E$12+1,1))</f>
        <v>262.64209686767367</v>
      </c>
      <c r="CE32" s="62">
        <f t="shared" si="40"/>
        <v>381.0342365342517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2.6497979330601797</v>
      </c>
      <c r="CL32" s="23">
        <f>EXP(-LN(2)/25)*CL31+(1-EXP(-LN(2)/25))/(LN(2)/25)*Calculateur!CG32*Calculateur!CI32*VLOOKUP('Données projet'!$B$12,Paramètres!$A$1:$I$89,3,0)*0.475*44/12</f>
        <v>6.818781275304139</v>
      </c>
      <c r="CM32" s="23">
        <f>EXP(-LN(2)/2)*CM31+(1-EXP(-LN(2)/2))/(LN(2)/2)*CG32*CJ32*VLOOKUP('Données projet'!$B$12,Paramètres!$A$1:$I$89,3,0)*0.475*44/12</f>
        <v>4.5575459643647953</v>
      </c>
      <c r="CN32" s="24">
        <f t="shared" si="12"/>
        <v>14.026125172729113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9.6</v>
      </c>
      <c r="CT32" s="13">
        <f>IF('Données projet'!$A$140&gt;35,CT31+CS32-DB31,IF(A32&lt;'Données projet'!$A$140,$CQ$205^A32,IF(A32='Données projet'!$A$140,'Données projet'!$B$140,CT31+CS32-DB31)))</f>
        <v>104.39999999999999</v>
      </c>
      <c r="CU32" s="18">
        <f>CT32*VLOOKUP('Données projet'!$B$13,Paramètres!$A$1:$I$89,3,0)*VLOOKUP('Données projet'!$B$13,Paramètres!$A$1:$I$89,5,0)</f>
        <v>76.546079999999989</v>
      </c>
      <c r="CV32" s="14">
        <f t="shared" si="41"/>
        <v>21.290525837973497</v>
      </c>
      <c r="CW32" s="22">
        <f t="shared" si="13"/>
        <v>170.39875516780378</v>
      </c>
      <c r="CX32" s="62">
        <f t="shared" si="14"/>
        <v>407.32665249057959</v>
      </c>
      <c r="CY32" s="62">
        <f ca="1">AVERAGE(OFFSET($CX$3,0,0,'Données projet'!$E$13+1,1))-AVERAGE(OFFSET($H$3,0,0,'Données projet'!$E$13+1,1))</f>
        <v>250.11765444522138</v>
      </c>
      <c r="CZ32" s="62">
        <f t="shared" si="42"/>
        <v>241.42920565698913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1.9574938859928497</v>
      </c>
      <c r="DH32" s="23">
        <f>EXP(-LN(2)/2)*DH31+(1-EXP(-LN(2)/2))/(LN(2)/2)*DB32*DE32*VLOOKUP('Données projet'!$B$13,Paramètres!$A$1:$I$89,3,0)*0.475*44/12</f>
        <v>2.5423427066733648</v>
      </c>
      <c r="DI32" s="24">
        <f t="shared" si="15"/>
        <v>4.4998365926662149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410.56</v>
      </c>
      <c r="L33" s="13">
        <f>VLOOKUP(A33,'Données projet'!$A$35:$I$55,9,0)</f>
        <v>30.25</v>
      </c>
      <c r="M33" s="13">
        <f t="array" ref="M33">INDEX(L:L,MIN(IF(ISNUMBER(L33:L229),ROW(L33:L229),"")))</f>
        <v>30.25</v>
      </c>
      <c r="N33" s="14">
        <f>IF('Données projet'!$A$36&gt;35,N32+M33-V32,IF(A33&lt;'Données projet'!$A$36,$K$205^A33,IF(A33='Données projet'!$A$36,'Données projet'!$B$36,N32+M33-V32)))</f>
        <v>410.56</v>
      </c>
      <c r="O33" s="14">
        <f>N33*VLOOKUP('Données projet'!$B$9,Paramètres!$A$1:$I$89,3,0)*VLOOKUP('Données projet'!$B$9,Paramètres!$A$1:$I$89,5,0)</f>
        <v>229.50304</v>
      </c>
      <c r="P33" s="14">
        <f t="shared" si="33"/>
        <v>56.175213636682351</v>
      </c>
      <c r="Q33" s="22">
        <f t="shared" si="2"/>
        <v>497.55629175055515</v>
      </c>
      <c r="R33" s="62">
        <f t="shared" si="0"/>
        <v>736.66371668359716</v>
      </c>
      <c r="S33" s="62">
        <f ca="1">AVERAGE(OFFSET($R$3,0,0,'Données projet'!$E$9+1,1))-AVERAGE(OFFSET($H$3,0,0,'Données projet'!$E$9+1,1))</f>
        <v>419.0448820879102</v>
      </c>
      <c r="T33" s="62">
        <f t="shared" si="34"/>
        <v>553.33038335026379</v>
      </c>
      <c r="U33" s="16">
        <f>IF(ISNA(VLOOKUP(A33,'Données projet'!$A$35:$I$55,3,0)),0,VLOOKUP(A33,'Données projet'!$A$35:$I$55,3,0))</f>
        <v>8</v>
      </c>
      <c r="V33" s="16">
        <f>IF(ISNA(VLOOKUP(A33,'Données projet'!$A$35:$I$55,4,0)),0,VLOOKUP(A33,'Données projet'!$A$35:$I$55,4,0))</f>
        <v>80.97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0.16500000000000001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projet'!$B$9,Paramètres!$A$1:$I$89,3,0)*0.475*44/12</f>
        <v>15.070646778543225</v>
      </c>
      <c r="AA33" s="23">
        <f>EXP(-LN(2)/25)*AA32+(1-EXP(-LN(2)/25))/(LN(2)/25)*Calculateur!V33*Calculateur!X33*VLOOKUP('Données projet'!$B$9,Paramètres!$A$1:$I$89,3,0)*0.475*44/12</f>
        <v>23.4769682545375</v>
      </c>
      <c r="AB33" s="23">
        <f>EXP(-LN(2)/2)*AB32+(1-EXP(-LN(2)/2))/(LN(2)/2)*V33*Y33*VLOOKUP('Données projet'!$B$9,Paramètres!$A$1:$I$89,3,0)*0.475*44/12</f>
        <v>17.925005002900729</v>
      </c>
      <c r="AC33" s="24">
        <f t="shared" si="3"/>
        <v>56.47262003598145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184</v>
      </c>
      <c r="AG33" s="13">
        <f>VLOOKUP(A33,'Données projet'!$A$61:$I$81,9,0)</f>
        <v>13</v>
      </c>
      <c r="AH33" s="13">
        <f t="array" ref="AH33">INDEX(AG:AG,MIN(IF(ISNUMBER(AG33:AG229),ROW(AG33:AG229),"")))</f>
        <v>13</v>
      </c>
      <c r="AI33" s="14">
        <f>IF('Données projet'!$A$62&gt;35,AI32+AH33-AQ32,IF(A33&lt;'Données projet'!$A$62,$AF$205^A33,IF(A33='Données projet'!$A$62,'Données projet'!$B$62,AI32+AH33-AQ32)))</f>
        <v>184.00000000000003</v>
      </c>
      <c r="AJ33" s="14">
        <f>AI33*VLOOKUP('Données projet'!$B$10,Paramètres!$A$1:$I$89,3,0)*VLOOKUP('Données projet'!$B$10,Paramètres!$A$1:$I$89,5,0)</f>
        <v>160.74240000000003</v>
      </c>
      <c r="AK33" s="14">
        <f t="shared" si="35"/>
        <v>41.009920657227809</v>
      </c>
      <c r="AL33" s="22">
        <f t="shared" si="4"/>
        <v>351.38529181133845</v>
      </c>
      <c r="AM33" s="62">
        <f t="shared" si="5"/>
        <v>590.49271674438046</v>
      </c>
      <c r="AN33" s="62">
        <f ca="1">AVERAGE(OFFSET($AM$3,0,0,'Données projet'!$E$10+1,1))-AVERAGE(OFFSET($H$3,0,0,'Données projet'!$E$10+1,1))</f>
        <v>341.62910675299065</v>
      </c>
      <c r="AO33" s="62">
        <f t="shared" si="36"/>
        <v>407.15938341104709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44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0.25800000000000001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25.581553183408012</v>
      </c>
      <c r="AW33" s="23">
        <f>EXP(-LN(2)/2)*AW32+(1-EXP(-LN(2)/2))/(LN(2)/2)*AQ33*AT33*VLOOKUP('Données projet'!$B$10,Paramètres!$A$1:$I$89,3,0)*0.475*44/12</f>
        <v>18.266508082654131</v>
      </c>
      <c r="AX33" s="23">
        <f t="shared" si="6"/>
        <v>43.848061266062146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480.65817058337467</v>
      </c>
      <c r="BI33" s="62">
        <f ca="1">AVERAGE(OFFSET($BH$3,0,0,'Données projet'!$E$11+1,1))-AVERAGE(OFFSET($H$3,0,0,'Données projet'!$E$11+1,1))</f>
        <v>472.83070477639035</v>
      </c>
      <c r="BJ33" s="62">
        <f t="shared" si="38"/>
        <v>297.32483725004136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0.215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9.1304406496690369</v>
      </c>
      <c r="BR33" s="23">
        <f>EXP(-LN(2)/2)*BR32+(1-EXP(-LN(2)/2))/(LN(2)/2)*BL33*BO33*VLOOKUP('Données projet'!$B$11,Paramètres!$A$1:$I$89,3,0)*0.475*44/12</f>
        <v>14.909774644557633</v>
      </c>
      <c r="BS33" s="24">
        <f t="shared" si="9"/>
        <v>24.04021529422667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272</v>
      </c>
      <c r="BW33" s="13">
        <f>VLOOKUP(A33,'Données projet'!$A$113:$I$133,9,0)</f>
        <v>14.4</v>
      </c>
      <c r="BX33" s="13">
        <f t="array" ref="BX33">INDEX(BW:BW,MIN(IF(ISNUMBER(BW33:BW229),ROW(BW33:BW229),"")))</f>
        <v>14.4</v>
      </c>
      <c r="BY33" s="13">
        <f>IF('Données projet'!$A$114&gt;35,BY32+BX33-CG32,IF(A33&lt;'Données projet'!$A$114,$BV$205^A33,IF(A33='Données projet'!$A$114,'Données projet'!$B$114,BY32+BX33-CG32)))</f>
        <v>271.99999999999994</v>
      </c>
      <c r="BZ33" s="14">
        <f>BY33*VLOOKUP('Données projet'!$B$12,Paramètres!$A$1:$I$89,3,0)*VLOOKUP('Données projet'!$B$12,Paramètres!$A$1:$I$89,5,0)</f>
        <v>148.51199999999997</v>
      </c>
      <c r="CA33" s="14">
        <f t="shared" si="39"/>
        <v>38.240236326053513</v>
      </c>
      <c r="CB33" s="22">
        <f t="shared" si="10"/>
        <v>325.26014493454312</v>
      </c>
      <c r="CC33" s="62">
        <f t="shared" si="11"/>
        <v>564.36756986758508</v>
      </c>
      <c r="CD33" s="62">
        <f ca="1">AVERAGE(OFFSET($CC$3,0,0,'Données projet'!$E$12+1,1))-AVERAGE(OFFSET($H$3,0,0,'Données projet'!$E$12+1,1))</f>
        <v>262.64209686767367</v>
      </c>
      <c r="CE33" s="62">
        <f t="shared" si="40"/>
        <v>381.0342365342517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37</v>
      </c>
      <c r="CH33" s="17">
        <f>IF(ISNA(VLOOKUP(A33,'Données projet'!$A$113:$I$133,5,0)),0%,VLOOKUP(A33,'Données projet'!$A$113:$I$133,5,0)*VLOOKUP('Données projet'!$B$12,Paramètres!$A$1:$I$89,7,0))</f>
        <v>0.12</v>
      </c>
      <c r="CI33" s="17">
        <f>IF(ISNA(VLOOKUP(A33,'Données projet'!$A$113:$I$133,6,0)),0%,VLOOKUP(A33,'Données projet'!$A$113:$I$133,6,0)*VLOOKUP('Données projet'!$B$12,Paramètres!$A$1:$I$89,7,0))</f>
        <v>0.24</v>
      </c>
      <c r="CJ33" s="17">
        <f>IF(ISNA(VLOOKUP(A33,'Données projet'!$A$113:$I$133,7,0)),0%,VLOOKUP(A33,'Données projet'!$A$113:$I$133,7,0))</f>
        <v>0.4</v>
      </c>
      <c r="CK33" s="23">
        <f>EXP(-LN(2)/35)*CK32+(1-EXP(-LN(2)/35))/(LN(2)/35)*CG33*CH33*VLOOKUP('Données projet'!$B$12,Paramètres!$A$1:$I$89,3,0)*0.475*44/12</f>
        <v>5.813747627264771</v>
      </c>
      <c r="CL33" s="23">
        <f>EXP(-LN(2)/25)*CL32+(1-EXP(-LN(2)/25))/(LN(2)/25)*Calculateur!CG33*Calculateur!CI33*VLOOKUP('Données projet'!$B$12,Paramètres!$A$1:$I$89,3,0)*0.475*44/12</f>
        <v>13.038818042754214</v>
      </c>
      <c r="CM33" s="23">
        <f>EXP(-LN(2)/2)*CM32+(1-EXP(-LN(2)/2))/(LN(2)/2)*CG33*CJ33*VLOOKUP('Données projet'!$B$12,Paramètres!$A$1:$I$89,3,0)*0.475*44/12</f>
        <v>12.372014406823595</v>
      </c>
      <c r="CN33" s="24">
        <f t="shared" si="12"/>
        <v>31.224580076842578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114</v>
      </c>
      <c r="CR33" s="13">
        <f>VLOOKUP(A33,'Données projet'!$A$139:$I$159,9,0)</f>
        <v>9.6</v>
      </c>
      <c r="CS33" s="13">
        <f t="array" ref="CS33">INDEX(CR:CR,MIN(IF(ISNUMBER(CR33:CR229),ROW(CR33:CR229),"")))</f>
        <v>9.6</v>
      </c>
      <c r="CT33" s="13">
        <f>IF('Données projet'!$A$140&gt;35,CT32+CS33-DB32,IF(A33&lt;'Données projet'!$A$140,$CQ$205^A33,IF(A33='Données projet'!$A$140,'Données projet'!$B$140,CT32+CS33-DB32)))</f>
        <v>113.99999999999999</v>
      </c>
      <c r="CU33" s="18">
        <f>CT33*VLOOKUP('Données projet'!$B$13,Paramètres!$A$1:$I$89,3,0)*VLOOKUP('Données projet'!$B$13,Paramètres!$A$1:$I$89,5,0)</f>
        <v>83.584799999999987</v>
      </c>
      <c r="CV33" s="14">
        <f t="shared" si="41"/>
        <v>23.011437736237617</v>
      </c>
      <c r="CW33" s="22">
        <f t="shared" si="13"/>
        <v>185.65511405728049</v>
      </c>
      <c r="CX33" s="62">
        <f t="shared" si="14"/>
        <v>424.76253899032247</v>
      </c>
      <c r="CY33" s="62">
        <f ca="1">AVERAGE(OFFSET($CX$3,0,0,'Données projet'!$E$13+1,1))-AVERAGE(OFFSET($H$3,0,0,'Données projet'!$E$13+1,1))</f>
        <v>250.11765444522138</v>
      </c>
      <c r="CZ33" s="62">
        <f t="shared" si="42"/>
        <v>241.42920565698913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0.215</v>
      </c>
      <c r="DE33" s="17">
        <f>IF(ISNA(VLOOKUP(A33,'Données projet'!$A$139:$I$159,7,0)),0%,VLOOKUP(A33,'Données projet'!$A$139:$I$159,7,0))</f>
        <v>0.5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5.5491040155316114</v>
      </c>
      <c r="DH33" s="23">
        <f>EXP(-LN(2)/2)*DH32+(1-EXP(-LN(2)/2))/(LN(2)/2)*DB33*DE33*VLOOKUP('Données projet'!$B$13,Paramètres!$A$1:$I$89,3,0)*0.475*44/12</f>
        <v>9.061544072769939</v>
      </c>
      <c r="DI33" s="24">
        <f t="shared" si="15"/>
        <v>14.61064808830155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27.439999999999998</v>
      </c>
      <c r="N34" s="14">
        <f>IF('Données projet'!$A$36&gt;35,N33+M34-V33,IF(A34&lt;'Données projet'!$A$36,$K$205^A34,IF(A34='Données projet'!$A$36,'Données projet'!$B$36,N33+M34-V33)))</f>
        <v>357.03</v>
      </c>
      <c r="O34" s="14">
        <f>N34*VLOOKUP('Données projet'!$B$9,Paramètres!$A$1:$I$89,3,0)*VLOOKUP('Données projet'!$B$9,Paramètres!$A$1:$I$89,5,0)</f>
        <v>199.57977</v>
      </c>
      <c r="P34" s="14">
        <f t="shared" si="33"/>
        <v>49.651802587972696</v>
      </c>
      <c r="Q34" s="22">
        <f t="shared" si="2"/>
        <v>434.07832225738576</v>
      </c>
      <c r="R34" s="62">
        <f t="shared" si="0"/>
        <v>674.12644547020329</v>
      </c>
      <c r="S34" s="62">
        <f ca="1">AVERAGE(OFFSET($R$3,0,0,'Données projet'!$E$9+1,1))-AVERAGE(OFFSET($H$3,0,0,'Données projet'!$E$9+1,1))</f>
        <v>419.0448820879102</v>
      </c>
      <c r="T34" s="62">
        <f t="shared" si="34"/>
        <v>553.33038335026379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14.775120587402874</v>
      </c>
      <c r="AA34" s="23">
        <f>EXP(-LN(2)/25)*AA33+(1-EXP(-LN(2)/25))/(LN(2)/25)*Calculateur!V34*Calculateur!X34*VLOOKUP('Données projet'!$B$9,Paramètres!$A$1:$I$89,3,0)*0.475*44/12</f>
        <v>22.834989323017069</v>
      </c>
      <c r="AB34" s="23">
        <f>EXP(-LN(2)/2)*AB33+(1-EXP(-LN(2)/2))/(LN(2)/2)*V34*Y34*VLOOKUP('Données projet'!$B$9,Paramètres!$A$1:$I$89,3,0)*0.475*44/12</f>
        <v>12.674892590353897</v>
      </c>
      <c r="AC34" s="24">
        <f t="shared" si="3"/>
        <v>50.285002500773842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12.2</v>
      </c>
      <c r="AI34" s="14">
        <f>IF('Données projet'!$A$62&gt;35,AI33+AH34-AQ33,IF(A34&lt;'Données projet'!$A$62,$AF$205^A34,IF(A34='Données projet'!$A$62,'Données projet'!$B$62,AI33+AH34-AQ33)))</f>
        <v>152.20000000000002</v>
      </c>
      <c r="AJ34" s="14">
        <f>AI34*VLOOKUP('Données projet'!$B$10,Paramètres!$A$1:$I$89,3,0)*VLOOKUP('Données projet'!$B$10,Paramètres!$A$1:$I$89,5,0)</f>
        <v>132.96192000000002</v>
      </c>
      <c r="AK34" s="14">
        <f t="shared" si="35"/>
        <v>34.679872132599144</v>
      </c>
      <c r="AL34" s="22">
        <f t="shared" si="4"/>
        <v>291.97612129761018</v>
      </c>
      <c r="AM34" s="62">
        <f t="shared" si="5"/>
        <v>532.02424451042771</v>
      </c>
      <c r="AN34" s="62">
        <f ca="1">AVERAGE(OFFSET($AM$3,0,0,'Données projet'!$E$10+1,1))-AVERAGE(OFFSET($H$3,0,0,'Données projet'!$E$10+1,1))</f>
        <v>341.62910675299065</v>
      </c>
      <c r="AO34" s="62">
        <f t="shared" si="36"/>
        <v>407.15938341104709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24.882024266332305</v>
      </c>
      <c r="AW34" s="23">
        <f>EXP(-LN(2)/2)*AW33+(1-EXP(-LN(2)/2))/(LN(2)/2)*AQ34*AT34*VLOOKUP('Données projet'!$B$10,Paramètres!$A$1:$I$89,3,0)*0.475*44/12</f>
        <v>12.916371733843617</v>
      </c>
      <c r="AX34" s="23">
        <f t="shared" si="6"/>
        <v>37.79839600017592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448.04856966052495</v>
      </c>
      <c r="BI34" s="62">
        <f ca="1">AVERAGE(OFFSET($BH$3,0,0,'Données projet'!$E$11+1,1))-AVERAGE(OFFSET($H$3,0,0,'Données projet'!$E$11+1,1))</f>
        <v>472.83070477639035</v>
      </c>
      <c r="BJ34" s="62">
        <f t="shared" si="38"/>
        <v>297.32483725004136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8.8807682699548316</v>
      </c>
      <c r="BR34" s="23">
        <f>EXP(-LN(2)/2)*BR33+(1-EXP(-LN(2)/2))/(LN(2)/2)*BL34*BO34*VLOOKUP('Données projet'!$B$11,Paramètres!$A$1:$I$89,3,0)*0.475*44/12</f>
        <v>10.54280275712995</v>
      </c>
      <c r="BS34" s="24">
        <f t="shared" si="9"/>
        <v>19.423571027084783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11</v>
      </c>
      <c r="BY34" s="13">
        <f>IF('Données projet'!$A$114&gt;35,BY33+BX34-CG33,IF(A34&lt;'Données projet'!$A$114,$BV$205^A34,IF(A34='Données projet'!$A$114,'Données projet'!$B$114,BY33+BX34-CG33)))</f>
        <v>245.99999999999994</v>
      </c>
      <c r="BZ34" s="14">
        <f>BY34*VLOOKUP('Données projet'!$B$12,Paramètres!$A$1:$I$89,3,0)*VLOOKUP('Données projet'!$B$12,Paramètres!$A$1:$I$89,5,0)</f>
        <v>134.31599999999997</v>
      </c>
      <c r="CA34" s="14">
        <f t="shared" si="39"/>
        <v>34.991756585122445</v>
      </c>
      <c r="CB34" s="22">
        <f t="shared" si="10"/>
        <v>294.87767605242158</v>
      </c>
      <c r="CC34" s="62">
        <f t="shared" si="11"/>
        <v>534.92579926523911</v>
      </c>
      <c r="CD34" s="62">
        <f ca="1">AVERAGE(OFFSET($CC$3,0,0,'Données projet'!$E$12+1,1))-AVERAGE(OFFSET($H$3,0,0,'Données projet'!$E$12+1,1))</f>
        <v>262.64209686767367</v>
      </c>
      <c r="CE34" s="62">
        <f t="shared" si="40"/>
        <v>381.0342365342517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5.6997435823300195</v>
      </c>
      <c r="CL34" s="23">
        <f>EXP(-LN(2)/25)*CL33+(1-EXP(-LN(2)/25))/(LN(2)/25)*Calculateur!CG34*Calculateur!CI34*VLOOKUP('Données projet'!$B$12,Paramètres!$A$1:$I$89,3,0)*0.475*44/12</f>
        <v>12.68227087769346</v>
      </c>
      <c r="CM34" s="23">
        <f>EXP(-LN(2)/2)*CM33+(1-EXP(-LN(2)/2))/(LN(2)/2)*CG34*CJ34*VLOOKUP('Données projet'!$B$12,Paramètres!$A$1:$I$89,3,0)*0.475*44/12</f>
        <v>8.7483352840026267</v>
      </c>
      <c r="CN34" s="24">
        <f t="shared" si="12"/>
        <v>27.130349744026105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101.59999999999998</v>
      </c>
      <c r="CU34" s="18">
        <f>CT34*VLOOKUP('Données projet'!$B$13,Paramètres!$A$1:$I$89,3,0)*VLOOKUP('Données projet'!$B$13,Paramètres!$A$1:$I$89,5,0)</f>
        <v>74.49311999999999</v>
      </c>
      <c r="CV34" s="14">
        <f t="shared" si="41"/>
        <v>20.785185634730134</v>
      </c>
      <c r="CW34" s="22">
        <f t="shared" si="13"/>
        <v>165.94304898048827</v>
      </c>
      <c r="CX34" s="62">
        <f t="shared" si="14"/>
        <v>405.99117219330583</v>
      </c>
      <c r="CY34" s="62">
        <f ca="1">AVERAGE(OFFSET($CX$3,0,0,'Données projet'!$E$13+1,1))-AVERAGE(OFFSET($H$3,0,0,'Données projet'!$E$13+1,1))</f>
        <v>250.11765444522138</v>
      </c>
      <c r="CZ34" s="62">
        <f t="shared" si="42"/>
        <v>241.42920565698913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5.3973634744122023</v>
      </c>
      <c r="DH34" s="23">
        <f>EXP(-LN(2)/2)*DH33+(1-EXP(-LN(2)/2))/(LN(2)/2)*DB34*DE34*VLOOKUP('Données projet'!$B$13,Paramètres!$A$1:$I$89,3,0)*0.475*44/12</f>
        <v>6.4074792618763903</v>
      </c>
      <c r="DI34" s="24">
        <f t="shared" si="15"/>
        <v>11.804842736288592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384.47</v>
      </c>
      <c r="L35" s="13">
        <f>VLOOKUP(A35,'Données projet'!$A$35:$I$55,9,0)</f>
        <v>27.439999999999998</v>
      </c>
      <c r="M35" s="13">
        <f t="array" ref="M35">INDEX(L:L,MIN(IF(ISNUMBER(L35:L231),ROW(L35:L231),"")))</f>
        <v>27.439999999999998</v>
      </c>
      <c r="N35" s="14">
        <f>IF('Données projet'!$A$36&gt;35,N34+M35-V34,IF(A35&lt;'Données projet'!$A$36,$K$205^A35,IF(A35='Données projet'!$A$36,'Données projet'!$B$36,N34+M35-V34)))</f>
        <v>384.46999999999997</v>
      </c>
      <c r="O35" s="14">
        <f>N35*VLOOKUP('Données projet'!$B$9,Paramètres!$A$1:$I$89,3,0)*VLOOKUP('Données projet'!$B$9,Paramètres!$A$1:$I$89,5,0)</f>
        <v>214.91872999999998</v>
      </c>
      <c r="P35" s="14">
        <f t="shared" si="33"/>
        <v>53.008999324398879</v>
      </c>
      <c r="Q35" s="22">
        <f t="shared" ref="Q35:Q66" si="53">(O35+P35)*0.475*44/12</f>
        <v>466.6407952399947</v>
      </c>
      <c r="R35" s="62">
        <f t="shared" si="0"/>
        <v>707.61329772051999</v>
      </c>
      <c r="S35" s="62">
        <f ca="1">AVERAGE(OFFSET($R$3,0,0,'Données projet'!$E$9+1,1))-AVERAGE(OFFSET($H$3,0,0,'Données projet'!$E$9+1,1))</f>
        <v>419.0448820879102</v>
      </c>
      <c r="T35" s="62">
        <f t="shared" si="34"/>
        <v>553.33038335026379</v>
      </c>
      <c r="U35" s="16">
        <f>IF(ISNA(VLOOKUP(A35,'Données projet'!$A$35:$I$55,3,0)),0,VLOOKUP(A35,'Données projet'!$A$35:$I$55,3,0))</f>
        <v>9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14.485389484617608</v>
      </c>
      <c r="AA35" s="23">
        <f>EXP(-LN(2)/25)*AA34+(1-EXP(-LN(2)/25))/(LN(2)/25)*Calculateur!V35*Calculateur!X35*VLOOKUP('Données projet'!$B$9,Paramètres!$A$1:$I$89,3,0)*0.475*44/12</f>
        <v>22.210565339139269</v>
      </c>
      <c r="AB35" s="23">
        <f>EXP(-LN(2)/2)*AB34+(1-EXP(-LN(2)/2))/(LN(2)/2)*V35*Y35*VLOOKUP('Données projet'!$B$9,Paramètres!$A$1:$I$89,3,0)*0.475*44/12</f>
        <v>8.9625025014503663</v>
      </c>
      <c r="AC35" s="24">
        <f t="shared" si="3"/>
        <v>45.658457325207245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12.2</v>
      </c>
      <c r="AI35" s="14">
        <f>IF('Données projet'!$A$62&gt;35,AI34+AH35-AQ34,IF(A35&lt;'Données projet'!$A$62,$AF$205^A35,IF(A35='Données projet'!$A$62,'Données projet'!$B$62,AI34+AH35-AQ34)))</f>
        <v>164.4</v>
      </c>
      <c r="AJ35" s="14">
        <f>AI35*VLOOKUP('Données projet'!$B$10,Paramètres!$A$1:$I$89,3,0)*VLOOKUP('Données projet'!$B$10,Paramètres!$A$1:$I$89,5,0)</f>
        <v>143.61984000000001</v>
      </c>
      <c r="AK35" s="14">
        <f t="shared" si="35"/>
        <v>37.125023974706046</v>
      </c>
      <c r="AL35" s="22">
        <f t="shared" si="4"/>
        <v>314.79730475594641</v>
      </c>
      <c r="AM35" s="62">
        <f t="shared" si="5"/>
        <v>555.76980723647171</v>
      </c>
      <c r="AN35" s="62">
        <f ca="1">AVERAGE(OFFSET($AM$3,0,0,'Données projet'!$E$10+1,1))-AVERAGE(OFFSET($H$3,0,0,'Données projet'!$E$10+1,1))</f>
        <v>341.62910675299065</v>
      </c>
      <c r="AO35" s="62">
        <f t="shared" si="36"/>
        <v>407.15938341104709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24.20162400428066</v>
      </c>
      <c r="AW35" s="23">
        <f>EXP(-LN(2)/2)*AW34+(1-EXP(-LN(2)/2))/(LN(2)/2)*AQ35*AT35*VLOOKUP('Données projet'!$B$10,Paramètres!$A$1:$I$89,3,0)*0.475*44/12</f>
        <v>9.1332540413270671</v>
      </c>
      <c r="AX35" s="23">
        <f t="shared" si="6"/>
        <v>33.334878045607724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470.05274465984064</v>
      </c>
      <c r="BI35" s="62">
        <f ca="1">AVERAGE(OFFSET($BH$3,0,0,'Données projet'!$E$11+1,1))-AVERAGE(OFFSET($H$3,0,0,'Données projet'!$E$11+1,1))</f>
        <v>472.83070477639035</v>
      </c>
      <c r="BJ35" s="62">
        <f t="shared" si="38"/>
        <v>297.32483725004136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8.6379231945936112</v>
      </c>
      <c r="BR35" s="23">
        <f>EXP(-LN(2)/2)*BR34+(1-EXP(-LN(2)/2))/(LN(2)/2)*BL35*BO35*VLOOKUP('Données projet'!$B$11,Paramètres!$A$1:$I$89,3,0)*0.475*44/12</f>
        <v>7.4548873222788181</v>
      </c>
      <c r="BS35" s="24">
        <f t="shared" si="9"/>
        <v>16.092810516872429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</v>
      </c>
      <c r="BY35" s="13">
        <f>IF('Données projet'!$A$114&gt;35,BY34+BX35-CG34,IF(A35&lt;'Données projet'!$A$114,$BV$205^A35,IF(A35='Données projet'!$A$114,'Données projet'!$B$114,BY34+BX35-CG34)))</f>
        <v>256.99999999999994</v>
      </c>
      <c r="BZ35" s="14">
        <f>BY35*VLOOKUP('Données projet'!$B$12,Paramètres!$A$1:$I$89,3,0)*VLOOKUP('Données projet'!$B$12,Paramètres!$A$1:$I$89,5,0)</f>
        <v>140.32199999999997</v>
      </c>
      <c r="CA35" s="14">
        <f t="shared" si="39"/>
        <v>36.370761307502868</v>
      </c>
      <c r="CB35" s="22">
        <f t="shared" si="10"/>
        <v>307.73989261056744</v>
      </c>
      <c r="CC35" s="62">
        <f t="shared" si="11"/>
        <v>548.71239509109273</v>
      </c>
      <c r="CD35" s="62">
        <f ca="1">AVERAGE(OFFSET($CC$3,0,0,'Données projet'!$E$12+1,1))-AVERAGE(OFFSET($H$3,0,0,'Données projet'!$E$12+1,1))</f>
        <v>262.64209686767367</v>
      </c>
      <c r="CE35" s="62">
        <f t="shared" si="40"/>
        <v>381.0342365342517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5.5879750871808369</v>
      </c>
      <c r="CL35" s="23">
        <f>EXP(-LN(2)/25)*CL34+(1-EXP(-LN(2)/25))/(LN(2)/25)*Calculateur!CG35*Calculateur!CI35*VLOOKUP('Données projet'!$B$12,Paramètres!$A$1:$I$89,3,0)*0.475*44/12</f>
        <v>12.335473513611293</v>
      </c>
      <c r="CM35" s="23">
        <f>EXP(-LN(2)/2)*CM34+(1-EXP(-LN(2)/2))/(LN(2)/2)*CG35*CJ35*VLOOKUP('Données projet'!$B$12,Paramètres!$A$1:$I$89,3,0)*0.475*44/12</f>
        <v>6.1860072034117985</v>
      </c>
      <c r="CN35" s="24">
        <f t="shared" si="12"/>
        <v>24.109455804203925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110.19999999999997</v>
      </c>
      <c r="CU35" s="18">
        <f>CT35*VLOOKUP('Données projet'!$B$13,Paramètres!$A$1:$I$89,3,0)*VLOOKUP('Données projet'!$B$13,Paramètres!$A$1:$I$89,5,0)</f>
        <v>80.798639999999978</v>
      </c>
      <c r="CV35" s="14">
        <f t="shared" si="41"/>
        <v>22.332342724937131</v>
      </c>
      <c r="CW35" s="22">
        <f t="shared" si="13"/>
        <v>179.61979491259879</v>
      </c>
      <c r="CX35" s="62">
        <f t="shared" si="14"/>
        <v>420.59229739312411</v>
      </c>
      <c r="CY35" s="62">
        <f ca="1">AVERAGE(OFFSET($CX$3,0,0,'Données projet'!$E$13+1,1))-AVERAGE(OFFSET($H$3,0,0,'Données projet'!$E$13+1,1))</f>
        <v>250.11765444522138</v>
      </c>
      <c r="CZ35" s="62">
        <f t="shared" si="42"/>
        <v>241.42920565698913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5.2497722863693914</v>
      </c>
      <c r="DH35" s="23">
        <f>EXP(-LN(2)/2)*DH34+(1-EXP(-LN(2)/2))/(LN(2)/2)*DB35*DE35*VLOOKUP('Données projet'!$B$13,Paramètres!$A$1:$I$89,3,0)*0.475*44/12</f>
        <v>4.5307720363849704</v>
      </c>
      <c r="DI35" s="24">
        <f t="shared" si="15"/>
        <v>9.7805443227543627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28.699999999999989</v>
      </c>
      <c r="N36" s="14">
        <f>IF('Données projet'!$A$36&gt;35,N35+M36-V35,IF(A36&lt;'Données projet'!$A$36,$K$205^A36,IF(A36='Données projet'!$A$36,'Données projet'!$B$36,N35+M36-V35)))</f>
        <v>413.16999999999996</v>
      </c>
      <c r="O36" s="14">
        <f>N36*VLOOKUP('Données projet'!$B$9,Paramètres!$A$1:$I$89,3,0)*VLOOKUP('Données projet'!$B$9,Paramètres!$A$1:$I$89,5,0)</f>
        <v>230.96203</v>
      </c>
      <c r="P36" s="14">
        <f t="shared" si="33"/>
        <v>56.49064435022833</v>
      </c>
      <c r="Q36" s="22">
        <f t="shared" si="53"/>
        <v>500.64674115998105</v>
      </c>
      <c r="R36" s="62">
        <f t="shared" si="0"/>
        <v>742.52758699452181</v>
      </c>
      <c r="S36" s="62">
        <f ca="1">AVERAGE(OFFSET($R$3,0,0,'Données projet'!$E$9+1,1))-AVERAGE(OFFSET($H$3,0,0,'Données projet'!$E$9+1,1))</f>
        <v>419.0448820879102</v>
      </c>
      <c r="T36" s="62">
        <f t="shared" si="34"/>
        <v>553.33038335026379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14.201339832039437</v>
      </c>
      <c r="AA36" s="23">
        <f>EXP(-LN(2)/25)*AA35+(1-EXP(-LN(2)/25))/(LN(2)/25)*Calculateur!V36*Calculateur!X36*VLOOKUP('Données projet'!$B$9,Paramètres!$A$1:$I$89,3,0)*0.475*44/12</f>
        <v>21.603216261937636</v>
      </c>
      <c r="AB36" s="23">
        <f>EXP(-LN(2)/2)*AB35+(1-EXP(-LN(2)/2))/(LN(2)/2)*V36*Y36*VLOOKUP('Données projet'!$B$9,Paramètres!$A$1:$I$89,3,0)*0.475*44/12</f>
        <v>6.3374462951769495</v>
      </c>
      <c r="AC36" s="24">
        <f t="shared" si="3"/>
        <v>42.142002389154015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12.2</v>
      </c>
      <c r="AI36" s="14">
        <f>IF('Données projet'!$A$62&gt;35,AI35+AH36-AQ35,IF(A36&lt;'Données projet'!$A$62,$AF$205^A36,IF(A36='Données projet'!$A$62,'Données projet'!$B$62,AI35+AH36-AQ35)))</f>
        <v>176.6</v>
      </c>
      <c r="AJ36" s="14">
        <f>AI36*VLOOKUP('Données projet'!$B$10,Paramètres!$A$1:$I$89,3,0)*VLOOKUP('Données projet'!$B$10,Paramètres!$A$1:$I$89,5,0)</f>
        <v>154.27776</v>
      </c>
      <c r="AK36" s="14">
        <f t="shared" si="35"/>
        <v>39.549125277353333</v>
      </c>
      <c r="AL36" s="22">
        <f t="shared" si="4"/>
        <v>337.58182519139035</v>
      </c>
      <c r="AM36" s="62">
        <f t="shared" si="5"/>
        <v>579.46267102593106</v>
      </c>
      <c r="AN36" s="62">
        <f ca="1">AVERAGE(OFFSET($AM$3,0,0,'Données projet'!$E$10+1,1))-AVERAGE(OFFSET($H$3,0,0,'Données projet'!$E$10+1,1))</f>
        <v>341.62910675299065</v>
      </c>
      <c r="AO36" s="62">
        <f t="shared" si="36"/>
        <v>407.15938341104709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23.539829323175514</v>
      </c>
      <c r="AW36" s="23">
        <f>EXP(-LN(2)/2)*AW35+(1-EXP(-LN(2)/2))/(LN(2)/2)*AQ36*AT36*VLOOKUP('Données projet'!$B$10,Paramètres!$A$1:$I$89,3,0)*0.475*44/12</f>
        <v>6.4581858669218102</v>
      </c>
      <c r="AX36" s="23">
        <f t="shared" si="6"/>
        <v>29.998015190097323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491.99651561325675</v>
      </c>
      <c r="BI36" s="62">
        <f ca="1">AVERAGE(OFFSET($BH$3,0,0,'Données projet'!$E$11+1,1))-AVERAGE(OFFSET($H$3,0,0,'Données projet'!$E$11+1,1))</f>
        <v>472.83070477639035</v>
      </c>
      <c r="BJ36" s="62">
        <f t="shared" si="38"/>
        <v>297.32483725004136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8.4017187305888097</v>
      </c>
      <c r="BR36" s="23">
        <f>EXP(-LN(2)/2)*BR35+(1-EXP(-LN(2)/2))/(LN(2)/2)*BL36*BO36*VLOOKUP('Données projet'!$B$11,Paramètres!$A$1:$I$89,3,0)*0.475*44/12</f>
        <v>5.2714013785649758</v>
      </c>
      <c r="BS36" s="24">
        <f t="shared" si="9"/>
        <v>13.673120109153786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</v>
      </c>
      <c r="BY36" s="13">
        <f>IF('Données projet'!$A$114&gt;35,BY35+BX36-CG35,IF(A36&lt;'Données projet'!$A$114,$BV$205^A36,IF(A36='Données projet'!$A$114,'Données projet'!$B$114,BY35+BX36-CG35)))</f>
        <v>267.99999999999994</v>
      </c>
      <c r="BZ36" s="14">
        <f>BY36*VLOOKUP('Données projet'!$B$12,Paramètres!$A$1:$I$89,3,0)*VLOOKUP('Données projet'!$B$12,Paramètres!$A$1:$I$89,5,0)</f>
        <v>146.32799999999997</v>
      </c>
      <c r="CA36" s="14">
        <f t="shared" si="39"/>
        <v>37.74291056436379</v>
      </c>
      <c r="CB36" s="22">
        <f t="shared" si="10"/>
        <v>320.59016923293353</v>
      </c>
      <c r="CC36" s="62">
        <f t="shared" si="11"/>
        <v>562.47101506747424</v>
      </c>
      <c r="CD36" s="62">
        <f ca="1">AVERAGE(OFFSET($CC$3,0,0,'Données projet'!$E$12+1,1))-AVERAGE(OFFSET($H$3,0,0,'Données projet'!$E$12+1,1))</f>
        <v>262.64209686767367</v>
      </c>
      <c r="CE36" s="62">
        <f t="shared" si="40"/>
        <v>381.0342365342517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5.4783983040494793</v>
      </c>
      <c r="CL36" s="23">
        <f>EXP(-LN(2)/25)*CL35+(1-EXP(-LN(2)/25))/(LN(2)/25)*Calculateur!CG36*Calculateur!CI36*VLOOKUP('Données projet'!$B$12,Paramètres!$A$1:$I$89,3,0)*0.475*44/12</f>
        <v>11.998159341687233</v>
      </c>
      <c r="CM36" s="23">
        <f>EXP(-LN(2)/2)*CM35+(1-EXP(-LN(2)/2))/(LN(2)/2)*CG36*CJ36*VLOOKUP('Données projet'!$B$12,Paramètres!$A$1:$I$89,3,0)*0.475*44/12</f>
        <v>4.3741676420013134</v>
      </c>
      <c r="CN36" s="24">
        <f t="shared" si="12"/>
        <v>21.850725287738026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118.79999999999997</v>
      </c>
      <c r="CU36" s="18">
        <f>CT36*VLOOKUP('Données projet'!$B$13,Paramètres!$A$1:$I$89,3,0)*VLOOKUP('Données projet'!$B$13,Paramètres!$A$1:$I$89,5,0)</f>
        <v>87.104159999999979</v>
      </c>
      <c r="CV36" s="14">
        <f t="shared" si="41"/>
        <v>23.865494318543401</v>
      </c>
      <c r="CW36" s="22">
        <f t="shared" si="13"/>
        <v>193.27214793812971</v>
      </c>
      <c r="CX36" s="62">
        <f t="shared" si="14"/>
        <v>435.15299377267047</v>
      </c>
      <c r="CY36" s="62">
        <f ca="1">AVERAGE(OFFSET($CX$3,0,0,'Données projet'!$E$13+1,1))-AVERAGE(OFFSET($H$3,0,0,'Données projet'!$E$13+1,1))</f>
        <v>250.11765444522138</v>
      </c>
      <c r="CZ36" s="62">
        <f t="shared" si="42"/>
        <v>241.42920565698913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5.1062169871250944</v>
      </c>
      <c r="DH36" s="23">
        <f>EXP(-LN(2)/2)*DH35+(1-EXP(-LN(2)/2))/(LN(2)/2)*DB36*DE36*VLOOKUP('Données projet'!$B$13,Paramètres!$A$1:$I$89,3,0)*0.475*44/12</f>
        <v>3.203739630938196</v>
      </c>
      <c r="DI36" s="24">
        <f t="shared" si="15"/>
        <v>8.3099566180632909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441.87</v>
      </c>
      <c r="L37" s="13">
        <f>VLOOKUP(A37,'Données projet'!$A$35:$I$55,9,0)</f>
        <v>28.699999999999989</v>
      </c>
      <c r="M37" s="13">
        <f t="array" ref="M37">INDEX(L:L,MIN(IF(ISNUMBER(L37:L233),ROW(L37:L233),"")))</f>
        <v>28.699999999999989</v>
      </c>
      <c r="N37" s="14">
        <f>IF('Données projet'!$A$36&gt;35,N36+M37-V36,IF(A37&lt;'Données projet'!$A$36,$K$205^A37,IF(A37='Données projet'!$A$36,'Données projet'!$B$36,N36+M37-V36)))</f>
        <v>441.86999999999995</v>
      </c>
      <c r="O37" s="14">
        <f>N37*VLOOKUP('Données projet'!$B$9,Paramètres!$A$1:$I$89,3,0)*VLOOKUP('Données projet'!$B$9,Paramètres!$A$1:$I$89,5,0)</f>
        <v>247.00532999999996</v>
      </c>
      <c r="P37" s="14">
        <f t="shared" si="33"/>
        <v>59.944228275257743</v>
      </c>
      <c r="Q37" s="22">
        <f t="shared" si="53"/>
        <v>534.60381399607388</v>
      </c>
      <c r="R37" s="62">
        <f t="shared" si="0"/>
        <v>777.37724545818946</v>
      </c>
      <c r="S37" s="62">
        <f ca="1">AVERAGE(OFFSET($R$3,0,0,'Données projet'!$E$9+1,1))-AVERAGE(OFFSET($H$3,0,0,'Données projet'!$E$9+1,1))</f>
        <v>419.0448820879102</v>
      </c>
      <c r="T37" s="62">
        <f t="shared" si="34"/>
        <v>553.33038335026379</v>
      </c>
      <c r="U37" s="16">
        <f>IF(ISNA(VLOOKUP(A37,'Données projet'!$A$35:$I$55,3,0)),0,VLOOKUP(A37,'Données projet'!$A$35:$I$55,3,0))</f>
        <v>10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13.922860219895144</v>
      </c>
      <c r="AA37" s="23">
        <f>EXP(-LN(2)/25)*AA36+(1-EXP(-LN(2)/25))/(LN(2)/25)*Calculateur!V37*Calculateur!X37*VLOOKUP('Données projet'!$B$9,Paramètres!$A$1:$I$89,3,0)*0.475*44/12</f>
        <v>21.012475177191181</v>
      </c>
      <c r="AB37" s="23">
        <f>EXP(-LN(2)/2)*AB36+(1-EXP(-LN(2)/2))/(LN(2)/2)*V37*Y37*VLOOKUP('Données projet'!$B$9,Paramètres!$A$1:$I$89,3,0)*0.475*44/12</f>
        <v>4.481251250725184</v>
      </c>
      <c r="AC37" s="24">
        <f t="shared" si="3"/>
        <v>39.416586647811513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12.2</v>
      </c>
      <c r="AI37" s="14">
        <f>IF('Données projet'!$A$62&gt;35,AI36+AH37-AQ36,IF(A37&lt;'Données projet'!$A$62,$AF$205^A37,IF(A37='Données projet'!$A$62,'Données projet'!$B$62,AI36+AH37-AQ36)))</f>
        <v>188.79999999999998</v>
      </c>
      <c r="AJ37" s="14">
        <f>AI37*VLOOKUP('Données projet'!$B$10,Paramètres!$A$1:$I$89,3,0)*VLOOKUP('Données projet'!$B$10,Paramètres!$A$1:$I$89,5,0)</f>
        <v>164.93567999999999</v>
      </c>
      <c r="AK37" s="14">
        <f t="shared" si="35"/>
        <v>41.953795695589498</v>
      </c>
      <c r="AL37" s="22">
        <f t="shared" si="4"/>
        <v>360.33250350315166</v>
      </c>
      <c r="AM37" s="62">
        <f t="shared" si="5"/>
        <v>603.10593496526724</v>
      </c>
      <c r="AN37" s="62">
        <f ca="1">AVERAGE(OFFSET($AM$3,0,0,'Données projet'!$E$10+1,1))-AVERAGE(OFFSET($H$3,0,0,'Données projet'!$E$10+1,1))</f>
        <v>341.62910675299065</v>
      </c>
      <c r="AO37" s="62">
        <f t="shared" si="36"/>
        <v>407.15938341104709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22.896131452427458</v>
      </c>
      <c r="AW37" s="23">
        <f>EXP(-LN(2)/2)*AW36+(1-EXP(-LN(2)/2))/(LN(2)/2)*AQ37*AT37*VLOOKUP('Données projet'!$B$10,Paramètres!$A$1:$I$89,3,0)*0.475*44/12</f>
        <v>4.5666270206635344</v>
      </c>
      <c r="AX37" s="23">
        <f t="shared" si="6"/>
        <v>27.462758473090993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513.88441634977562</v>
      </c>
      <c r="BI37" s="62">
        <f ca="1">AVERAGE(OFFSET($BH$3,0,0,'Données projet'!$E$11+1,1))-AVERAGE(OFFSET($H$3,0,0,'Données projet'!$E$11+1,1))</f>
        <v>472.83070477639035</v>
      </c>
      <c r="BJ37" s="62">
        <f t="shared" si="38"/>
        <v>297.32483725004136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8.171973290073673</v>
      </c>
      <c r="BR37" s="23">
        <f>EXP(-LN(2)/2)*BR36+(1-EXP(-LN(2)/2))/(LN(2)/2)*BL37*BO37*VLOOKUP('Données projet'!$B$11,Paramètres!$A$1:$I$89,3,0)*0.475*44/12</f>
        <v>3.7274436611394095</v>
      </c>
      <c r="BS37" s="24">
        <f t="shared" si="9"/>
        <v>11.899416951213082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</v>
      </c>
      <c r="BY37" s="13">
        <f>IF('Données projet'!$A$114&gt;35,BY36+BX37-CG36,IF(A37&lt;'Données projet'!$A$114,$BV$205^A37,IF(A37='Données projet'!$A$114,'Données projet'!$B$114,BY36+BX37-CG36)))</f>
        <v>278.99999999999994</v>
      </c>
      <c r="BZ37" s="14">
        <f>BY37*VLOOKUP('Données projet'!$B$12,Paramètres!$A$1:$I$89,3,0)*VLOOKUP('Données projet'!$B$12,Paramètres!$A$1:$I$89,5,0)</f>
        <v>152.33399999999997</v>
      </c>
      <c r="CA37" s="14">
        <f t="shared" si="39"/>
        <v>39.108517919805784</v>
      </c>
      <c r="CB37" s="22">
        <f t="shared" si="10"/>
        <v>333.42905204366167</v>
      </c>
      <c r="CC37" s="62">
        <f t="shared" si="11"/>
        <v>576.20248350577731</v>
      </c>
      <c r="CD37" s="62">
        <f ca="1">AVERAGE(OFFSET($CC$3,0,0,'Données projet'!$E$12+1,1))-AVERAGE(OFFSET($H$3,0,0,'Données projet'!$E$12+1,1))</f>
        <v>262.64209686767367</v>
      </c>
      <c r="CE37" s="62">
        <f t="shared" si="40"/>
        <v>381.0342365342517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5.3709702548000893</v>
      </c>
      <c r="CL37" s="23">
        <f>EXP(-LN(2)/25)*CL36+(1-EXP(-LN(2)/25))/(LN(2)/25)*Calculateur!CG37*Calculateur!CI37*VLOOKUP('Données projet'!$B$12,Paramètres!$A$1:$I$89,3,0)*0.475*44/12</f>
        <v>11.670069043533017</v>
      </c>
      <c r="CM37" s="23">
        <f>EXP(-LN(2)/2)*CM36+(1-EXP(-LN(2)/2))/(LN(2)/2)*CG37*CJ37*VLOOKUP('Données projet'!$B$12,Paramètres!$A$1:$I$89,3,0)*0.475*44/12</f>
        <v>3.0930036017058993</v>
      </c>
      <c r="CN37" s="24">
        <f t="shared" si="12"/>
        <v>20.134042900039006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127.39999999999996</v>
      </c>
      <c r="CU37" s="18">
        <f>CT37*VLOOKUP('Données projet'!$B$13,Paramètres!$A$1:$I$89,3,0)*VLOOKUP('Données projet'!$B$13,Paramètres!$A$1:$I$89,5,0)</f>
        <v>93.409679999999966</v>
      </c>
      <c r="CV37" s="14">
        <f t="shared" si="41"/>
        <v>25.385769584238624</v>
      </c>
      <c r="CW37" s="22">
        <f t="shared" si="13"/>
        <v>206.90207469254884</v>
      </c>
      <c r="CX37" s="62">
        <f t="shared" si="14"/>
        <v>449.67550615466439</v>
      </c>
      <c r="CY37" s="62">
        <f ca="1">AVERAGE(OFFSET($CX$3,0,0,'Données projet'!$E$13+1,1))-AVERAGE(OFFSET($H$3,0,0,'Données projet'!$E$13+1,1))</f>
        <v>250.11765444522138</v>
      </c>
      <c r="CZ37" s="62">
        <f t="shared" si="42"/>
        <v>241.42920565698913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4.9665872150878778</v>
      </c>
      <c r="DH37" s="23">
        <f>EXP(-LN(2)/2)*DH36+(1-EXP(-LN(2)/2))/(LN(2)/2)*DB37*DE37*VLOOKUP('Données projet'!$B$13,Paramètres!$A$1:$I$89,3,0)*0.475*44/12</f>
        <v>2.2653860181924856</v>
      </c>
      <c r="DI37" s="24">
        <f t="shared" si="15"/>
        <v>7.2319732332803639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29.77000000000001</v>
      </c>
      <c r="N38" s="14">
        <f>IF('Données projet'!$A$36&gt;35,N37+M38-V37,IF(A38&lt;'Données projet'!$A$36,$K$205^A38,IF(A38='Données projet'!$A$36,'Données projet'!$B$36,N37+M38-V37)))</f>
        <v>471.64</v>
      </c>
      <c r="O38" s="14">
        <f>N38*VLOOKUP('Données projet'!$B$9,Paramètres!$A$1:$I$89,3,0)*VLOOKUP('Données projet'!$B$9,Paramètres!$A$1:$I$89,5,0)</f>
        <v>263.64675999999997</v>
      </c>
      <c r="P38" s="14">
        <f t="shared" si="33"/>
        <v>63.49908855254693</v>
      </c>
      <c r="Q38" s="22">
        <f t="shared" si="53"/>
        <v>569.77901956235246</v>
      </c>
      <c r="R38" s="62">
        <f t="shared" si="0"/>
        <v>813.42955228692699</v>
      </c>
      <c r="S38" s="62">
        <f ca="1">AVERAGE(OFFSET($R$3,0,0,'Données projet'!$E$9+1,1))-AVERAGE(OFFSET($H$3,0,0,'Données projet'!$E$9+1,1))</f>
        <v>419.0448820879102</v>
      </c>
      <c r="T38" s="62">
        <f t="shared" si="34"/>
        <v>553.33038335026379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13.649841423089208</v>
      </c>
      <c r="AA38" s="23">
        <f>EXP(-LN(2)/25)*AA37+(1-EXP(-LN(2)/25))/(LN(2)/25)*Calculateur!V38*Calculateur!X38*VLOOKUP('Données projet'!$B$9,Paramètres!$A$1:$I$89,3,0)*0.475*44/12</f>
        <v>20.437887938472844</v>
      </c>
      <c r="AB38" s="23">
        <f>EXP(-LN(2)/2)*AB37+(1-EXP(-LN(2)/2))/(LN(2)/2)*V38*Y38*VLOOKUP('Données projet'!$B$9,Paramètres!$A$1:$I$89,3,0)*0.475*44/12</f>
        <v>3.1687231475884752</v>
      </c>
      <c r="AC38" s="24">
        <f t="shared" si="3"/>
        <v>37.256452509150527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201</v>
      </c>
      <c r="AG38" s="13">
        <f>VLOOKUP(A38,'Données projet'!$A$61:$I$81,9,0)</f>
        <v>12.2</v>
      </c>
      <c r="AH38" s="13">
        <f t="array" ref="AH38">INDEX(AG:AG,MIN(IF(ISNUMBER(AG38:AG234),ROW(AG38:AG234),"")))</f>
        <v>12.2</v>
      </c>
      <c r="AI38" s="14">
        <f>IF('Données projet'!$A$62&gt;35,AI37+AH38-AQ37,IF(A38&lt;'Données projet'!$A$62,$AF$205^A38,IF(A38='Données projet'!$A$62,'Données projet'!$B$62,AI37+AH38-AQ37)))</f>
        <v>200.99999999999997</v>
      </c>
      <c r="AJ38" s="14">
        <f>AI38*VLOOKUP('Données projet'!$B$10,Paramètres!$A$1:$I$89,3,0)*VLOOKUP('Données projet'!$B$10,Paramètres!$A$1:$I$89,5,0)</f>
        <v>175.59359999999998</v>
      </c>
      <c r="AK38" s="14">
        <f t="shared" si="35"/>
        <v>44.340433728638573</v>
      </c>
      <c r="AL38" s="22">
        <f t="shared" si="4"/>
        <v>383.05177541071208</v>
      </c>
      <c r="AM38" s="62">
        <f t="shared" si="5"/>
        <v>626.70230813528656</v>
      </c>
      <c r="AN38" s="62">
        <f ca="1">AVERAGE(OFFSET($AM$3,0,0,'Données projet'!$E$10+1,1))-AVERAGE(OFFSET($H$3,0,0,'Données projet'!$E$10+1,1))</f>
        <v>341.62910675299065</v>
      </c>
      <c r="AO38" s="62">
        <f t="shared" si="36"/>
        <v>407.15938341104709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22.270035533805604</v>
      </c>
      <c r="AW38" s="23">
        <f>EXP(-LN(2)/2)*AW37+(1-EXP(-LN(2)/2))/(LN(2)/2)*AQ38*AT38*VLOOKUP('Données projet'!$B$10,Paramètres!$A$1:$I$89,3,0)*0.475*44/12</f>
        <v>3.2290929334609055</v>
      </c>
      <c r="AX38" s="23">
        <f t="shared" si="6"/>
        <v>25.499128467266509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535.72026258017763</v>
      </c>
      <c r="BI38" s="62">
        <f ca="1">AVERAGE(OFFSET($BH$3,0,0,'Données projet'!$E$11+1,1))-AVERAGE(OFFSET($H$3,0,0,'Données projet'!$E$11+1,1))</f>
        <v>472.83070477639035</v>
      </c>
      <c r="BJ38" s="62">
        <f t="shared" si="38"/>
        <v>297.32483725004136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7.9485102507112106</v>
      </c>
      <c r="BR38" s="23">
        <f>EXP(-LN(2)/2)*BR37+(1-EXP(-LN(2)/2))/(LN(2)/2)*BL38*BO38*VLOOKUP('Données projet'!$B$11,Paramètres!$A$1:$I$89,3,0)*0.475*44/12</f>
        <v>2.6357006892824884</v>
      </c>
      <c r="BS38" s="24">
        <f t="shared" si="9"/>
        <v>10.584210939993699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290</v>
      </c>
      <c r="BW38" s="13">
        <f>VLOOKUP(A38,'Données projet'!$A$113:$I$133,9,0)</f>
        <v>11</v>
      </c>
      <c r="BX38" s="13">
        <f t="array" ref="BX38">INDEX(BW:BW,MIN(IF(ISNUMBER(BW38:BW234),ROW(BW38:BW234),"")))</f>
        <v>11</v>
      </c>
      <c r="BY38" s="13">
        <f>IF('Données projet'!$A$114&gt;35,BY37+BX38-CG37,IF(A38&lt;'Données projet'!$A$114,$BV$205^A38,IF(A38='Données projet'!$A$114,'Données projet'!$B$114,BY37+BX38-CG37)))</f>
        <v>289.99999999999994</v>
      </c>
      <c r="BZ38" s="14">
        <f>BY38*VLOOKUP('Données projet'!$B$12,Paramètres!$A$1:$I$89,3,0)*VLOOKUP('Données projet'!$B$12,Paramètres!$A$1:$I$89,5,0)</f>
        <v>158.33999999999997</v>
      </c>
      <c r="CA38" s="14">
        <f t="shared" si="39"/>
        <v>40.467870812652819</v>
      </c>
      <c r="CB38" s="22">
        <f t="shared" si="10"/>
        <v>346.25704166537025</v>
      </c>
      <c r="CC38" s="62">
        <f t="shared" si="11"/>
        <v>589.90757438994478</v>
      </c>
      <c r="CD38" s="62">
        <f ca="1">AVERAGE(OFFSET($CC$3,0,0,'Données projet'!$E$12+1,1))-AVERAGE(OFFSET($H$3,0,0,'Données projet'!$E$12+1,1))</f>
        <v>262.64209686767367</v>
      </c>
      <c r="CE38" s="62">
        <f t="shared" si="40"/>
        <v>381.0342365342517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29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5.2656488040718399</v>
      </c>
      <c r="CL38" s="23">
        <f>EXP(-LN(2)/25)*CL37+(1-EXP(-LN(2)/25))/(LN(2)/25)*Calculateur!CG38*Calculateur!CI38*VLOOKUP('Données projet'!$B$12,Paramètres!$A$1:$I$89,3,0)*0.475*44/12</f>
        <v>11.350950391835347</v>
      </c>
      <c r="CM38" s="23">
        <f>EXP(-LN(2)/2)*CM37+(1-EXP(-LN(2)/2))/(LN(2)/2)*CG38*CJ38*VLOOKUP('Données projet'!$B$12,Paramètres!$A$1:$I$89,3,0)*0.475*44/12</f>
        <v>2.1870838210006567</v>
      </c>
      <c r="CN38" s="24">
        <f t="shared" si="12"/>
        <v>18.803683016907843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136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135.99999999999997</v>
      </c>
      <c r="CU38" s="18">
        <f>CT38*VLOOKUP('Données projet'!$B$13,Paramètres!$A$1:$I$89,3,0)*VLOOKUP('Données projet'!$B$13,Paramètres!$A$1:$I$89,5,0)</f>
        <v>99.715199999999967</v>
      </c>
      <c r="CV38" s="14">
        <f t="shared" si="41"/>
        <v>26.894136617382159</v>
      </c>
      <c r="CW38" s="22">
        <f t="shared" si="13"/>
        <v>220.51126127527388</v>
      </c>
      <c r="CX38" s="62">
        <f t="shared" si="14"/>
        <v>464.16179399984838</v>
      </c>
      <c r="CY38" s="62">
        <f ca="1">AVERAGE(OFFSET($CX$3,0,0,'Données projet'!$E$13+1,1))-AVERAGE(OFFSET($H$3,0,0,'Données projet'!$E$13+1,1))</f>
        <v>250.11765444522138</v>
      </c>
      <c r="CZ38" s="62">
        <f t="shared" si="42"/>
        <v>241.42920565698913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0.215</v>
      </c>
      <c r="DE38" s="17">
        <f>IF(ISNA(VLOOKUP(A38,'Données projet'!$A$139:$I$159,7,0)),0%,VLOOKUP(A38,'Données projet'!$A$139:$I$159,7,0))</f>
        <v>0.5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8.4759135293011951</v>
      </c>
      <c r="DH38" s="23">
        <f>EXP(-LN(2)/2)*DH37+(1-EXP(-LN(2)/2))/(LN(2)/2)*DB38*DE38*VLOOKUP('Données projet'!$B$13,Paramètres!$A$1:$I$89,3,0)*0.475*44/12</f>
        <v>8.8657061202501382</v>
      </c>
      <c r="DI38" s="24">
        <f t="shared" si="15"/>
        <v>17.341619649551333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501.41</v>
      </c>
      <c r="L39" s="13">
        <f>VLOOKUP(A39,'Données projet'!$A$35:$I$55,9,0)</f>
        <v>29.77000000000001</v>
      </c>
      <c r="M39" s="13">
        <f t="array" ref="M39">INDEX(L:L,MIN(IF(ISNUMBER(L39:L235),ROW(L39:L235),"")))</f>
        <v>29.77000000000001</v>
      </c>
      <c r="N39" s="14">
        <f>IF('Données projet'!$A$36&gt;35,N38+M39-V38,IF(A39&lt;'Données projet'!$A$36,$K$205^A39,IF(A39='Données projet'!$A$36,'Données projet'!$B$36,N38+M39-V38)))</f>
        <v>501.40999999999997</v>
      </c>
      <c r="O39" s="14">
        <f>N39*VLOOKUP('Données projet'!$B$9,Paramètres!$A$1:$I$89,3,0)*VLOOKUP('Données projet'!$B$9,Paramètres!$A$1:$I$89,5,0)</f>
        <v>280.28818999999999</v>
      </c>
      <c r="P39" s="14">
        <f t="shared" si="33"/>
        <v>67.027908065763796</v>
      </c>
      <c r="Q39" s="22">
        <f t="shared" si="53"/>
        <v>604.90887079787183</v>
      </c>
      <c r="R39" s="62">
        <f t="shared" si="0"/>
        <v>849.42128903890625</v>
      </c>
      <c r="S39" s="62">
        <f ca="1">AVERAGE(OFFSET($R$3,0,0,'Données projet'!$E$9+1,1))-AVERAGE(OFFSET($H$3,0,0,'Données projet'!$E$9+1,1))</f>
        <v>419.0448820879102</v>
      </c>
      <c r="T39" s="62">
        <f t="shared" si="34"/>
        <v>553.33038335026379</v>
      </c>
      <c r="U39" s="16">
        <f>IF(ISNA(VLOOKUP(A39,'Données projet'!$A$35:$I$55,3,0)),0,VLOOKUP(A39,'Données projet'!$A$35:$I$55,3,0))</f>
        <v>11</v>
      </c>
      <c r="V39" s="16">
        <f>IF(ISNA(VLOOKUP(A39,'Données projet'!$A$35:$I$55,4,0)),0,VLOOKUP(A39,'Données projet'!$A$35:$I$55,4,0))</f>
        <v>85.88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13.382176358363614</v>
      </c>
      <c r="AA39" s="23">
        <f>EXP(-LN(2)/25)*AA38+(1-EXP(-LN(2)/25))/(LN(2)/25)*Calculateur!V39*Calculateur!X39*VLOOKUP('Données projet'!$B$9,Paramètres!$A$1:$I$89,3,0)*0.475*44/12</f>
        <v>19.879012818013489</v>
      </c>
      <c r="AB39" s="23">
        <f>EXP(-LN(2)/2)*AB38+(1-EXP(-LN(2)/2))/(LN(2)/2)*V39*Y39*VLOOKUP('Données projet'!$B$9,Paramètres!$A$1:$I$89,3,0)*0.475*44/12</f>
        <v>2.240625625362592</v>
      </c>
      <c r="AC39" s="24">
        <f t="shared" si="3"/>
        <v>35.501814801739691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10.8</v>
      </c>
      <c r="AI39" s="14">
        <f>IF('Données projet'!$A$62&gt;35,AI38+AH39-AQ38,IF(A39&lt;'Données projet'!$A$62,$AF$205^A39,IF(A39='Données projet'!$A$62,'Données projet'!$B$62,AI38+AH39-AQ38)))</f>
        <v>169.79999999999998</v>
      </c>
      <c r="AJ39" s="14">
        <f>AI39*VLOOKUP('Données projet'!$B$10,Paramètres!$A$1:$I$89,3,0)*VLOOKUP('Données projet'!$B$10,Paramètres!$A$1:$I$89,5,0)</f>
        <v>148.33727999999999</v>
      </c>
      <c r="AK39" s="14">
        <f t="shared" si="35"/>
        <v>38.200481752654802</v>
      </c>
      <c r="AL39" s="22">
        <f t="shared" si="4"/>
        <v>324.88660171920714</v>
      </c>
      <c r="AM39" s="62">
        <f t="shared" si="5"/>
        <v>569.3990199602415</v>
      </c>
      <c r="AN39" s="62">
        <f ca="1">AVERAGE(OFFSET($AM$3,0,0,'Données projet'!$E$10+1,1))-AVERAGE(OFFSET($H$3,0,0,'Données projet'!$E$10+1,1))</f>
        <v>341.62910675299065</v>
      </c>
      <c r="AO39" s="62">
        <f t="shared" si="36"/>
        <v>407.15938341104709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21.661060241003419</v>
      </c>
      <c r="AW39" s="23">
        <f>EXP(-LN(2)/2)*AW38+(1-EXP(-LN(2)/2))/(LN(2)/2)*AQ39*AT39*VLOOKUP('Données projet'!$B$10,Paramètres!$A$1:$I$89,3,0)*0.475*44/12</f>
        <v>2.2833135103317677</v>
      </c>
      <c r="AX39" s="23">
        <f t="shared" si="6"/>
        <v>23.944373751335185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503.96406639900437</v>
      </c>
      <c r="BI39" s="62">
        <f ca="1">AVERAGE(OFFSET($BH$3,0,0,'Données projet'!$E$11+1,1))-AVERAGE(OFFSET($H$3,0,0,'Données projet'!$E$11+1,1))</f>
        <v>472.83070477639035</v>
      </c>
      <c r="BJ39" s="62">
        <f t="shared" si="38"/>
        <v>297.32483725004136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7.731157819911525</v>
      </c>
      <c r="BR39" s="23">
        <f>EXP(-LN(2)/2)*BR38+(1-EXP(-LN(2)/2))/(LN(2)/2)*BL39*BO39*VLOOKUP('Données projet'!$B$11,Paramètres!$A$1:$I$89,3,0)*0.475*44/12</f>
        <v>1.8637218305697052</v>
      </c>
      <c r="BS39" s="24">
        <f t="shared" si="9"/>
        <v>9.5948796504812304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8.1999999999999993</v>
      </c>
      <c r="BY39" s="13">
        <f>IF('Données projet'!$A$114&gt;35,BY38+BX39-CG38,IF(A39&lt;'Données projet'!$A$114,$BV$205^A39,IF(A39='Données projet'!$A$114,'Données projet'!$B$114,BY38+BX39-CG38)))</f>
        <v>269.19999999999993</v>
      </c>
      <c r="BZ39" s="14">
        <f>BY39*VLOOKUP('Données projet'!$B$12,Paramètres!$A$1:$I$89,3,0)*VLOOKUP('Données projet'!$B$12,Paramètres!$A$1:$I$89,5,0)</f>
        <v>146.98319999999995</v>
      </c>
      <c r="CA39" s="14">
        <f t="shared" si="39"/>
        <v>37.892198442301805</v>
      </c>
      <c r="CB39" s="22">
        <f t="shared" si="10"/>
        <v>321.99131895367555</v>
      </c>
      <c r="CC39" s="62">
        <f t="shared" si="11"/>
        <v>566.50373719470997</v>
      </c>
      <c r="CD39" s="62">
        <f ca="1">AVERAGE(OFFSET($CC$3,0,0,'Données projet'!$E$12+1,1))-AVERAGE(OFFSET($H$3,0,0,'Données projet'!$E$12+1,1))</f>
        <v>262.64209686767367</v>
      </c>
      <c r="CE39" s="62">
        <f t="shared" si="40"/>
        <v>381.0342365342517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5.1623926427526294</v>
      </c>
      <c r="CL39" s="23">
        <f>EXP(-LN(2)/25)*CL38+(1-EXP(-LN(2)/25))/(LN(2)/25)*Calculateur!CG39*Calculateur!CI39*VLOOKUP('Données projet'!$B$12,Paramètres!$A$1:$I$89,3,0)*0.475*44/12</f>
        <v>11.040558056450072</v>
      </c>
      <c r="CM39" s="23">
        <f>EXP(-LN(2)/2)*CM38+(1-EXP(-LN(2)/2))/(LN(2)/2)*CG39*CJ39*VLOOKUP('Données projet'!$B$12,Paramètres!$A$1:$I$89,3,0)*0.475*44/12</f>
        <v>1.5465018008529496</v>
      </c>
      <c r="CN39" s="24">
        <f t="shared" si="12"/>
        <v>17.749452500055654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7.6</v>
      </c>
      <c r="CT39" s="13">
        <f>IF('Données projet'!$A$140&gt;35,CT38+CS39-DB38,IF(A39&lt;'Données projet'!$A$140,$CQ$205^A39,IF(A39='Données projet'!$A$140,'Données projet'!$B$140,CT38+CS39-DB38)))</f>
        <v>122.59999999999997</v>
      </c>
      <c r="CU39" s="18">
        <f>CT39*VLOOKUP('Données projet'!$B$13,Paramètres!$A$1:$I$89,3,0)*VLOOKUP('Données projet'!$B$13,Paramètres!$A$1:$I$89,5,0)</f>
        <v>89.890319999999974</v>
      </c>
      <c r="CV39" s="14">
        <f t="shared" si="41"/>
        <v>24.538770941989274</v>
      </c>
      <c r="CW39" s="22">
        <f t="shared" si="13"/>
        <v>199.29733339063125</v>
      </c>
      <c r="CX39" s="62">
        <f t="shared" si="14"/>
        <v>443.80975163166568</v>
      </c>
      <c r="CY39" s="62">
        <f ca="1">AVERAGE(OFFSET($CX$3,0,0,'Données projet'!$E$13+1,1))-AVERAGE(OFFSET($H$3,0,0,'Données projet'!$E$13+1,1))</f>
        <v>250.11765444522138</v>
      </c>
      <c r="CZ39" s="62">
        <f t="shared" si="42"/>
        <v>241.42920565698913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8.2441392281135339</v>
      </c>
      <c r="DH39" s="23">
        <f>EXP(-LN(2)/2)*DH38+(1-EXP(-LN(2)/2))/(LN(2)/2)*DB39*DE39*VLOOKUP('Données projet'!$B$13,Paramètres!$A$1:$I$89,3,0)*0.475*44/12</f>
        <v>6.2690009176359505</v>
      </c>
      <c r="DI39" s="24">
        <f t="shared" si="15"/>
        <v>14.513140145749485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27.234999999999985</v>
      </c>
      <c r="N40" s="14">
        <f>IF('Données projet'!$A$36&gt;35,N39+M40-V39,IF(A40&lt;'Données projet'!$A$36,$K$205^A40,IF(A40='Données projet'!$A$36,'Données projet'!$B$36,N39+M40-V39)))</f>
        <v>442.76499999999999</v>
      </c>
      <c r="O40" s="14">
        <f>N40*VLOOKUP('Données projet'!$B$9,Paramètres!$A$1:$I$89,3,0)*VLOOKUP('Données projet'!$B$9,Paramètres!$A$1:$I$89,5,0)</f>
        <v>247.50563500000001</v>
      </c>
      <c r="P40" s="14">
        <f t="shared" si="33"/>
        <v>60.051498808282631</v>
      </c>
      <c r="Q40" s="22">
        <f t="shared" si="53"/>
        <v>535.66200804942548</v>
      </c>
      <c r="R40" s="62">
        <f t="shared" si="0"/>
        <v>781.02136002009661</v>
      </c>
      <c r="S40" s="62">
        <f ca="1">AVERAGE(OFFSET($R$3,0,0,'Données projet'!$E$9+1,1))-AVERAGE(OFFSET($H$3,0,0,'Données projet'!$E$9+1,1))</f>
        <v>419.0448820879102</v>
      </c>
      <c r="T40" s="62">
        <f t="shared" si="34"/>
        <v>553.33038335026379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13.11976004229772</v>
      </c>
      <c r="AA40" s="23">
        <f>EXP(-LN(2)/25)*AA39+(1-EXP(-LN(2)/25))/(LN(2)/25)*Calculateur!V40*Calculateur!X40*VLOOKUP('Données projet'!$B$9,Paramètres!$A$1:$I$89,3,0)*0.475*44/12</f>
        <v>19.33542016711306</v>
      </c>
      <c r="AB40" s="23">
        <f>EXP(-LN(2)/2)*AB39+(1-EXP(-LN(2)/2))/(LN(2)/2)*V40*Y40*VLOOKUP('Données projet'!$B$9,Paramètres!$A$1:$I$89,3,0)*0.475*44/12</f>
        <v>1.5843615737942376</v>
      </c>
      <c r="AC40" s="24">
        <f t="shared" si="3"/>
        <v>34.039541783205024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10.8</v>
      </c>
      <c r="AI40" s="14">
        <f>IF('Données projet'!$A$62&gt;35,AI39+AH40-AQ39,IF(A40&lt;'Données projet'!$A$62,$AF$205^A40,IF(A40='Données projet'!$A$62,'Données projet'!$B$62,AI39+AH40-AQ39)))</f>
        <v>180.6</v>
      </c>
      <c r="AJ40" s="14">
        <f>AI40*VLOOKUP('Données projet'!$B$10,Paramètres!$A$1:$I$89,3,0)*VLOOKUP('Données projet'!$B$10,Paramètres!$A$1:$I$89,5,0)</f>
        <v>157.77216000000001</v>
      </c>
      <c r="AK40" s="14">
        <f t="shared" si="35"/>
        <v>40.339610539653599</v>
      </c>
      <c r="AL40" s="22">
        <f t="shared" si="4"/>
        <v>345.04466702323003</v>
      </c>
      <c r="AM40" s="62">
        <f t="shared" si="5"/>
        <v>590.4040189939011</v>
      </c>
      <c r="AN40" s="62">
        <f ca="1">AVERAGE(OFFSET($AM$3,0,0,'Données projet'!$E$10+1,1))-AVERAGE(OFFSET($H$3,0,0,'Données projet'!$E$10+1,1))</f>
        <v>341.62910675299065</v>
      </c>
      <c r="AO40" s="62">
        <f t="shared" si="36"/>
        <v>407.15938341104709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21.068737409607529</v>
      </c>
      <c r="AW40" s="23">
        <f>EXP(-LN(2)/2)*AW39+(1-EXP(-LN(2)/2))/(LN(2)/2)*AQ40*AT40*VLOOKUP('Données projet'!$B$10,Paramètres!$A$1:$I$89,3,0)*0.475*44/12</f>
        <v>1.614546466730453</v>
      </c>
      <c r="AX40" s="23">
        <f t="shared" si="6"/>
        <v>22.683283876337981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526.56595364496309</v>
      </c>
      <c r="BI40" s="62">
        <f ca="1">AVERAGE(OFFSET($BH$3,0,0,'Données projet'!$E$11+1,1))-AVERAGE(OFFSET($H$3,0,0,'Données projet'!$E$11+1,1))</f>
        <v>472.83070477639035</v>
      </c>
      <c r="BJ40" s="62">
        <f t="shared" si="38"/>
        <v>297.32483725004136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7.5197489027621245</v>
      </c>
      <c r="BR40" s="23">
        <f>EXP(-LN(2)/2)*BR39+(1-EXP(-LN(2)/2))/(LN(2)/2)*BL40*BO40*VLOOKUP('Données projet'!$B$11,Paramètres!$A$1:$I$89,3,0)*0.475*44/12</f>
        <v>1.3178503446412444</v>
      </c>
      <c r="BS40" s="24">
        <f t="shared" si="9"/>
        <v>8.837599247403368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8.1999999999999993</v>
      </c>
      <c r="BY40" s="13">
        <f>IF('Données projet'!$A$114&gt;35,BY39+BX40-CG39,IF(A40&lt;'Données projet'!$A$114,$BV$205^A40,IF(A40='Données projet'!$A$114,'Données projet'!$B$114,BY39+BX40-CG39)))</f>
        <v>277.39999999999992</v>
      </c>
      <c r="BZ40" s="14">
        <f>BY40*VLOOKUP('Données projet'!$B$12,Paramètres!$A$1:$I$89,3,0)*VLOOKUP('Données projet'!$B$12,Paramètres!$A$1:$I$89,5,0)</f>
        <v>151.46039999999996</v>
      </c>
      <c r="CA40" s="14">
        <f t="shared" si="39"/>
        <v>38.910279383617429</v>
      </c>
      <c r="CB40" s="22">
        <f t="shared" si="10"/>
        <v>331.56226659313359</v>
      </c>
      <c r="CC40" s="62">
        <f t="shared" si="11"/>
        <v>576.92161856380471</v>
      </c>
      <c r="CD40" s="62">
        <f ca="1">AVERAGE(OFFSET($CC$3,0,0,'Données projet'!$E$12+1,1))-AVERAGE(OFFSET($H$3,0,0,'Données projet'!$E$12+1,1))</f>
        <v>262.64209686767367</v>
      </c>
      <c r="CE40" s="62">
        <f t="shared" si="40"/>
        <v>381.0342365342517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5.0611612717768493</v>
      </c>
      <c r="CL40" s="23">
        <f>EXP(-LN(2)/25)*CL39+(1-EXP(-LN(2)/25))/(LN(2)/25)*Calculateur!CG40*Calculateur!CI40*VLOOKUP('Données projet'!$B$12,Paramètres!$A$1:$I$89,3,0)*0.475*44/12</f>
        <v>10.73865341579873</v>
      </c>
      <c r="CM40" s="23">
        <f>EXP(-LN(2)/2)*CM39+(1-EXP(-LN(2)/2))/(LN(2)/2)*CG40*CJ40*VLOOKUP('Données projet'!$B$12,Paramètres!$A$1:$I$89,3,0)*0.475*44/12</f>
        <v>1.0935419105003283</v>
      </c>
      <c r="CN40" s="24">
        <f t="shared" si="12"/>
        <v>16.893356598075908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7.6</v>
      </c>
      <c r="CT40" s="13">
        <f>IF('Données projet'!$A$140&gt;35,CT39+CS40-DB39,IF(A40&lt;'Données projet'!$A$140,$CQ$205^A40,IF(A40='Données projet'!$A$140,'Données projet'!$B$140,CT39+CS40-DB39)))</f>
        <v>130.19999999999996</v>
      </c>
      <c r="CU40" s="18">
        <f>CT40*VLOOKUP('Données projet'!$B$13,Paramètres!$A$1:$I$89,3,0)*VLOOKUP('Données projet'!$B$13,Paramètres!$A$1:$I$89,5,0)</f>
        <v>95.462639999999979</v>
      </c>
      <c r="CV40" s="14">
        <f t="shared" si="41"/>
        <v>25.878130159770908</v>
      </c>
      <c r="CW40" s="22">
        <f t="shared" si="13"/>
        <v>211.33517469493427</v>
      </c>
      <c r="CX40" s="62">
        <f t="shared" si="14"/>
        <v>456.69452666560539</v>
      </c>
      <c r="CY40" s="62">
        <f ca="1">AVERAGE(OFFSET($CX$3,0,0,'Données projet'!$E$13+1,1))-AVERAGE(OFFSET($H$3,0,0,'Données projet'!$E$13+1,1))</f>
        <v>250.11765444522138</v>
      </c>
      <c r="CZ40" s="62">
        <f t="shared" si="42"/>
        <v>241.42920565698913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8.018702807380329</v>
      </c>
      <c r="DH40" s="23">
        <f>EXP(-LN(2)/2)*DH39+(1-EXP(-LN(2)/2))/(LN(2)/2)*DB40*DE40*VLOOKUP('Données projet'!$B$13,Paramètres!$A$1:$I$89,3,0)*0.475*44/12</f>
        <v>4.43285306012507</v>
      </c>
      <c r="DI40" s="24">
        <f t="shared" si="15"/>
        <v>12.451555867505398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470</v>
      </c>
      <c r="L41" s="13">
        <f>VLOOKUP(A41,'Données projet'!$A$35:$I$55,9,0)</f>
        <v>27.234999999999985</v>
      </c>
      <c r="M41" s="13">
        <f t="array" ref="M41">INDEX(L:L,MIN(IF(ISNUMBER(L41:L237),ROW(L41:L237),"")))</f>
        <v>27.234999999999985</v>
      </c>
      <c r="N41" s="14">
        <f>IF('Données projet'!$A$36&gt;35,N40+M41-V40,IF(A41&lt;'Données projet'!$A$36,$K$205^A41,IF(A41='Données projet'!$A$36,'Données projet'!$B$36,N40+M41-V40)))</f>
        <v>470</v>
      </c>
      <c r="O41" s="14">
        <f>N41*VLOOKUP('Données projet'!$B$9,Paramètres!$A$1:$I$89,3,0)*VLOOKUP('Données projet'!$B$9,Paramètres!$A$1:$I$89,5,0)</f>
        <v>262.73</v>
      </c>
      <c r="P41" s="14">
        <f t="shared" si="33"/>
        <v>63.303949401442225</v>
      </c>
      <c r="Q41" s="22">
        <f t="shared" si="53"/>
        <v>567.84246187417853</v>
      </c>
      <c r="R41" s="62">
        <f t="shared" si="0"/>
        <v>814.03405516773728</v>
      </c>
      <c r="S41" s="62">
        <f ca="1">AVERAGE(OFFSET($R$3,0,0,'Données projet'!$E$9+1,1))-AVERAGE(OFFSET($H$3,0,0,'Données projet'!$E$9+1,1))</f>
        <v>419.0448820879102</v>
      </c>
      <c r="T41" s="62">
        <f t="shared" si="34"/>
        <v>553.33038335026379</v>
      </c>
      <c r="U41" s="16">
        <f>IF(ISNA(VLOOKUP(A41,'Données projet'!$A$35:$I$55,3,0)),0,VLOOKUP(A41,'Données projet'!$A$35:$I$55,3,0))</f>
        <v>12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12.86248955013173</v>
      </c>
      <c r="AA41" s="23">
        <f>EXP(-LN(2)/25)*AA40+(1-EXP(-LN(2)/25))/(LN(2)/25)*Calculateur!V41*Calculateur!X41*VLOOKUP('Données projet'!$B$9,Paramètres!$A$1:$I$89,3,0)*0.475*44/12</f>
        <v>18.806692085837799</v>
      </c>
      <c r="AB41" s="23">
        <f>EXP(-LN(2)/2)*AB40+(1-EXP(-LN(2)/2))/(LN(2)/2)*V41*Y41*VLOOKUP('Données projet'!$B$9,Paramètres!$A$1:$I$89,3,0)*0.475*44/12</f>
        <v>1.120312812681296</v>
      </c>
      <c r="AC41" s="24">
        <f t="shared" si="3"/>
        <v>32.789494448650828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10.8</v>
      </c>
      <c r="AI41" s="14">
        <f>IF('Données projet'!$A$62&gt;35,AI40+AH41-AQ40,IF(A41&lt;'Données projet'!$A$62,$AF$205^A41,IF(A41='Données projet'!$A$62,'Données projet'!$B$62,AI40+AH41-AQ40)))</f>
        <v>191.4</v>
      </c>
      <c r="AJ41" s="14">
        <f>AI41*VLOOKUP('Données projet'!$B$10,Paramètres!$A$1:$I$89,3,0)*VLOOKUP('Données projet'!$B$10,Paramètres!$A$1:$I$89,5,0)</f>
        <v>167.20704000000003</v>
      </c>
      <c r="AK41" s="14">
        <f t="shared" si="35"/>
        <v>42.463891647822834</v>
      </c>
      <c r="AL41" s="22">
        <f t="shared" si="4"/>
        <v>365.17687261995815</v>
      </c>
      <c r="AM41" s="62">
        <f t="shared" si="5"/>
        <v>611.36846591351684</v>
      </c>
      <c r="AN41" s="62">
        <f ca="1">AVERAGE(OFFSET($AM$3,0,0,'Données projet'!$E$10+1,1))-AVERAGE(OFFSET($H$3,0,0,'Données projet'!$E$10+1,1))</f>
        <v>341.62910675299065</v>
      </c>
      <c r="AO41" s="62">
        <f t="shared" si="36"/>
        <v>407.15938341104709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20.492611677185064</v>
      </c>
      <c r="AW41" s="23">
        <f>EXP(-LN(2)/2)*AW40+(1-EXP(-LN(2)/2))/(LN(2)/2)*AQ41*AT41*VLOOKUP('Données projet'!$B$10,Paramètres!$A$1:$I$89,3,0)*0.475*44/12</f>
        <v>1.1416567551658838</v>
      </c>
      <c r="AX41" s="23">
        <f t="shared" si="6"/>
        <v>21.634268432350947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549.11543057728045</v>
      </c>
      <c r="BI41" s="62">
        <f ca="1">AVERAGE(OFFSET($BH$3,0,0,'Données projet'!$E$11+1,1))-AVERAGE(OFFSET($H$3,0,0,'Données projet'!$E$11+1,1))</f>
        <v>472.83070477639035</v>
      </c>
      <c r="BJ41" s="62">
        <f t="shared" si="38"/>
        <v>297.32483725004136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7.3141209735696862</v>
      </c>
      <c r="BR41" s="23">
        <f>EXP(-LN(2)/2)*BR40+(1-EXP(-LN(2)/2))/(LN(2)/2)*BL41*BO41*VLOOKUP('Données projet'!$B$11,Paramètres!$A$1:$I$89,3,0)*0.475*44/12</f>
        <v>0.93186091528485271</v>
      </c>
      <c r="BS41" s="24">
        <f t="shared" si="9"/>
        <v>8.2459818888545389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8.1999999999999993</v>
      </c>
      <c r="BY41" s="13">
        <f>IF('Données projet'!$A$114&gt;35,BY40+BX41-CG40,IF(A41&lt;'Données projet'!$A$114,$BV$205^A41,IF(A41='Données projet'!$A$114,'Données projet'!$B$114,BY40+BX41-CG40)))</f>
        <v>285.59999999999991</v>
      </c>
      <c r="BZ41" s="14">
        <f>BY41*VLOOKUP('Données projet'!$B$12,Paramètres!$A$1:$I$89,3,0)*VLOOKUP('Données projet'!$B$12,Paramètres!$A$1:$I$89,5,0)</f>
        <v>155.93759999999995</v>
      </c>
      <c r="CA41" s="14">
        <f t="shared" si="39"/>
        <v>39.924862785906342</v>
      </c>
      <c r="CB41" s="22">
        <f t="shared" si="10"/>
        <v>341.12712268545346</v>
      </c>
      <c r="CC41" s="62">
        <f t="shared" si="11"/>
        <v>587.31871597901215</v>
      </c>
      <c r="CD41" s="62">
        <f ca="1">AVERAGE(OFFSET($CC$3,0,0,'Données projet'!$E$12+1,1))-AVERAGE(OFFSET($H$3,0,0,'Données projet'!$E$12+1,1))</f>
        <v>262.64209686767367</v>
      </c>
      <c r="CE41" s="62">
        <f t="shared" si="40"/>
        <v>381.0342365342517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4.9619149862408651</v>
      </c>
      <c r="CL41" s="23">
        <f>EXP(-LN(2)/25)*CL40+(1-EXP(-LN(2)/25))/(LN(2)/25)*Calculateur!CG41*Calculateur!CI41*VLOOKUP('Données projet'!$B$12,Paramètres!$A$1:$I$89,3,0)*0.475*44/12</f>
        <v>10.445004373422474</v>
      </c>
      <c r="CM41" s="23">
        <f>EXP(-LN(2)/2)*CM40+(1-EXP(-LN(2)/2))/(LN(2)/2)*CG41*CJ41*VLOOKUP('Données projet'!$B$12,Paramètres!$A$1:$I$89,3,0)*0.475*44/12</f>
        <v>0.77325090042647482</v>
      </c>
      <c r="CN41" s="24">
        <f t="shared" si="12"/>
        <v>16.180170260089813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7.6</v>
      </c>
      <c r="CT41" s="13">
        <f>IF('Données projet'!$A$140&gt;35,CT40+CS41-DB40,IF(A41&lt;'Données projet'!$A$140,$CQ$205^A41,IF(A41='Données projet'!$A$140,'Données projet'!$B$140,CT40+CS41-DB40)))</f>
        <v>137.79999999999995</v>
      </c>
      <c r="CU41" s="18">
        <f>CT41*VLOOKUP('Données projet'!$B$13,Paramètres!$A$1:$I$89,3,0)*VLOOKUP('Données projet'!$B$13,Paramètres!$A$1:$I$89,5,0)</f>
        <v>101.03495999999997</v>
      </c>
      <c r="CV41" s="14">
        <f t="shared" si="41"/>
        <v>27.208414547906806</v>
      </c>
      <c r="CW41" s="22">
        <f t="shared" si="13"/>
        <v>223.35721067093763</v>
      </c>
      <c r="CX41" s="62">
        <f t="shared" si="14"/>
        <v>469.54880396449636</v>
      </c>
      <c r="CY41" s="62">
        <f ca="1">AVERAGE(OFFSET($CX$3,0,0,'Données projet'!$E$13+1,1))-AVERAGE(OFFSET($H$3,0,0,'Données projet'!$E$13+1,1))</f>
        <v>250.11765444522138</v>
      </c>
      <c r="CZ41" s="62">
        <f t="shared" si="42"/>
        <v>241.42920565698913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7.7994309574272602</v>
      </c>
      <c r="DH41" s="23">
        <f>EXP(-LN(2)/2)*DH40+(1-EXP(-LN(2)/2))/(LN(2)/2)*DB41*DE41*VLOOKUP('Données projet'!$B$13,Paramètres!$A$1:$I$89,3,0)*0.475*44/12</f>
        <v>3.1345004588179757</v>
      </c>
      <c r="DI41" s="24">
        <f t="shared" si="15"/>
        <v>10.933931416245237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28.095000000000027</v>
      </c>
      <c r="N42" s="14">
        <f>IF('Données projet'!$A$36&gt;35,N41+M42-V41,IF(A42&lt;'Données projet'!$A$36,$K$205^A42,IF(A42='Données projet'!$A$36,'Données projet'!$B$36,N41+M42-V41)))</f>
        <v>498.09500000000003</v>
      </c>
      <c r="O42" s="14">
        <f>N42*VLOOKUP('Données projet'!$B$9,Paramètres!$A$1:$I$89,3,0)*VLOOKUP('Données projet'!$B$9,Paramètres!$A$1:$I$89,5,0)</f>
        <v>278.43510500000002</v>
      </c>
      <c r="P42" s="14">
        <f t="shared" si="33"/>
        <v>66.636193787123958</v>
      </c>
      <c r="Q42" s="22">
        <f t="shared" si="53"/>
        <v>600.99917872090748</v>
      </c>
      <c r="R42" s="62">
        <f t="shared" si="0"/>
        <v>848.00857581101457</v>
      </c>
      <c r="S42" s="62">
        <f ca="1">AVERAGE(OFFSET($R$3,0,0,'Données projet'!$E$9+1,1))-AVERAGE(OFFSET($H$3,0,0,'Données projet'!$E$9+1,1))</f>
        <v>419.0448820879102</v>
      </c>
      <c r="T42" s="62">
        <f t="shared" si="34"/>
        <v>553.33038335026379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12.61026397539761</v>
      </c>
      <c r="AA42" s="23">
        <f>EXP(-LN(2)/25)*AA41+(1-EXP(-LN(2)/25))/(LN(2)/25)*Calculateur!V42*Calculateur!X42*VLOOKUP('Données projet'!$B$9,Paramètres!$A$1:$I$89,3,0)*0.475*44/12</f>
        <v>18.292422101749612</v>
      </c>
      <c r="AB42" s="23">
        <f>EXP(-LN(2)/2)*AB41+(1-EXP(-LN(2)/2))/(LN(2)/2)*V42*Y42*VLOOKUP('Données projet'!$B$9,Paramètres!$A$1:$I$89,3,0)*0.475*44/12</f>
        <v>0.79218078689711879</v>
      </c>
      <c r="AC42" s="24">
        <f t="shared" si="3"/>
        <v>31.694866864044343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10.8</v>
      </c>
      <c r="AI42" s="14">
        <f>IF('Données projet'!$A$62&gt;35,AI41+AH42-AQ41,IF(A42&lt;'Données projet'!$A$62,$AF$205^A42,IF(A42='Données projet'!$A$62,'Données projet'!$B$62,AI41+AH42-AQ41)))</f>
        <v>202.20000000000002</v>
      </c>
      <c r="AJ42" s="14">
        <f>AI42*VLOOKUP('Données projet'!$B$10,Paramètres!$A$1:$I$89,3,0)*VLOOKUP('Données projet'!$B$10,Paramètres!$A$1:$I$89,5,0)</f>
        <v>176.64192000000003</v>
      </c>
      <c r="AK42" s="14">
        <f t="shared" si="35"/>
        <v>44.574258350008236</v>
      </c>
      <c r="AL42" s="22">
        <f t="shared" si="4"/>
        <v>385.28484395959771</v>
      </c>
      <c r="AM42" s="62">
        <f t="shared" si="5"/>
        <v>632.29424104970485</v>
      </c>
      <c r="AN42" s="62">
        <f ca="1">AVERAGE(OFFSET($AM$3,0,0,'Données projet'!$E$10+1,1))-AVERAGE(OFFSET($H$3,0,0,'Données projet'!$E$10+1,1))</f>
        <v>341.62910675299065</v>
      </c>
      <c r="AO42" s="62">
        <f t="shared" si="36"/>
        <v>407.15938341104709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19.932240133212826</v>
      </c>
      <c r="AW42" s="23">
        <f>EXP(-LN(2)/2)*AW41+(1-EXP(-LN(2)/2))/(LN(2)/2)*AQ42*AT42*VLOOKUP('Données projet'!$B$10,Paramètres!$A$1:$I$89,3,0)*0.475*44/12</f>
        <v>0.80727323336522649</v>
      </c>
      <c r="AX42" s="23">
        <f t="shared" si="6"/>
        <v>20.739513366578052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571.6158351683722</v>
      </c>
      <c r="BI42" s="62">
        <f ca="1">AVERAGE(OFFSET($BH$3,0,0,'Données projet'!$E$11+1,1))-AVERAGE(OFFSET($H$3,0,0,'Données projet'!$E$11+1,1))</f>
        <v>472.83070477639035</v>
      </c>
      <c r="BJ42" s="62">
        <f t="shared" si="38"/>
        <v>297.32483725004136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7.1141159509145178</v>
      </c>
      <c r="BR42" s="23">
        <f>EXP(-LN(2)/2)*BR41+(1-EXP(-LN(2)/2))/(LN(2)/2)*BL42*BO42*VLOOKUP('Données projet'!$B$11,Paramètres!$A$1:$I$89,3,0)*0.475*44/12</f>
        <v>0.65892517232062231</v>
      </c>
      <c r="BS42" s="24">
        <f t="shared" si="9"/>
        <v>7.7730411232351404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8.1999999999999993</v>
      </c>
      <c r="BY42" s="13">
        <f>IF('Données projet'!$A$114&gt;35,BY41+BX42-CG41,IF(A42&lt;'Données projet'!$A$114,$BV$205^A42,IF(A42='Données projet'!$A$114,'Données projet'!$B$114,BY41+BX42-CG41)))</f>
        <v>293.7999999999999</v>
      </c>
      <c r="BZ42" s="14">
        <f>BY42*VLOOKUP('Données projet'!$B$12,Paramètres!$A$1:$I$89,3,0)*VLOOKUP('Données projet'!$B$12,Paramètres!$A$1:$I$89,5,0)</f>
        <v>160.41479999999996</v>
      </c>
      <c r="CA42" s="14">
        <f t="shared" si="39"/>
        <v>40.936060601587023</v>
      </c>
      <c r="CB42" s="22">
        <f t="shared" si="10"/>
        <v>350.68608221443066</v>
      </c>
      <c r="CC42" s="62">
        <f t="shared" si="11"/>
        <v>597.6954793045378</v>
      </c>
      <c r="CD42" s="62">
        <f ca="1">AVERAGE(OFFSET($CC$3,0,0,'Données projet'!$E$12+1,1))-AVERAGE(OFFSET($H$3,0,0,'Données projet'!$E$12+1,1))</f>
        <v>262.64209686767367</v>
      </c>
      <c r="CE42" s="62">
        <f t="shared" si="40"/>
        <v>381.0342365342517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4.8646148598299845</v>
      </c>
      <c r="CL42" s="23">
        <f>EXP(-LN(2)/25)*CL41+(1-EXP(-LN(2)/25))/(LN(2)/25)*Calculateur!CG42*Calculateur!CI42*VLOOKUP('Données projet'!$B$12,Paramètres!$A$1:$I$89,3,0)*0.475*44/12</f>
        <v>10.159385179552329</v>
      </c>
      <c r="CM42" s="23">
        <f>EXP(-LN(2)/2)*CM41+(1-EXP(-LN(2)/2))/(LN(2)/2)*CG42*CJ42*VLOOKUP('Données projet'!$B$12,Paramètres!$A$1:$I$89,3,0)*0.475*44/12</f>
        <v>0.54677095525016417</v>
      </c>
      <c r="CN42" s="24">
        <f t="shared" si="12"/>
        <v>15.570770994632477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7.6</v>
      </c>
      <c r="CT42" s="13">
        <f>IF('Données projet'!$A$140&gt;35,CT41+CS42-DB41,IF(A42&lt;'Données projet'!$A$140,$CQ$205^A42,IF(A42='Données projet'!$A$140,'Données projet'!$B$140,CT41+CS42-DB41)))</f>
        <v>145.39999999999995</v>
      </c>
      <c r="CU42" s="18">
        <f>CT42*VLOOKUP('Données projet'!$B$13,Paramètres!$A$1:$I$89,3,0)*VLOOKUP('Données projet'!$B$13,Paramètres!$A$1:$I$89,5,0)</f>
        <v>106.60727999999995</v>
      </c>
      <c r="CV42" s="14">
        <f t="shared" si="41"/>
        <v>28.530181653798135</v>
      </c>
      <c r="CW42" s="22">
        <f t="shared" si="13"/>
        <v>235.364412380365</v>
      </c>
      <c r="CX42" s="62">
        <f t="shared" si="14"/>
        <v>482.37380947047211</v>
      </c>
      <c r="CY42" s="62">
        <f ca="1">AVERAGE(OFFSET($CX$3,0,0,'Données projet'!$E$13+1,1))-AVERAGE(OFFSET($H$3,0,0,'Données projet'!$E$13+1,1))</f>
        <v>250.11765444522138</v>
      </c>
      <c r="CZ42" s="62">
        <f t="shared" si="42"/>
        <v>241.42920565698913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7.5861551077421634</v>
      </c>
      <c r="DH42" s="23">
        <f>EXP(-LN(2)/2)*DH41+(1-EXP(-LN(2)/2))/(LN(2)/2)*DB42*DE42*VLOOKUP('Données projet'!$B$13,Paramètres!$A$1:$I$89,3,0)*0.475*44/12</f>
        <v>2.2164265300625354</v>
      </c>
      <c r="DI42" s="24">
        <f t="shared" si="15"/>
        <v>9.8025816378046997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526.19000000000005</v>
      </c>
      <c r="L43" s="13">
        <f>VLOOKUP(A43,'Données projet'!$A$35:$I$55,9,0)</f>
        <v>28.095000000000027</v>
      </c>
      <c r="M43" s="13">
        <f t="array" ref="M43">INDEX(L:L,MIN(IF(ISNUMBER(L43:L239),ROW(L43:L239),"")))</f>
        <v>28.095000000000027</v>
      </c>
      <c r="N43" s="14">
        <f>IF('Données projet'!$A$36&gt;35,N42+M43-V42,IF(A43&lt;'Données projet'!$A$36,$K$205^A43,IF(A43='Données projet'!$A$36,'Données projet'!$B$36,N42+M43-V42)))</f>
        <v>526.19000000000005</v>
      </c>
      <c r="O43" s="14">
        <f>N43*VLOOKUP('Données projet'!$B$9,Paramètres!$A$1:$I$89,3,0)*VLOOKUP('Données projet'!$B$9,Paramètres!$A$1:$I$89,5,0)</f>
        <v>294.14021000000002</v>
      </c>
      <c r="P43" s="14">
        <f t="shared" si="33"/>
        <v>69.946619671428806</v>
      </c>
      <c r="Q43" s="22">
        <f t="shared" si="53"/>
        <v>634.11789501107194</v>
      </c>
      <c r="R43" s="62">
        <f t="shared" si="0"/>
        <v>881.93090883019272</v>
      </c>
      <c r="S43" s="62">
        <f ca="1">AVERAGE(OFFSET($R$3,0,0,'Données projet'!$E$9+1,1))-AVERAGE(OFFSET($H$3,0,0,'Données projet'!$E$9+1,1))</f>
        <v>419.0448820879102</v>
      </c>
      <c r="T43" s="62">
        <f t="shared" si="34"/>
        <v>553.33038335026379</v>
      </c>
      <c r="U43" s="16">
        <f>IF(ISNA(VLOOKUP(A43,'Données projet'!$A$35:$I$55,3,0)),0,VLOOKUP(A43,'Données projet'!$A$35:$I$55,3,0))</f>
        <v>13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12.362984390341614</v>
      </c>
      <c r="AA43" s="23">
        <f>EXP(-LN(2)/25)*AA42+(1-EXP(-LN(2)/25))/(LN(2)/25)*Calculateur!V43*Calculateur!X43*VLOOKUP('Données projet'!$B$9,Paramètres!$A$1:$I$89,3,0)*0.475*44/12</f>
        <v>17.792214857420596</v>
      </c>
      <c r="AB43" s="23">
        <f>EXP(-LN(2)/2)*AB42+(1-EXP(-LN(2)/2))/(LN(2)/2)*V43*Y43*VLOOKUP('Données projet'!$B$9,Paramètres!$A$1:$I$89,3,0)*0.475*44/12</f>
        <v>0.56015640634064801</v>
      </c>
      <c r="AC43" s="24">
        <f t="shared" si="3"/>
        <v>30.715355654102861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213</v>
      </c>
      <c r="AG43" s="13">
        <f>VLOOKUP(A43,'Données projet'!$A$61:$I$81,9,0)</f>
        <v>10.8</v>
      </c>
      <c r="AH43" s="13">
        <f t="array" ref="AH43">INDEX(AG:AG,MIN(IF(ISNUMBER(AG43:AG239),ROW(AG43:AG239),"")))</f>
        <v>10.8</v>
      </c>
      <c r="AI43" s="14">
        <f>IF('Données projet'!$A$62&gt;35,AI42+AH43-AQ42,IF(A43&lt;'Données projet'!$A$62,$AF$205^A43,IF(A43='Données projet'!$A$62,'Données projet'!$B$62,AI42+AH43-AQ42)))</f>
        <v>213.00000000000003</v>
      </c>
      <c r="AJ43" s="14">
        <f>AI43*VLOOKUP('Données projet'!$B$10,Paramètres!$A$1:$I$89,3,0)*VLOOKUP('Données projet'!$B$10,Paramètres!$A$1:$I$89,5,0)</f>
        <v>186.07680000000005</v>
      </c>
      <c r="AK43" s="14">
        <f t="shared" si="35"/>
        <v>46.671538591528673</v>
      </c>
      <c r="AL43" s="22">
        <f t="shared" si="4"/>
        <v>405.37002304691242</v>
      </c>
      <c r="AM43" s="62">
        <f t="shared" si="5"/>
        <v>653.18303686603326</v>
      </c>
      <c r="AN43" s="62">
        <f ca="1">AVERAGE(OFFSET($AM$3,0,0,'Données projet'!$E$10+1,1))-AVERAGE(OFFSET($H$3,0,0,'Données projet'!$E$10+1,1))</f>
        <v>341.62910675299065</v>
      </c>
      <c r="AO43" s="62">
        <f t="shared" si="36"/>
        <v>407.15938341104709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39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19.387191978579168</v>
      </c>
      <c r="AW43" s="23">
        <f>EXP(-LN(2)/2)*AW42+(1-EXP(-LN(2)/2))/(LN(2)/2)*AQ43*AT43*VLOOKUP('Données projet'!$B$10,Paramètres!$A$1:$I$89,3,0)*0.475*44/12</f>
        <v>0.57082837758294191</v>
      </c>
      <c r="AX43" s="23">
        <f t="shared" si="6"/>
        <v>19.958020356162109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594.07005548449115</v>
      </c>
      <c r="BI43" s="62">
        <f ca="1">AVERAGE(OFFSET($BH$3,0,0,'Données projet'!$E$11+1,1))-AVERAGE(OFFSET($H$3,0,0,'Données projet'!$E$11+1,1))</f>
        <v>472.83070477639035</v>
      </c>
      <c r="BJ43" s="62">
        <f t="shared" si="38"/>
        <v>297.32483725004136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6.9195800761216617</v>
      </c>
      <c r="BR43" s="23">
        <f>EXP(-LN(2)/2)*BR42+(1-EXP(-LN(2)/2))/(LN(2)/2)*BL43*BO43*VLOOKUP('Données projet'!$B$11,Paramètres!$A$1:$I$89,3,0)*0.475*44/12</f>
        <v>0.46593045764242641</v>
      </c>
      <c r="BS43" s="24">
        <f t="shared" si="9"/>
        <v>7.3855105337640881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302</v>
      </c>
      <c r="BW43" s="13">
        <f>VLOOKUP(A43,'Données projet'!$A$113:$I$133,9,0)</f>
        <v>8.1999999999999993</v>
      </c>
      <c r="BX43" s="13">
        <f t="array" ref="BX43">INDEX(BW:BW,MIN(IF(ISNUMBER(BW43:BW239),ROW(BW43:BW239),"")))</f>
        <v>8.1999999999999993</v>
      </c>
      <c r="BY43" s="13">
        <f>IF('Données projet'!$A$114&gt;35,BY42+BX43-CG42,IF(A43&lt;'Données projet'!$A$114,$BV$205^A43,IF(A43='Données projet'!$A$114,'Données projet'!$B$114,BY42+BX43-CG42)))</f>
        <v>301.99999999999989</v>
      </c>
      <c r="BZ43" s="14">
        <f>BY43*VLOOKUP('Données projet'!$B$12,Paramètres!$A$1:$I$89,3,0)*VLOOKUP('Données projet'!$B$12,Paramètres!$A$1:$I$89,5,0)</f>
        <v>164.89199999999994</v>
      </c>
      <c r="CA43" s="14">
        <f t="shared" si="39"/>
        <v>41.943978178295076</v>
      </c>
      <c r="CB43" s="22">
        <f t="shared" si="10"/>
        <v>360.23932866053048</v>
      </c>
      <c r="CC43" s="62">
        <f t="shared" si="11"/>
        <v>608.05234247965132</v>
      </c>
      <c r="CD43" s="62">
        <f ca="1">AVERAGE(OFFSET($CC$3,0,0,'Données projet'!$E$12+1,1))-AVERAGE(OFFSET($H$3,0,0,'Données projet'!$E$12+1,1))</f>
        <v>262.64209686767367</v>
      </c>
      <c r="CE43" s="62">
        <f t="shared" si="40"/>
        <v>381.0342365342517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22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4.7692227295508038</v>
      </c>
      <c r="CL43" s="23">
        <f>EXP(-LN(2)/25)*CL42+(1-EXP(-LN(2)/25))/(LN(2)/25)*Calculateur!CG43*Calculateur!CI43*VLOOKUP('Données projet'!$B$12,Paramètres!$A$1:$I$89,3,0)*0.475*44/12</f>
        <v>9.8815762575586241</v>
      </c>
      <c r="CM43" s="23">
        <f>EXP(-LN(2)/2)*CM42+(1-EXP(-LN(2)/2))/(LN(2)/2)*CG43*CJ43*VLOOKUP('Données projet'!$B$12,Paramètres!$A$1:$I$89,3,0)*0.475*44/12</f>
        <v>0.38662545021323741</v>
      </c>
      <c r="CN43" s="24">
        <f t="shared" si="12"/>
        <v>15.037424437322667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153</v>
      </c>
      <c r="CR43" s="13">
        <f>VLOOKUP(A43,'Données projet'!$A$139:$I$159,9,0)</f>
        <v>7.6</v>
      </c>
      <c r="CS43" s="13">
        <f t="array" ref="CS43">INDEX(CR:CR,MIN(IF(ISNUMBER(CR43:CR239),ROW(CR43:CR239),"")))</f>
        <v>7.6</v>
      </c>
      <c r="CT43" s="13">
        <f>IF('Données projet'!$A$140&gt;35,CT42+CS43-DB42,IF(A43&lt;'Données projet'!$A$140,$CQ$205^A43,IF(A43='Données projet'!$A$140,'Données projet'!$B$140,CT42+CS43-DB42)))</f>
        <v>152.99999999999994</v>
      </c>
      <c r="CU43" s="18">
        <f>CT43*VLOOKUP('Données projet'!$B$13,Paramètres!$A$1:$I$89,3,0)*VLOOKUP('Données projet'!$B$13,Paramètres!$A$1:$I$89,5,0)</f>
        <v>112.17959999999995</v>
      </c>
      <c r="CV43" s="14">
        <f t="shared" si="41"/>
        <v>29.8439274472838</v>
      </c>
      <c r="CW43" s="22">
        <f t="shared" si="13"/>
        <v>247.35764363735254</v>
      </c>
      <c r="CX43" s="62">
        <f t="shared" si="14"/>
        <v>495.17065745647335</v>
      </c>
      <c r="CY43" s="62">
        <f ca="1">AVERAGE(OFFSET($CX$3,0,0,'Données projet'!$E$13+1,1))-AVERAGE(OFFSET($H$3,0,0,'Données projet'!$E$13+1,1))</f>
        <v>250.11765444522138</v>
      </c>
      <c r="CZ43" s="62">
        <f t="shared" si="42"/>
        <v>241.42920565698913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7.3787112973823952</v>
      </c>
      <c r="DH43" s="23">
        <f>EXP(-LN(2)/2)*DH42+(1-EXP(-LN(2)/2))/(LN(2)/2)*DB43*DE43*VLOOKUP('Données projet'!$B$13,Paramètres!$A$1:$I$89,3,0)*0.475*44/12</f>
        <v>1.5672502294089881</v>
      </c>
      <c r="DI43" s="24">
        <f t="shared" si="15"/>
        <v>8.9459615267913826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28.849999999999966</v>
      </c>
      <c r="N44" s="14">
        <f>IF('Données projet'!$A$36&gt;35,N43+M44-V43,IF(A44&lt;'Données projet'!$A$36,$K$205^A44,IF(A44='Données projet'!$A$36,'Données projet'!$B$36,N43+M44-V43)))</f>
        <v>555.04</v>
      </c>
      <c r="O44" s="14">
        <f>N44*VLOOKUP('Données projet'!$B$9,Paramètres!$A$1:$I$89,3,0)*VLOOKUP('Données projet'!$B$9,Paramètres!$A$1:$I$89,5,0)</f>
        <v>310.26736</v>
      </c>
      <c r="P44" s="14">
        <f t="shared" si="33"/>
        <v>73.324662779260194</v>
      </c>
      <c r="Q44" s="22">
        <f t="shared" si="53"/>
        <v>668.08943967387813</v>
      </c>
      <c r="R44" s="62">
        <f t="shared" si="0"/>
        <v>916.69212926838213</v>
      </c>
      <c r="S44" s="62">
        <f ca="1">AVERAGE(OFFSET($R$3,0,0,'Données projet'!$E$9+1,1))-AVERAGE(OFFSET($H$3,0,0,'Données projet'!$E$9+1,1))</f>
        <v>419.0448820879102</v>
      </c>
      <c r="T44" s="62">
        <f t="shared" si="34"/>
        <v>553.33038335026379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12.120553807122914</v>
      </c>
      <c r="AA44" s="23">
        <f>EXP(-LN(2)/25)*AA43+(1-EXP(-LN(2)/25))/(LN(2)/25)*Calculateur!V44*Calculateur!X44*VLOOKUP('Données projet'!$B$9,Paramètres!$A$1:$I$89,3,0)*0.475*44/12</f>
        <v>17.305685806492516</v>
      </c>
      <c r="AB44" s="23">
        <f>EXP(-LN(2)/2)*AB43+(1-EXP(-LN(2)/2))/(LN(2)/2)*V44*Y44*VLOOKUP('Données projet'!$B$9,Paramètres!$A$1:$I$89,3,0)*0.475*44/12</f>
        <v>0.3960903934485594</v>
      </c>
      <c r="AC44" s="24">
        <f t="shared" si="3"/>
        <v>29.822330007063989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183.80000000000004</v>
      </c>
      <c r="AJ44" s="14">
        <f>AI44*VLOOKUP('Données projet'!$B$10,Paramètres!$A$1:$I$89,3,0)*VLOOKUP('Données projet'!$B$10,Paramètres!$A$1:$I$89,5,0)</f>
        <v>160.56768000000005</v>
      </c>
      <c r="AK44" s="14">
        <f t="shared" si="35"/>
        <v>40.970530810309882</v>
      </c>
      <c r="AL44" s="22">
        <f t="shared" si="4"/>
        <v>351.0123838279564</v>
      </c>
      <c r="AM44" s="62">
        <f t="shared" si="5"/>
        <v>599.61507342246034</v>
      </c>
      <c r="AN44" s="62">
        <f ca="1">AVERAGE(OFFSET($AM$3,0,0,'Données projet'!$E$10+1,1))-AVERAGE(OFFSET($H$3,0,0,'Données projet'!$E$10+1,1))</f>
        <v>341.62910675299065</v>
      </c>
      <c r="AO44" s="62">
        <f t="shared" si="36"/>
        <v>407.15938341104709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18.857048194396803</v>
      </c>
      <c r="AW44" s="23">
        <f>EXP(-LN(2)/2)*AW43+(1-EXP(-LN(2)/2))/(LN(2)/2)*AQ44*AT44*VLOOKUP('Données projet'!$B$10,Paramètres!$A$1:$I$89,3,0)*0.475*44/12</f>
        <v>0.40363661668261325</v>
      </c>
      <c r="AX44" s="23">
        <f t="shared" si="6"/>
        <v>19.260684811079418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562.75916455140862</v>
      </c>
      <c r="BI44" s="62">
        <f ca="1">AVERAGE(OFFSET($BH$3,0,0,'Données projet'!$E$11+1,1))-AVERAGE(OFFSET($H$3,0,0,'Données projet'!$E$11+1,1))</f>
        <v>472.83070477639035</v>
      </c>
      <c r="BJ44" s="62">
        <f t="shared" si="38"/>
        <v>297.32483725004136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6.7303637950552133</v>
      </c>
      <c r="BR44" s="23">
        <f>EXP(-LN(2)/2)*BR43+(1-EXP(-LN(2)/2))/(LN(2)/2)*BL44*BO44*VLOOKUP('Données projet'!$B$11,Paramètres!$A$1:$I$89,3,0)*0.475*44/12</f>
        <v>0.32946258616031121</v>
      </c>
      <c r="BS44" s="24">
        <f t="shared" si="9"/>
        <v>7.0598263812155242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</v>
      </c>
      <c r="BY44" s="13">
        <f>IF('Données projet'!$A$114&gt;35,BY43+BX44-CG43,IF(A44&lt;'Données projet'!$A$114,$BV$205^A44,IF(A44='Données projet'!$A$114,'Données projet'!$B$114,BY43+BX44-CG43)))</f>
        <v>285.99999999999989</v>
      </c>
      <c r="BZ44" s="14">
        <f>BY44*VLOOKUP('Données projet'!$B$12,Paramètres!$A$1:$I$89,3,0)*VLOOKUP('Données projet'!$B$12,Paramètres!$A$1:$I$89,5,0)</f>
        <v>156.15599999999995</v>
      </c>
      <c r="CA44" s="14">
        <f t="shared" si="39"/>
        <v>39.974267176222085</v>
      </c>
      <c r="CB44" s="22">
        <f t="shared" si="10"/>
        <v>341.59354866525337</v>
      </c>
      <c r="CC44" s="62">
        <f t="shared" si="11"/>
        <v>590.19623825975737</v>
      </c>
      <c r="CD44" s="62">
        <f ca="1">AVERAGE(OFFSET($CC$3,0,0,'Données projet'!$E$12+1,1))-AVERAGE(OFFSET($H$3,0,0,'Données projet'!$E$12+1,1))</f>
        <v>262.64209686767367</v>
      </c>
      <c r="CE44" s="62">
        <f t="shared" si="40"/>
        <v>381.0342365342517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4.6757011807629434</v>
      </c>
      <c r="CL44" s="23">
        <f>EXP(-LN(2)/25)*CL43+(1-EXP(-LN(2)/25))/(LN(2)/25)*Calculateur!CG44*Calculateur!CI44*VLOOKUP('Données projet'!$B$12,Paramètres!$A$1:$I$89,3,0)*0.475*44/12</f>
        <v>9.6113640351461722</v>
      </c>
      <c r="CM44" s="23">
        <f>EXP(-LN(2)/2)*CM43+(1-EXP(-LN(2)/2))/(LN(2)/2)*CG44*CJ44*VLOOKUP('Données projet'!$B$12,Paramètres!$A$1:$I$89,3,0)*0.475*44/12</f>
        <v>0.27338547762508209</v>
      </c>
      <c r="CN44" s="24">
        <f t="shared" si="12"/>
        <v>14.560450693534198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6.6</v>
      </c>
      <c r="CT44" s="13">
        <f>IF('Données projet'!$A$140&gt;35,CT43+CS44-DB43,IF(A44&lt;'Données projet'!$A$140,$CQ$205^A44,IF(A44='Données projet'!$A$140,'Données projet'!$B$140,CT43+CS44-DB43)))</f>
        <v>138.59999999999994</v>
      </c>
      <c r="CU44" s="18">
        <f>CT44*VLOOKUP('Données projet'!$B$13,Paramètres!$A$1:$I$89,3,0)*VLOOKUP('Données projet'!$B$13,Paramètres!$A$1:$I$89,5,0)</f>
        <v>101.62151999999995</v>
      </c>
      <c r="CV44" s="14">
        <f t="shared" si="41"/>
        <v>27.347939943978915</v>
      </c>
      <c r="CW44" s="22">
        <f t="shared" si="13"/>
        <v>224.62180940242982</v>
      </c>
      <c r="CX44" s="62">
        <f t="shared" si="14"/>
        <v>473.22449899693379</v>
      </c>
      <c r="CY44" s="62">
        <f ca="1">AVERAGE(OFFSET($CX$3,0,0,'Données projet'!$E$13+1,1))-AVERAGE(OFFSET($H$3,0,0,'Données projet'!$E$13+1,1))</f>
        <v>250.11765444522138</v>
      </c>
      <c r="CZ44" s="62">
        <f t="shared" si="42"/>
        <v>241.42920565698913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7.1769400489259105</v>
      </c>
      <c r="DH44" s="23">
        <f>EXP(-LN(2)/2)*DH43+(1-EXP(-LN(2)/2))/(LN(2)/2)*DB44*DE44*VLOOKUP('Données projet'!$B$13,Paramètres!$A$1:$I$89,3,0)*0.475*44/12</f>
        <v>1.1082132650312677</v>
      </c>
      <c r="DI44" s="24">
        <f t="shared" si="15"/>
        <v>8.2851533139571778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583.89</v>
      </c>
      <c r="L45" s="13">
        <f>VLOOKUP(A45,'Données projet'!$A$35:$I$55,9,0)</f>
        <v>28.849999999999966</v>
      </c>
      <c r="M45" s="13">
        <f t="array" ref="M45">INDEX(L:L,MIN(IF(ISNUMBER(L45:L241),ROW(L45:L241),"")))</f>
        <v>28.849999999999966</v>
      </c>
      <c r="N45" s="14">
        <f>IF('Données projet'!$A$36&gt;35,N44+M45-V44,IF(A45&lt;'Données projet'!$A$36,$K$205^A45,IF(A45='Données projet'!$A$36,'Données projet'!$B$36,N44+M45-V44)))</f>
        <v>583.88999999999987</v>
      </c>
      <c r="O45" s="14">
        <f>N45*VLOOKUP('Données projet'!$B$9,Paramètres!$A$1:$I$89,3,0)*VLOOKUP('Données projet'!$B$9,Paramètres!$A$1:$I$89,5,0)</f>
        <v>326.39450999999991</v>
      </c>
      <c r="P45" s="14">
        <f t="shared" si="33"/>
        <v>76.68231983802859</v>
      </c>
      <c r="Q45" s="22">
        <f t="shared" si="53"/>
        <v>702.0254786345663</v>
      </c>
      <c r="R45" s="62">
        <f t="shared" si="0"/>
        <v>951.40414489520106</v>
      </c>
      <c r="S45" s="62">
        <f ca="1">AVERAGE(OFFSET($R$3,0,0,'Données projet'!$E$9+1,1))-AVERAGE(OFFSET($H$3,0,0,'Données projet'!$E$9+1,1))</f>
        <v>419.0448820879102</v>
      </c>
      <c r="T45" s="62">
        <f t="shared" si="34"/>
        <v>553.33038335026379</v>
      </c>
      <c r="U45" s="16">
        <f>IF(ISNA(VLOOKUP(A45,'Données projet'!$A$35:$I$55,3,0)),0,VLOOKUP(A45,'Données projet'!$A$35:$I$55,3,0))</f>
        <v>14</v>
      </c>
      <c r="V45" s="16">
        <f>IF(ISNA(VLOOKUP(A45,'Données projet'!$A$35:$I$55,4,0)),0,VLOOKUP(A45,'Données projet'!$A$35:$I$55,4,0))</f>
        <v>91.25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11.882877139773077</v>
      </c>
      <c r="AA45" s="23">
        <f>EXP(-LN(2)/25)*AA44+(1-EXP(-LN(2)/25))/(LN(2)/25)*Calculateur!V45*Calculateur!X45*VLOOKUP('Données projet'!$B$9,Paramètres!$A$1:$I$89,3,0)*0.475*44/12</f>
        <v>16.832460918047513</v>
      </c>
      <c r="AB45" s="23">
        <f>EXP(-LN(2)/2)*AB44+(1-EXP(-LN(2)/2))/(LN(2)/2)*V45*Y45*VLOOKUP('Données projet'!$B$9,Paramètres!$A$1:$I$89,3,0)*0.475*44/12</f>
        <v>0.280078203170324</v>
      </c>
      <c r="AC45" s="24">
        <f t="shared" si="3"/>
        <v>28.995416260990911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193.60000000000005</v>
      </c>
      <c r="AJ45" s="14">
        <f>AI45*VLOOKUP('Données projet'!$B$10,Paramètres!$A$1:$I$89,3,0)*VLOOKUP('Données projet'!$B$10,Paramètres!$A$1:$I$89,5,0)</f>
        <v>169.12896000000006</v>
      </c>
      <c r="AK45" s="14">
        <f t="shared" si="35"/>
        <v>42.894881315146776</v>
      </c>
      <c r="AL45" s="22">
        <f t="shared" si="4"/>
        <v>369.27485695721407</v>
      </c>
      <c r="AM45" s="62">
        <f t="shared" si="5"/>
        <v>618.65352321784883</v>
      </c>
      <c r="AN45" s="62">
        <f ca="1">AVERAGE(OFFSET($AM$3,0,0,'Données projet'!$E$10+1,1))-AVERAGE(OFFSET($H$3,0,0,'Données projet'!$E$10+1,1))</f>
        <v>341.62910675299065</v>
      </c>
      <c r="AO45" s="62">
        <f t="shared" si="36"/>
        <v>407.15938341104709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18.341401219871958</v>
      </c>
      <c r="AW45" s="23">
        <f>EXP(-LN(2)/2)*AW44+(1-EXP(-LN(2)/2))/(LN(2)/2)*AQ45*AT45*VLOOKUP('Données projet'!$B$10,Paramètres!$A$1:$I$89,3,0)*0.475*44/12</f>
        <v>0.28541418879147096</v>
      </c>
      <c r="AX45" s="23">
        <f t="shared" si="6"/>
        <v>18.626815408663429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585.58746857823087</v>
      </c>
      <c r="BI45" s="62">
        <f ca="1">AVERAGE(OFFSET($BH$3,0,0,'Données projet'!$E$11+1,1))-AVERAGE(OFFSET($H$3,0,0,'Données projet'!$E$11+1,1))</f>
        <v>472.83070477639035</v>
      </c>
      <c r="BJ45" s="62">
        <f t="shared" si="38"/>
        <v>297.32483725004136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6.5463216431449789</v>
      </c>
      <c r="BR45" s="23">
        <f>EXP(-LN(2)/2)*BR44+(1-EXP(-LN(2)/2))/(LN(2)/2)*BL45*BO45*VLOOKUP('Données projet'!$B$11,Paramètres!$A$1:$I$89,3,0)*0.475*44/12</f>
        <v>0.23296522882121326</v>
      </c>
      <c r="BS45" s="24">
        <f t="shared" si="9"/>
        <v>6.7792868719661925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</v>
      </c>
      <c r="BY45" s="13">
        <f>IF('Données projet'!$A$114&gt;35,BY44+BX45-CG44,IF(A45&lt;'Données projet'!$A$114,$BV$205^A45,IF(A45='Données projet'!$A$114,'Données projet'!$B$114,BY44+BX45-CG44)))</f>
        <v>291.99999999999989</v>
      </c>
      <c r="BZ45" s="14">
        <f>BY45*VLOOKUP('Données projet'!$B$12,Paramètres!$A$1:$I$89,3,0)*VLOOKUP('Données projet'!$B$12,Paramètres!$A$1:$I$89,5,0)</f>
        <v>159.43199999999993</v>
      </c>
      <c r="CA45" s="14">
        <f t="shared" si="39"/>
        <v>40.714374916553687</v>
      </c>
      <c r="CB45" s="22">
        <f t="shared" si="10"/>
        <v>348.58826964633084</v>
      </c>
      <c r="CC45" s="62">
        <f t="shared" si="11"/>
        <v>597.96693590696555</v>
      </c>
      <c r="CD45" s="62">
        <f ca="1">AVERAGE(OFFSET($CC$3,0,0,'Données projet'!$E$12+1,1))-AVERAGE(OFFSET($H$3,0,0,'Données projet'!$E$12+1,1))</f>
        <v>262.64209686767367</v>
      </c>
      <c r="CE45" s="62">
        <f t="shared" si="40"/>
        <v>381.0342365342517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4.5840135325043008</v>
      </c>
      <c r="CL45" s="23">
        <f>EXP(-LN(2)/25)*CL44+(1-EXP(-LN(2)/25))/(LN(2)/25)*Calculateur!CG45*Calculateur!CI45*VLOOKUP('Données projet'!$B$12,Paramètres!$A$1:$I$89,3,0)*0.475*44/12</f>
        <v>9.3485407801654326</v>
      </c>
      <c r="CM45" s="23">
        <f>EXP(-LN(2)/2)*CM44+(1-EXP(-LN(2)/2))/(LN(2)/2)*CG45*CJ45*VLOOKUP('Données projet'!$B$12,Paramètres!$A$1:$I$89,3,0)*0.475*44/12</f>
        <v>0.1933127251066187</v>
      </c>
      <c r="CN45" s="24">
        <f t="shared" si="12"/>
        <v>14.125867037776352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6.6</v>
      </c>
      <c r="CT45" s="13">
        <f>IF('Données projet'!$A$140&gt;35,CT44+CS45-DB44,IF(A45&lt;'Données projet'!$A$140,$CQ$205^A45,IF(A45='Données projet'!$A$140,'Données projet'!$B$140,CT44+CS45-DB44)))</f>
        <v>145.19999999999993</v>
      </c>
      <c r="CU45" s="18">
        <f>CT45*VLOOKUP('Données projet'!$B$13,Paramètres!$A$1:$I$89,3,0)*VLOOKUP('Données projet'!$B$13,Paramètres!$A$1:$I$89,5,0)</f>
        <v>106.46063999999994</v>
      </c>
      <c r="CV45" s="14">
        <f t="shared" si="41"/>
        <v>28.495503128802824</v>
      </c>
      <c r="CW45" s="22">
        <f t="shared" si="13"/>
        <v>235.04861594933149</v>
      </c>
      <c r="CX45" s="62">
        <f t="shared" si="14"/>
        <v>484.42728220996622</v>
      </c>
      <c r="CY45" s="62">
        <f ca="1">AVERAGE(OFFSET($CX$3,0,0,'Données projet'!$E$13+1,1))-AVERAGE(OFFSET($H$3,0,0,'Données projet'!$E$13+1,1))</f>
        <v>250.11765444522138</v>
      </c>
      <c r="CZ45" s="62">
        <f t="shared" si="42"/>
        <v>241.42920565698913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6.9806862458691574</v>
      </c>
      <c r="DH45" s="23">
        <f>EXP(-LN(2)/2)*DH44+(1-EXP(-LN(2)/2))/(LN(2)/2)*DB45*DE45*VLOOKUP('Données projet'!$B$13,Paramètres!$A$1:$I$89,3,0)*0.475*44/12</f>
        <v>0.78362511470449403</v>
      </c>
      <c r="DI45" s="24">
        <f t="shared" si="15"/>
        <v>7.7643113605736511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26.495000000000005</v>
      </c>
      <c r="N46" s="14">
        <f>IF('Données projet'!$A$36&gt;35,N45+M46-V45,IF(A46&lt;'Données projet'!$A$36,$K$205^A46,IF(A46='Données projet'!$A$36,'Données projet'!$B$36,N45+M46-V45)))</f>
        <v>519.13499999999988</v>
      </c>
      <c r="O46" s="14">
        <f>N46*VLOOKUP('Données projet'!$B$9,Paramètres!$A$1:$I$89,3,0)*VLOOKUP('Données projet'!$B$9,Paramètres!$A$1:$I$89,5,0)</f>
        <v>290.19646499999993</v>
      </c>
      <c r="P46" s="14">
        <f t="shared" si="33"/>
        <v>69.11730885855718</v>
      </c>
      <c r="Q46" s="22">
        <f t="shared" si="53"/>
        <v>625.80482280365356</v>
      </c>
      <c r="R46" s="62">
        <f t="shared" si="0"/>
        <v>875.94600427008561</v>
      </c>
      <c r="S46" s="62">
        <f ca="1">AVERAGE(OFFSET($R$3,0,0,'Données projet'!$E$9+1,1))-AVERAGE(OFFSET($H$3,0,0,'Données projet'!$E$9+1,1))</f>
        <v>419.0448820879102</v>
      </c>
      <c r="T46" s="62">
        <f t="shared" si="34"/>
        <v>553.33038335026379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11.649861166901518</v>
      </c>
      <c r="AA46" s="23">
        <f>EXP(-LN(2)/25)*AA45+(1-EXP(-LN(2)/25))/(LN(2)/25)*Calculateur!V46*Calculateur!X46*VLOOKUP('Données projet'!$B$9,Paramètres!$A$1:$I$89,3,0)*0.475*44/12</f>
        <v>16.372176389062854</v>
      </c>
      <c r="AB46" s="23">
        <f>EXP(-LN(2)/2)*AB45+(1-EXP(-LN(2)/2))/(LN(2)/2)*V46*Y46*VLOOKUP('Données projet'!$B$9,Paramètres!$A$1:$I$89,3,0)*0.475*44/12</f>
        <v>0.1980451967242797</v>
      </c>
      <c r="AC46" s="24">
        <f t="shared" si="3"/>
        <v>28.220082752688654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203.40000000000006</v>
      </c>
      <c r="AJ46" s="14">
        <f>AI46*VLOOKUP('Données projet'!$B$10,Paramètres!$A$1:$I$89,3,0)*VLOOKUP('Données projet'!$B$10,Paramètres!$A$1:$I$89,5,0)</f>
        <v>177.69024000000007</v>
      </c>
      <c r="AK46" s="14">
        <f t="shared" si="35"/>
        <v>44.807921499827692</v>
      </c>
      <c r="AL46" s="22">
        <f t="shared" si="4"/>
        <v>387.5176312788667</v>
      </c>
      <c r="AM46" s="62">
        <f t="shared" si="5"/>
        <v>637.65881274529875</v>
      </c>
      <c r="AN46" s="62">
        <f ca="1">AVERAGE(OFFSET($AM$3,0,0,'Données projet'!$E$10+1,1))-AVERAGE(OFFSET($H$3,0,0,'Données projet'!$E$10+1,1))</f>
        <v>341.62910675299065</v>
      </c>
      <c r="AO46" s="62">
        <f t="shared" si="36"/>
        <v>407.15938341104709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17.839854638982189</v>
      </c>
      <c r="AW46" s="23">
        <f>EXP(-LN(2)/2)*AW45+(1-EXP(-LN(2)/2))/(LN(2)/2)*AQ46*AT46*VLOOKUP('Données projet'!$B$10,Paramètres!$A$1:$I$89,3,0)*0.475*44/12</f>
        <v>0.20181830834130662</v>
      </c>
      <c r="AX46" s="23">
        <f t="shared" si="6"/>
        <v>18.041672947323494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608.37046704726299</v>
      </c>
      <c r="BI46" s="62">
        <f ca="1">AVERAGE(OFFSET($BH$3,0,0,'Données projet'!$E$11+1,1))-AVERAGE(OFFSET($H$3,0,0,'Données projet'!$E$11+1,1))</f>
        <v>472.83070477639035</v>
      </c>
      <c r="BJ46" s="62">
        <f t="shared" si="38"/>
        <v>297.32483725004136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6.3673121335570864</v>
      </c>
      <c r="BR46" s="23">
        <f>EXP(-LN(2)/2)*BR45+(1-EXP(-LN(2)/2))/(LN(2)/2)*BL46*BO46*VLOOKUP('Données projet'!$B$11,Paramètres!$A$1:$I$89,3,0)*0.475*44/12</f>
        <v>0.16473129308015563</v>
      </c>
      <c r="BS46" s="24">
        <f t="shared" si="9"/>
        <v>6.5320434266372418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</v>
      </c>
      <c r="BY46" s="13">
        <f>IF('Données projet'!$A$114&gt;35,BY45+BX46-CG45,IF(A46&lt;'Données projet'!$A$114,$BV$205^A46,IF(A46='Données projet'!$A$114,'Données projet'!$B$114,BY45+BX46-CG45)))</f>
        <v>297.99999999999989</v>
      </c>
      <c r="BZ46" s="14">
        <f>BY46*VLOOKUP('Données projet'!$B$12,Paramètres!$A$1:$I$89,3,0)*VLOOKUP('Données projet'!$B$12,Paramètres!$A$1:$I$89,5,0)</f>
        <v>162.70799999999994</v>
      </c>
      <c r="CA46" s="14">
        <f t="shared" si="39"/>
        <v>41.452714465110219</v>
      </c>
      <c r="CB46" s="22">
        <f t="shared" si="10"/>
        <v>355.57991102673355</v>
      </c>
      <c r="CC46" s="62">
        <f t="shared" si="11"/>
        <v>605.72109249316554</v>
      </c>
      <c r="CD46" s="62">
        <f ca="1">AVERAGE(OFFSET($CC$3,0,0,'Données projet'!$E$12+1,1))-AVERAGE(OFFSET($H$3,0,0,'Données projet'!$E$12+1,1))</f>
        <v>262.64209686767367</v>
      </c>
      <c r="CE46" s="62">
        <f t="shared" si="40"/>
        <v>381.0342365342517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4.4941238231040668</v>
      </c>
      <c r="CL46" s="23">
        <f>EXP(-LN(2)/25)*CL45+(1-EXP(-LN(2)/25))/(LN(2)/25)*Calculateur!CG46*Calculateur!CI46*VLOOKUP('Données projet'!$B$12,Paramètres!$A$1:$I$89,3,0)*0.475*44/12</f>
        <v>9.092904440913415</v>
      </c>
      <c r="CM46" s="23">
        <f>EXP(-LN(2)/2)*CM45+(1-EXP(-LN(2)/2))/(LN(2)/2)*CG46*CJ46*VLOOKUP('Données projet'!$B$12,Paramètres!$A$1:$I$89,3,0)*0.475*44/12</f>
        <v>0.13669273881254104</v>
      </c>
      <c r="CN46" s="24">
        <f t="shared" si="12"/>
        <v>13.723721002830024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6.6</v>
      </c>
      <c r="CT46" s="13">
        <f>IF('Données projet'!$A$140&gt;35,CT45+CS46-DB45,IF(A46&lt;'Données projet'!$A$140,$CQ$205^A46,IF(A46='Données projet'!$A$140,'Données projet'!$B$140,CT45+CS46-DB45)))</f>
        <v>151.79999999999993</v>
      </c>
      <c r="CU46" s="18">
        <f>CT46*VLOOKUP('Données projet'!$B$13,Paramètres!$A$1:$I$89,3,0)*VLOOKUP('Données projet'!$B$13,Paramètres!$A$1:$I$89,5,0)</f>
        <v>111.29975999999995</v>
      </c>
      <c r="CV46" s="14">
        <f t="shared" si="41"/>
        <v>29.637008492427363</v>
      </c>
      <c r="CW46" s="22">
        <f t="shared" si="13"/>
        <v>245.46487179097758</v>
      </c>
      <c r="CX46" s="62">
        <f t="shared" si="14"/>
        <v>495.6060532574096</v>
      </c>
      <c r="CY46" s="62">
        <f ca="1">AVERAGE(OFFSET($CX$3,0,0,'Données projet'!$E$13+1,1))-AVERAGE(OFFSET($H$3,0,0,'Données projet'!$E$13+1,1))</f>
        <v>250.11765444522138</v>
      </c>
      <c r="CZ46" s="62">
        <f t="shared" si="42"/>
        <v>241.42920565698913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6.7897990133775306</v>
      </c>
      <c r="DH46" s="23">
        <f>EXP(-LN(2)/2)*DH45+(1-EXP(-LN(2)/2))/(LN(2)/2)*DB46*DE46*VLOOKUP('Données projet'!$B$13,Paramètres!$A$1:$I$89,3,0)*0.475*44/12</f>
        <v>0.55410663251563386</v>
      </c>
      <c r="DI46" s="24">
        <f t="shared" si="15"/>
        <v>7.3439056458931642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545.63</v>
      </c>
      <c r="L47" s="13">
        <f>VLOOKUP(A47,'Données projet'!$A$35:$I$55,9,0)</f>
        <v>26.495000000000005</v>
      </c>
      <c r="M47" s="13">
        <f t="array" ref="M47">INDEX(L:L,MIN(IF(ISNUMBER(L47:L243),ROW(L47:L243),"")))</f>
        <v>26.495000000000005</v>
      </c>
      <c r="N47" s="14">
        <f>IF('Données projet'!$A$36&gt;35,N46+M47-V46,IF(A47&lt;'Données projet'!$A$36,$K$205^A47,IF(A47='Données projet'!$A$36,'Données projet'!$B$36,N46+M47-V46)))</f>
        <v>545.62999999999988</v>
      </c>
      <c r="O47" s="14">
        <f>N47*VLOOKUP('Données projet'!$B$9,Paramètres!$A$1:$I$89,3,0)*VLOOKUP('Données projet'!$B$9,Paramètres!$A$1:$I$89,5,0)</f>
        <v>305.00716999999992</v>
      </c>
      <c r="P47" s="14">
        <f t="shared" si="33"/>
        <v>72.225145248700485</v>
      </c>
      <c r="Q47" s="22">
        <f t="shared" si="53"/>
        <v>657.01294905815314</v>
      </c>
      <c r="R47" s="62">
        <f t="shared" si="0"/>
        <v>907.90341779629057</v>
      </c>
      <c r="S47" s="62">
        <f ca="1">AVERAGE(OFFSET($R$3,0,0,'Données projet'!$E$9+1,1))-AVERAGE(OFFSET($H$3,0,0,'Données projet'!$E$9+1,1))</f>
        <v>419.0448820879102</v>
      </c>
      <c r="T47" s="62">
        <f t="shared" si="34"/>
        <v>553.33038335026379</v>
      </c>
      <c r="U47" s="16">
        <f>IF(ISNA(VLOOKUP(A47,'Données projet'!$A$35:$I$55,3,0)),0,VLOOKUP(A47,'Données projet'!$A$35:$I$55,3,0))</f>
        <v>15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11.421414495132261</v>
      </c>
      <c r="AA47" s="23">
        <f>EXP(-LN(2)/25)*AA46+(1-EXP(-LN(2)/25))/(LN(2)/25)*Calculateur!V47*Calculateur!X47*VLOOKUP('Données projet'!$B$9,Paramètres!$A$1:$I$89,3,0)*0.475*44/12</f>
        <v>15.924478364728593</v>
      </c>
      <c r="AB47" s="23">
        <f>EXP(-LN(2)/2)*AB46+(1-EXP(-LN(2)/2))/(LN(2)/2)*V47*Y47*VLOOKUP('Données projet'!$B$9,Paramètres!$A$1:$I$89,3,0)*0.475*44/12</f>
        <v>0.140039101585162</v>
      </c>
      <c r="AC47" s="24">
        <f t="shared" si="3"/>
        <v>27.485931961446017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213.20000000000007</v>
      </c>
      <c r="AJ47" s="14">
        <f>AI47*VLOOKUP('Données projet'!$B$10,Paramètres!$A$1:$I$89,3,0)*VLOOKUP('Données projet'!$B$10,Paramètres!$A$1:$I$89,5,0)</f>
        <v>186.25152000000008</v>
      </c>
      <c r="AK47" s="14">
        <f t="shared" si="35"/>
        <v>46.71025851515671</v>
      </c>
      <c r="AL47" s="22">
        <f t="shared" si="4"/>
        <v>405.7417642472314</v>
      </c>
      <c r="AM47" s="62">
        <f t="shared" si="5"/>
        <v>656.63223298536877</v>
      </c>
      <c r="AN47" s="62">
        <f ca="1">AVERAGE(OFFSET($AM$3,0,0,'Données projet'!$E$10+1,1))-AVERAGE(OFFSET($H$3,0,0,'Données projet'!$E$10+1,1))</f>
        <v>341.62910675299065</v>
      </c>
      <c r="AO47" s="62">
        <f t="shared" si="36"/>
        <v>407.15938341104709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17.352022875722039</v>
      </c>
      <c r="AW47" s="23">
        <f>EXP(-LN(2)/2)*AW46+(1-EXP(-LN(2)/2))/(LN(2)/2)*AQ47*AT47*VLOOKUP('Données projet'!$B$10,Paramètres!$A$1:$I$89,3,0)*0.475*44/12</f>
        <v>0.14270709439573548</v>
      </c>
      <c r="AX47" s="23">
        <f t="shared" si="6"/>
        <v>17.494729970117774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631.11062498731712</v>
      </c>
      <c r="BI47" s="62">
        <f ca="1">AVERAGE(OFFSET($BH$3,0,0,'Données projet'!$E$11+1,1))-AVERAGE(OFFSET($H$3,0,0,'Données projet'!$E$11+1,1))</f>
        <v>472.83070477639035</v>
      </c>
      <c r="BJ47" s="62">
        <f t="shared" si="38"/>
        <v>297.32483725004136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6.1931976484225757</v>
      </c>
      <c r="BR47" s="23">
        <f>EXP(-LN(2)/2)*BR46+(1-EXP(-LN(2)/2))/(LN(2)/2)*BL47*BO47*VLOOKUP('Données projet'!$B$11,Paramètres!$A$1:$I$89,3,0)*0.475*44/12</f>
        <v>0.11648261441060664</v>
      </c>
      <c r="BS47" s="24">
        <f t="shared" si="9"/>
        <v>6.3096802628331821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</v>
      </c>
      <c r="BY47" s="13">
        <f>IF('Données projet'!$A$114&gt;35,BY46+BX47-CG46,IF(A47&lt;'Données projet'!$A$114,$BV$205^A47,IF(A47='Données projet'!$A$114,'Données projet'!$B$114,BY46+BX47-CG46)))</f>
        <v>303.99999999999989</v>
      </c>
      <c r="BZ47" s="14">
        <f>BY47*VLOOKUP('Données projet'!$B$12,Paramètres!$A$1:$I$89,3,0)*VLOOKUP('Données projet'!$B$12,Paramètres!$A$1:$I$89,5,0)</f>
        <v>165.98399999999995</v>
      </c>
      <c r="CA47" s="14">
        <f t="shared" si="39"/>
        <v>42.189325525922243</v>
      </c>
      <c r="CB47" s="22">
        <f t="shared" si="10"/>
        <v>362.56854195764782</v>
      </c>
      <c r="CC47" s="62">
        <f t="shared" si="11"/>
        <v>613.45901069578531</v>
      </c>
      <c r="CD47" s="62">
        <f ca="1">AVERAGE(OFFSET($CC$3,0,0,'Données projet'!$E$12+1,1))-AVERAGE(OFFSET($H$3,0,0,'Données projet'!$E$12+1,1))</f>
        <v>262.64209686767367</v>
      </c>
      <c r="CE47" s="62">
        <f t="shared" si="40"/>
        <v>381.0342365342517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4.4059967960778623</v>
      </c>
      <c r="CL47" s="23">
        <f>EXP(-LN(2)/25)*CL46+(1-EXP(-LN(2)/25))/(LN(2)/25)*Calculateur!CG47*Calculateur!CI47*VLOOKUP('Données projet'!$B$12,Paramètres!$A$1:$I$89,3,0)*0.475*44/12</f>
        <v>8.8442584908015753</v>
      </c>
      <c r="CM47" s="23">
        <f>EXP(-LN(2)/2)*CM46+(1-EXP(-LN(2)/2))/(LN(2)/2)*CG47*CJ47*VLOOKUP('Données projet'!$B$12,Paramètres!$A$1:$I$89,3,0)*0.475*44/12</f>
        <v>9.6656362553309352E-2</v>
      </c>
      <c r="CN47" s="24">
        <f t="shared" si="12"/>
        <v>13.346911649432746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6.6</v>
      </c>
      <c r="CT47" s="13">
        <f>IF('Données projet'!$A$140&gt;35,CT46+CS47-DB46,IF(A47&lt;'Données projet'!$A$140,$CQ$205^A47,IF(A47='Données projet'!$A$140,'Données projet'!$B$140,CT46+CS47-DB46)))</f>
        <v>158.39999999999992</v>
      </c>
      <c r="CU47" s="18">
        <f>CT47*VLOOKUP('Données projet'!$B$13,Paramètres!$A$1:$I$89,3,0)*VLOOKUP('Données projet'!$B$13,Paramètres!$A$1:$I$89,5,0)</f>
        <v>116.13887999999994</v>
      </c>
      <c r="CV47" s="14">
        <f t="shared" si="41"/>
        <v>30.772749522187699</v>
      </c>
      <c r="CW47" s="22">
        <f t="shared" si="13"/>
        <v>255.87108808447678</v>
      </c>
      <c r="CX47" s="62">
        <f t="shared" si="14"/>
        <v>506.76155682261424</v>
      </c>
      <c r="CY47" s="62">
        <f ca="1">AVERAGE(OFFSET($CX$3,0,0,'Données projet'!$E$13+1,1))-AVERAGE(OFFSET($H$3,0,0,'Données projet'!$E$13+1,1))</f>
        <v>250.11765444522138</v>
      </c>
      <c r="CZ47" s="62">
        <f t="shared" si="42"/>
        <v>241.42920565698913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6.60413160229671</v>
      </c>
      <c r="DH47" s="23">
        <f>EXP(-LN(2)/2)*DH46+(1-EXP(-LN(2)/2))/(LN(2)/2)*DB47*DE47*VLOOKUP('Données projet'!$B$13,Paramètres!$A$1:$I$89,3,0)*0.475*44/12</f>
        <v>0.39181255735224702</v>
      </c>
      <c r="DI47" s="24">
        <f t="shared" si="15"/>
        <v>6.9959441596489569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27.08499999999998</v>
      </c>
      <c r="N48" s="14">
        <f>IF('Données projet'!$A$36&gt;35,N47+M48-V47,IF(A48&lt;'Données projet'!$A$36,$K$205^A48,IF(A48='Données projet'!$A$36,'Données projet'!$B$36,N47+M48-V47)))</f>
        <v>572.71499999999992</v>
      </c>
      <c r="O48" s="14">
        <f>N48*VLOOKUP('Données projet'!$B$9,Paramètres!$A$1:$I$89,3,0)*VLOOKUP('Données projet'!$B$9,Paramètres!$A$1:$I$89,5,0)</f>
        <v>320.14768499999997</v>
      </c>
      <c r="P48" s="14">
        <f t="shared" si="33"/>
        <v>75.384081573989107</v>
      </c>
      <c r="Q48" s="22">
        <f t="shared" si="53"/>
        <v>688.88449344969774</v>
      </c>
      <c r="R48" s="62">
        <f t="shared" si="0"/>
        <v>940.51125100053184</v>
      </c>
      <c r="S48" s="62">
        <f ca="1">AVERAGE(OFFSET($R$3,0,0,'Données projet'!$E$9+1,1))-AVERAGE(OFFSET($H$3,0,0,'Données projet'!$E$9+1,1))</f>
        <v>419.0448820879102</v>
      </c>
      <c r="T48" s="62">
        <f t="shared" si="34"/>
        <v>553.33038335026379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11.197447523257686</v>
      </c>
      <c r="AA48" s="23">
        <f>EXP(-LN(2)/25)*AA47+(1-EXP(-LN(2)/25))/(LN(2)/25)*Calculateur!V48*Calculateur!X48*VLOOKUP('Données projet'!$B$9,Paramètres!$A$1:$I$89,3,0)*0.475*44/12</f>
        <v>15.489022666413168</v>
      </c>
      <c r="AB48" s="23">
        <f>EXP(-LN(2)/2)*AB47+(1-EXP(-LN(2)/2))/(LN(2)/2)*V48*Y48*VLOOKUP('Données projet'!$B$9,Paramètres!$A$1:$I$89,3,0)*0.475*44/12</f>
        <v>9.9022598362139849E-2</v>
      </c>
      <c r="AC48" s="24">
        <f t="shared" si="3"/>
        <v>26.785492788032997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223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223.00000000000009</v>
      </c>
      <c r="AJ48" s="14">
        <f>AI48*VLOOKUP('Données projet'!$B$10,Paramètres!$A$1:$I$89,3,0)*VLOOKUP('Données projet'!$B$10,Paramètres!$A$1:$I$89,5,0)</f>
        <v>194.81280000000012</v>
      </c>
      <c r="AK48" s="14">
        <f t="shared" si="35"/>
        <v>48.602440540253902</v>
      </c>
      <c r="AL48" s="22">
        <f t="shared" si="4"/>
        <v>423.9482106076091</v>
      </c>
      <c r="AM48" s="62">
        <f t="shared" si="5"/>
        <v>675.5749681584432</v>
      </c>
      <c r="AN48" s="62">
        <f ca="1">AVERAGE(OFFSET($AM$3,0,0,'Données projet'!$E$10+1,1))-AVERAGE(OFFSET($H$3,0,0,'Données projet'!$E$10+1,1))</f>
        <v>341.62910675299065</v>
      </c>
      <c r="AO48" s="62">
        <f t="shared" si="36"/>
        <v>407.15938341104709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36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16.877530897682195</v>
      </c>
      <c r="AW48" s="23">
        <f>EXP(-LN(2)/2)*AW47+(1-EXP(-LN(2)/2))/(LN(2)/2)*AQ48*AT48*VLOOKUP('Données projet'!$B$10,Paramètres!$A$1:$I$89,3,0)*0.475*44/12</f>
        <v>0.10090915417065331</v>
      </c>
      <c r="AX48" s="23">
        <f t="shared" si="6"/>
        <v>16.97844005185285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653.81012428716633</v>
      </c>
      <c r="BI48" s="62">
        <f ca="1">AVERAGE(OFFSET($BH$3,0,0,'Données projet'!$E$11+1,1))-AVERAGE(OFFSET($H$3,0,0,'Données projet'!$E$11+1,1))</f>
        <v>472.83070477639035</v>
      </c>
      <c r="BJ48" s="62">
        <f t="shared" si="38"/>
        <v>297.32483725004136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6.0238443330403504</v>
      </c>
      <c r="BR48" s="23">
        <f>EXP(-LN(2)/2)*BR47+(1-EXP(-LN(2)/2))/(LN(2)/2)*BL48*BO48*VLOOKUP('Données projet'!$B$11,Paramètres!$A$1:$I$89,3,0)*0.475*44/12</f>
        <v>8.236564654007783E-2</v>
      </c>
      <c r="BS48" s="24">
        <f t="shared" si="9"/>
        <v>6.1062099795804281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310</v>
      </c>
      <c r="BW48" s="13">
        <f>VLOOKUP(A48,'Données projet'!$A$113:$I$133,9,0)</f>
        <v>6</v>
      </c>
      <c r="BX48" s="13">
        <f t="array" ref="BX48">INDEX(BW:BW,MIN(IF(ISNUMBER(BW48:BW244),ROW(BW48:BW244),"")))</f>
        <v>6</v>
      </c>
      <c r="BY48" s="13">
        <f>IF('Données projet'!$A$114&gt;35,BY47+BX48-CG47,IF(A48&lt;'Données projet'!$A$114,$BV$205^A48,IF(A48='Données projet'!$A$114,'Données projet'!$B$114,BY47+BX48-CG47)))</f>
        <v>309.99999999999989</v>
      </c>
      <c r="BZ48" s="14">
        <f>BY48*VLOOKUP('Données projet'!$B$12,Paramètres!$A$1:$I$89,3,0)*VLOOKUP('Données projet'!$B$12,Paramètres!$A$1:$I$89,5,0)</f>
        <v>169.25999999999996</v>
      </c>
      <c r="CA48" s="14">
        <f t="shared" si="39"/>
        <v>42.924246146122272</v>
      </c>
      <c r="CB48" s="22">
        <f t="shared" si="10"/>
        <v>369.55422870449621</v>
      </c>
      <c r="CC48" s="62">
        <f t="shared" si="11"/>
        <v>621.18098625533037</v>
      </c>
      <c r="CD48" s="62">
        <f ca="1">AVERAGE(OFFSET($CC$3,0,0,'Données projet'!$E$12+1,1))-AVERAGE(OFFSET($H$3,0,0,'Données projet'!$E$12+1,1))</f>
        <v>262.64209686767367</v>
      </c>
      <c r="CE48" s="62">
        <f t="shared" si="40"/>
        <v>381.0342365342517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16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4.3195978862994631</v>
      </c>
      <c r="CL48" s="23">
        <f>EXP(-LN(2)/25)*CL47+(1-EXP(-LN(2)/25))/(LN(2)/25)*Calculateur!CG48*Calculateur!CI48*VLOOKUP('Données projet'!$B$12,Paramètres!$A$1:$I$89,3,0)*0.475*44/12</f>
        <v>8.602411777271266</v>
      </c>
      <c r="CM48" s="23">
        <f>EXP(-LN(2)/2)*CM47+(1-EXP(-LN(2)/2))/(LN(2)/2)*CG48*CJ48*VLOOKUP('Données projet'!$B$12,Paramètres!$A$1:$I$89,3,0)*0.475*44/12</f>
        <v>6.8346369406270521E-2</v>
      </c>
      <c r="CN48" s="24">
        <f t="shared" si="12"/>
        <v>12.990356032977001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165</v>
      </c>
      <c r="CR48" s="13">
        <f>VLOOKUP(A48,'Données projet'!$A$139:$I$159,9,0)</f>
        <v>6.6</v>
      </c>
      <c r="CS48" s="13">
        <f t="array" ref="CS48">INDEX(CR:CR,MIN(IF(ISNUMBER(CR48:CR244),ROW(CR48:CR244),"")))</f>
        <v>6.6</v>
      </c>
      <c r="CT48" s="13">
        <f>IF('Données projet'!$A$140&gt;35,CT47+CS48-DB47,IF(A48&lt;'Données projet'!$A$140,$CQ$205^A48,IF(A48='Données projet'!$A$140,'Données projet'!$B$140,CT47+CS48-DB47)))</f>
        <v>164.99999999999991</v>
      </c>
      <c r="CU48" s="18">
        <f>CT48*VLOOKUP('Données projet'!$B$13,Paramètres!$A$1:$I$89,3,0)*VLOOKUP('Données projet'!$B$13,Paramètres!$A$1:$I$89,5,0)</f>
        <v>120.97799999999994</v>
      </c>
      <c r="CV48" s="14">
        <f t="shared" si="41"/>
        <v>31.902993864447502</v>
      </c>
      <c r="CW48" s="22">
        <f t="shared" si="13"/>
        <v>266.2677309805793</v>
      </c>
      <c r="CX48" s="62">
        <f t="shared" si="14"/>
        <v>517.89448853141346</v>
      </c>
      <c r="CY48" s="62">
        <f ca="1">AVERAGE(OFFSET($CX$3,0,0,'Données projet'!$E$13+1,1))-AVERAGE(OFFSET($H$3,0,0,'Données projet'!$E$13+1,1))</f>
        <v>250.11765444522138</v>
      </c>
      <c r="CZ48" s="62">
        <f t="shared" si="42"/>
        <v>241.42920565698913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18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6.4235412763357198</v>
      </c>
      <c r="DH48" s="23">
        <f>EXP(-LN(2)/2)*DH47+(1-EXP(-LN(2)/2))/(LN(2)/2)*DB48*DE48*VLOOKUP('Données projet'!$B$13,Paramètres!$A$1:$I$89,3,0)*0.475*44/12</f>
        <v>0.27705331625781693</v>
      </c>
      <c r="DI48" s="24">
        <f t="shared" si="15"/>
        <v>6.7005945925935366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599.79999999999995</v>
      </c>
      <c r="L49" s="13">
        <f>VLOOKUP(A49,'Données projet'!$A$35:$I$55,9,0)</f>
        <v>27.08499999999998</v>
      </c>
      <c r="M49" s="13">
        <f t="array" ref="M49">INDEX(L:L,MIN(IF(ISNUMBER(L49:L245),ROW(L49:L245),"")))</f>
        <v>27.08499999999998</v>
      </c>
      <c r="N49" s="14">
        <f>IF('Données projet'!$A$36&gt;35,N48+M49-V48,IF(A49&lt;'Données projet'!$A$36,$K$205^A49,IF(A49='Données projet'!$A$36,'Données projet'!$B$36,N48+M49-V48)))</f>
        <v>599.79999999999995</v>
      </c>
      <c r="O49" s="14">
        <f>N49*VLOOKUP('Données projet'!$B$9,Paramètres!$A$1:$I$89,3,0)*VLOOKUP('Données projet'!$B$9,Paramètres!$A$1:$I$89,5,0)</f>
        <v>335.28820000000002</v>
      </c>
      <c r="P49" s="14">
        <f t="shared" si="33"/>
        <v>78.525669464786546</v>
      </c>
      <c r="Q49" s="22">
        <f t="shared" si="53"/>
        <v>720.72582265116989</v>
      </c>
      <c r="R49" s="62">
        <f t="shared" si="0"/>
        <v>973.07609604989557</v>
      </c>
      <c r="S49" s="62">
        <f ca="1">AVERAGE(OFFSET($R$3,0,0,'Données projet'!$E$9+1,1))-AVERAGE(OFFSET($H$3,0,0,'Données projet'!$E$9+1,1))</f>
        <v>419.0448820879102</v>
      </c>
      <c r="T49" s="62">
        <f t="shared" si="34"/>
        <v>553.33038335026379</v>
      </c>
      <c r="U49" s="16">
        <f>IF(ISNA(VLOOKUP(A49,'Données projet'!$A$35:$I$55,3,0)),0,VLOOKUP(A49,'Données projet'!$A$35:$I$55,3,0))</f>
        <v>16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10.977872407095209</v>
      </c>
      <c r="AA49" s="23">
        <f>EXP(-LN(2)/25)*AA48+(1-EXP(-LN(2)/25))/(LN(2)/25)*Calculateur!V49*Calculateur!X49*VLOOKUP('Données projet'!$B$9,Paramètres!$A$1:$I$89,3,0)*0.475*44/12</f>
        <v>15.065474527067799</v>
      </c>
      <c r="AB49" s="23">
        <f>EXP(-LN(2)/2)*AB48+(1-EXP(-LN(2)/2))/(LN(2)/2)*V49*Y49*VLOOKUP('Données projet'!$B$9,Paramètres!$A$1:$I$89,3,0)*0.475*44/12</f>
        <v>7.0019550792581001E-2</v>
      </c>
      <c r="AC49" s="24">
        <f t="shared" si="3"/>
        <v>26.113366484955588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8.8000000000000007</v>
      </c>
      <c r="AI49" s="14">
        <f>IF('Données projet'!$A$62&gt;35,AI48+AH49-AQ48,IF(A49&lt;'Données projet'!$A$62,$AF$205^A49,IF(A49='Données projet'!$A$62,'Données projet'!$B$62,AI48+AH49-AQ48)))</f>
        <v>195.8000000000001</v>
      </c>
      <c r="AJ49" s="14">
        <f>AI49*VLOOKUP('Données projet'!$B$10,Paramètres!$A$1:$I$89,3,0)*VLOOKUP('Données projet'!$B$10,Paramètres!$A$1:$I$89,5,0)</f>
        <v>171.05088000000012</v>
      </c>
      <c r="AK49" s="14">
        <f t="shared" si="35"/>
        <v>43.325301264581704</v>
      </c>
      <c r="AL49" s="22">
        <f t="shared" si="4"/>
        <v>373.37184903581334</v>
      </c>
      <c r="AM49" s="62">
        <f t="shared" si="5"/>
        <v>625.72212243453896</v>
      </c>
      <c r="AN49" s="62">
        <f ca="1">AVERAGE(OFFSET($AM$3,0,0,'Données projet'!$E$10+1,1))-AVERAGE(OFFSET($H$3,0,0,'Données projet'!$E$10+1,1))</f>
        <v>341.62910675299065</v>
      </c>
      <c r="AO49" s="62">
        <f t="shared" si="36"/>
        <v>407.15938341104709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16.416013927734301</v>
      </c>
      <c r="AW49" s="23">
        <f>EXP(-LN(2)/2)*AW48+(1-EXP(-LN(2)/2))/(LN(2)/2)*AQ49*AT49*VLOOKUP('Données projet'!$B$10,Paramètres!$A$1:$I$89,3,0)*0.475*44/12</f>
        <v>7.1353547197867739E-2</v>
      </c>
      <c r="AX49" s="23">
        <f t="shared" si="6"/>
        <v>16.487367474932171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621.77146851287125</v>
      </c>
      <c r="BI49" s="62">
        <f ca="1">AVERAGE(OFFSET($BH$3,0,0,'Données projet'!$E$11+1,1))-AVERAGE(OFFSET($H$3,0,0,'Données projet'!$E$11+1,1))</f>
        <v>472.83070477639035</v>
      </c>
      <c r="BJ49" s="62">
        <f t="shared" si="38"/>
        <v>297.32483725004136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5.8591219929731562</v>
      </c>
      <c r="BR49" s="23">
        <f>EXP(-LN(2)/2)*BR48+(1-EXP(-LN(2)/2))/(LN(2)/2)*BL49*BO49*VLOOKUP('Données projet'!$B$11,Paramètres!$A$1:$I$89,3,0)*0.475*44/12</f>
        <v>5.8241307205303336E-2</v>
      </c>
      <c r="BS49" s="24">
        <f t="shared" si="9"/>
        <v>5.9173633001784598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4.2</v>
      </c>
      <c r="BY49" s="13">
        <f>IF('Données projet'!$A$114&gt;35,BY48+BX49-CG48,IF(A49&lt;'Données projet'!$A$114,$BV$205^A49,IF(A49='Données projet'!$A$114,'Données projet'!$B$114,BY48+BX49-CG48)))</f>
        <v>298.19999999999987</v>
      </c>
      <c r="BZ49" s="14">
        <f>BY49*VLOOKUP('Données projet'!$B$12,Paramètres!$A$1:$I$89,3,0)*VLOOKUP('Données projet'!$B$12,Paramètres!$A$1:$I$89,5,0)</f>
        <v>162.81719999999993</v>
      </c>
      <c r="CA49" s="14">
        <f t="shared" si="39"/>
        <v>41.477295799451866</v>
      </c>
      <c r="CB49" s="22">
        <f t="shared" si="10"/>
        <v>355.81291351737855</v>
      </c>
      <c r="CC49" s="62">
        <f t="shared" si="11"/>
        <v>608.16318691610422</v>
      </c>
      <c r="CD49" s="62">
        <f ca="1">AVERAGE(OFFSET($CC$3,0,0,'Données projet'!$E$12+1,1))-AVERAGE(OFFSET($H$3,0,0,'Données projet'!$E$12+1,1))</f>
        <v>262.64209686767367</v>
      </c>
      <c r="CE49" s="62">
        <f t="shared" si="40"/>
        <v>381.0342365342517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4.2348932064436866</v>
      </c>
      <c r="CL49" s="23">
        <f>EXP(-LN(2)/25)*CL48+(1-EXP(-LN(2)/25))/(LN(2)/25)*Calculateur!CG49*Calculateur!CI49*VLOOKUP('Données projet'!$B$12,Paramètres!$A$1:$I$89,3,0)*0.475*44/12</f>
        <v>8.3671783748406092</v>
      </c>
      <c r="CM49" s="23">
        <f>EXP(-LN(2)/2)*CM48+(1-EXP(-LN(2)/2))/(LN(2)/2)*CG49*CJ49*VLOOKUP('Données projet'!$B$12,Paramètres!$A$1:$I$89,3,0)*0.475*44/12</f>
        <v>4.8328181276654676E-2</v>
      </c>
      <c r="CN49" s="24">
        <f t="shared" si="12"/>
        <v>12.65039976256095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152.59999999999991</v>
      </c>
      <c r="CU49" s="18">
        <f>CT49*VLOOKUP('Données projet'!$B$13,Paramètres!$A$1:$I$89,3,0)*VLOOKUP('Données projet'!$B$13,Paramètres!$A$1:$I$89,5,0)</f>
        <v>111.88631999999993</v>
      </c>
      <c r="CV49" s="14">
        <f t="shared" si="41"/>
        <v>29.774975524166688</v>
      </c>
      <c r="CW49" s="22">
        <f t="shared" si="13"/>
        <v>246.72675637125681</v>
      </c>
      <c r="CX49" s="62">
        <f t="shared" si="14"/>
        <v>499.07702976998246</v>
      </c>
      <c r="CY49" s="62">
        <f ca="1">AVERAGE(OFFSET($CX$3,0,0,'Données projet'!$E$13+1,1))-AVERAGE(OFFSET($H$3,0,0,'Données projet'!$E$13+1,1))</f>
        <v>250.11765444522138</v>
      </c>
      <c r="CZ49" s="62">
        <f t="shared" si="42"/>
        <v>241.42920565698913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6.2478892023349646</v>
      </c>
      <c r="DH49" s="23">
        <f>EXP(-LN(2)/2)*DH48+(1-EXP(-LN(2)/2))/(LN(2)/2)*DB49*DE49*VLOOKUP('Données projet'!$B$13,Paramètres!$A$1:$I$89,3,0)*0.475*44/12</f>
        <v>0.19590627867612351</v>
      </c>
      <c r="DI49" s="24">
        <f t="shared" si="15"/>
        <v>6.4437954810110885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27.625</v>
      </c>
      <c r="N50" s="14">
        <f>IF('Données projet'!$A$36&gt;35,N49+M50-V49,IF(A50&lt;'Données projet'!$A$36,$K$205^A50,IF(A50='Données projet'!$A$36,'Données projet'!$B$36,N49+M50-V49)))</f>
        <v>627.42499999999995</v>
      </c>
      <c r="O50" s="14">
        <f>N50*VLOOKUP('Données projet'!$B$9,Paramètres!$A$1:$I$89,3,0)*VLOOKUP('Données projet'!$B$9,Paramètres!$A$1:$I$89,5,0)</f>
        <v>350.73057499999993</v>
      </c>
      <c r="P50" s="14">
        <f t="shared" si="33"/>
        <v>81.712925956903931</v>
      </c>
      <c r="Q50" s="22">
        <f t="shared" si="53"/>
        <v>753.17243083327423</v>
      </c>
      <c r="R50" s="62">
        <f t="shared" si="0"/>
        <v>1006.2336686974696</v>
      </c>
      <c r="S50" s="62">
        <f ca="1">AVERAGE(OFFSET($R$3,0,0,'Données projet'!$E$9+1,1))-AVERAGE(OFFSET($H$3,0,0,'Données projet'!$E$9+1,1))</f>
        <v>419.0448820879102</v>
      </c>
      <c r="T50" s="62">
        <f t="shared" si="34"/>
        <v>553.33038335026379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10.76260302503308</v>
      </c>
      <c r="AA50" s="23">
        <f>EXP(-LN(2)/25)*AA49+(1-EXP(-LN(2)/25))/(LN(2)/25)*Calculateur!V50*Calculateur!X50*VLOOKUP('Données projet'!$B$9,Paramètres!$A$1:$I$89,3,0)*0.475*44/12</f>
        <v>14.653508333866258</v>
      </c>
      <c r="AB50" s="23">
        <f>EXP(-LN(2)/2)*AB49+(1-EXP(-LN(2)/2))/(LN(2)/2)*V50*Y50*VLOOKUP('Données projet'!$B$9,Paramètres!$A$1:$I$89,3,0)*0.475*44/12</f>
        <v>4.9511299181069925E-2</v>
      </c>
      <c r="AC50" s="24">
        <f t="shared" si="3"/>
        <v>25.465622658080406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8.8000000000000007</v>
      </c>
      <c r="AI50" s="14">
        <f>IF('Données projet'!$A$62&gt;35,AI49+AH50-AQ49,IF(A50&lt;'Données projet'!$A$62,$AF$205^A50,IF(A50='Données projet'!$A$62,'Données projet'!$B$62,AI49+AH50-AQ49)))</f>
        <v>204.60000000000011</v>
      </c>
      <c r="AJ50" s="14">
        <f>AI50*VLOOKUP('Données projet'!$B$10,Paramètres!$A$1:$I$89,3,0)*VLOOKUP('Données projet'!$B$10,Paramètres!$A$1:$I$89,5,0)</f>
        <v>178.73856000000012</v>
      </c>
      <c r="AK50" s="14">
        <f t="shared" si="35"/>
        <v>45.041424241265368</v>
      </c>
      <c r="AL50" s="22">
        <f t="shared" si="4"/>
        <v>389.75013922020406</v>
      </c>
      <c r="AM50" s="62">
        <f t="shared" si="5"/>
        <v>642.81137708439951</v>
      </c>
      <c r="AN50" s="62">
        <f ca="1">AVERAGE(OFFSET($AM$3,0,0,'Données projet'!$E$10+1,1))-AVERAGE(OFFSET($H$3,0,0,'Données projet'!$E$10+1,1))</f>
        <v>341.62910675299065</v>
      </c>
      <c r="AO50" s="62">
        <f t="shared" si="36"/>
        <v>407.15938341104709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15.967117163599754</v>
      </c>
      <c r="AW50" s="23">
        <f>EXP(-LN(2)/2)*AW49+(1-EXP(-LN(2)/2))/(LN(2)/2)*AQ50*AT50*VLOOKUP('Données projet'!$B$10,Paramètres!$A$1:$I$89,3,0)*0.475*44/12</f>
        <v>5.0454577085326656E-2</v>
      </c>
      <c r="AX50" s="23">
        <f t="shared" si="6"/>
        <v>16.017571740685081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643.68835773851538</v>
      </c>
      <c r="BI50" s="62">
        <f ca="1">AVERAGE(OFFSET($BH$3,0,0,'Données projet'!$E$11+1,1))-AVERAGE(OFFSET($H$3,0,0,'Données projet'!$E$11+1,1))</f>
        <v>472.83070477639035</v>
      </c>
      <c r="BJ50" s="62">
        <f t="shared" si="38"/>
        <v>297.32483725004136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5.6989039939574706</v>
      </c>
      <c r="BR50" s="23">
        <f>EXP(-LN(2)/2)*BR49+(1-EXP(-LN(2)/2))/(LN(2)/2)*BL50*BO50*VLOOKUP('Données projet'!$B$11,Paramètres!$A$1:$I$89,3,0)*0.475*44/12</f>
        <v>4.1182823270038922E-2</v>
      </c>
      <c r="BS50" s="24">
        <f t="shared" si="9"/>
        <v>5.7400868172275095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4.2</v>
      </c>
      <c r="BY50" s="13">
        <f>IF('Données projet'!$A$114&gt;35,BY49+BX50-CG49,IF(A50&lt;'Données projet'!$A$114,$BV$205^A50,IF(A50='Données projet'!$A$114,'Données projet'!$B$114,BY49+BX50-CG49)))</f>
        <v>302.39999999999986</v>
      </c>
      <c r="BZ50" s="14">
        <f>BY50*VLOOKUP('Données projet'!$B$12,Paramètres!$A$1:$I$89,3,0)*VLOOKUP('Données projet'!$B$12,Paramètres!$A$1:$I$89,5,0)</f>
        <v>165.11039999999991</v>
      </c>
      <c r="CA50" s="14">
        <f t="shared" si="39"/>
        <v>41.993062739333446</v>
      </c>
      <c r="CB50" s="22">
        <f t="shared" si="10"/>
        <v>360.70519760433893</v>
      </c>
      <c r="CC50" s="62">
        <f t="shared" si="11"/>
        <v>613.76643546853438</v>
      </c>
      <c r="CD50" s="62">
        <f ca="1">AVERAGE(OFFSET($CC$3,0,0,'Données projet'!$E$12+1,1))-AVERAGE(OFFSET($H$3,0,0,'Données projet'!$E$12+1,1))</f>
        <v>262.64209686767367</v>
      </c>
      <c r="CE50" s="62">
        <f t="shared" si="40"/>
        <v>381.0342365342517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4.1518495336951284</v>
      </c>
      <c r="CL50" s="23">
        <f>EXP(-LN(2)/25)*CL49+(1-EXP(-LN(2)/25))/(LN(2)/25)*Calculateur!CG50*Calculateur!CI50*VLOOKUP('Données projet'!$B$12,Paramètres!$A$1:$I$89,3,0)*0.475*44/12</f>
        <v>8.138377442169805</v>
      </c>
      <c r="CM50" s="23">
        <f>EXP(-LN(2)/2)*CM49+(1-EXP(-LN(2)/2))/(LN(2)/2)*CG50*CJ50*VLOOKUP('Données projet'!$B$12,Paramètres!$A$1:$I$89,3,0)*0.475*44/12</f>
        <v>3.4173184703135261E-2</v>
      </c>
      <c r="CN50" s="24">
        <f t="shared" si="12"/>
        <v>12.324400160568068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158.1999999999999</v>
      </c>
      <c r="CU50" s="18">
        <f>CT50*VLOOKUP('Données projet'!$B$13,Paramètres!$A$1:$I$89,3,0)*VLOOKUP('Données projet'!$B$13,Paramètres!$A$1:$I$89,5,0)</f>
        <v>115.99223999999994</v>
      </c>
      <c r="CV50" s="14">
        <f t="shared" si="41"/>
        <v>30.738415178085152</v>
      </c>
      <c r="CW50" s="22">
        <f t="shared" si="13"/>
        <v>255.55589110183152</v>
      </c>
      <c r="CX50" s="62">
        <f t="shared" si="14"/>
        <v>508.61712896602694</v>
      </c>
      <c r="CY50" s="62">
        <f ca="1">AVERAGE(OFFSET($CX$3,0,0,'Données projet'!$E$13+1,1))-AVERAGE(OFFSET($H$3,0,0,'Données projet'!$E$13+1,1))</f>
        <v>250.11765444522138</v>
      </c>
      <c r="CZ50" s="62">
        <f t="shared" si="42"/>
        <v>241.42920565698913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6.0770403435349012</v>
      </c>
      <c r="DH50" s="23">
        <f>EXP(-LN(2)/2)*DH49+(1-EXP(-LN(2)/2))/(LN(2)/2)*DB50*DE50*VLOOKUP('Données projet'!$B$13,Paramètres!$A$1:$I$89,3,0)*0.475*44/12</f>
        <v>0.13852665812890846</v>
      </c>
      <c r="DI50" s="24">
        <f t="shared" si="15"/>
        <v>6.2155670016638096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655.04999999999995</v>
      </c>
      <c r="L51" s="13">
        <f>VLOOKUP(A51,'Données projet'!$A$35:$I$55,9,0)</f>
        <v>27.625</v>
      </c>
      <c r="M51" s="13">
        <f t="array" ref="M51">INDEX(L:L,MIN(IF(ISNUMBER(L51:L247),ROW(L51:L247),"")))</f>
        <v>27.625</v>
      </c>
      <c r="N51" s="14">
        <f>IF('Données projet'!$A$36&gt;35,N50+M51-V50,IF(A51&lt;'Données projet'!$A$36,$K$205^A51,IF(A51='Données projet'!$A$36,'Données projet'!$B$36,N50+M51-V50)))</f>
        <v>655.04999999999995</v>
      </c>
      <c r="O51" s="14">
        <f>N51*VLOOKUP('Données projet'!$B$9,Paramètres!$A$1:$I$89,3,0)*VLOOKUP('Données projet'!$B$9,Paramètres!$A$1:$I$89,5,0)</f>
        <v>366.17295000000001</v>
      </c>
      <c r="P51" s="14">
        <f t="shared" si="33"/>
        <v>84.883884000754321</v>
      </c>
      <c r="Q51" s="22">
        <f t="shared" si="53"/>
        <v>785.59065255131372</v>
      </c>
      <c r="R51" s="62">
        <f t="shared" si="0"/>
        <v>1039.3505212369814</v>
      </c>
      <c r="S51" s="62">
        <f ca="1">AVERAGE(OFFSET($R$3,0,0,'Données projet'!$E$9+1,1))-AVERAGE(OFFSET($H$3,0,0,'Données projet'!$E$9+1,1))</f>
        <v>419.0448820879102</v>
      </c>
      <c r="T51" s="62">
        <f t="shared" si="34"/>
        <v>553.33038335026379</v>
      </c>
      <c r="U51" s="16">
        <f>IF(ISNA(VLOOKUP(A51,'Données projet'!$A$35:$I$55,3,0)),0,VLOOKUP(A51,'Données projet'!$A$35:$I$55,3,0))</f>
        <v>17</v>
      </c>
      <c r="V51" s="16">
        <f>IF(ISNA(VLOOKUP(A51,'Données projet'!$A$35:$I$55,4,0)),0,VLOOKUP(A51,'Données projet'!$A$35:$I$55,4,0))</f>
        <v>101.34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10.551554944251832</v>
      </c>
      <c r="AA51" s="23">
        <f>EXP(-LN(2)/25)*AA50+(1-EXP(-LN(2)/25))/(LN(2)/25)*Calculateur!V51*Calculateur!X51*VLOOKUP('Données projet'!$B$9,Paramètres!$A$1:$I$89,3,0)*0.475*44/12</f>
        <v>14.252807377882172</v>
      </c>
      <c r="AB51" s="23">
        <f>EXP(-LN(2)/2)*AB50+(1-EXP(-LN(2)/2))/(LN(2)/2)*V51*Y51*VLOOKUP('Données projet'!$B$9,Paramètres!$A$1:$I$89,3,0)*0.475*44/12</f>
        <v>3.50097753962905E-2</v>
      </c>
      <c r="AC51" s="24">
        <f t="shared" si="3"/>
        <v>24.839372097530294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8.8000000000000007</v>
      </c>
      <c r="AI51" s="14">
        <f>IF('Données projet'!$A$62&gt;35,AI50+AH51-AQ50,IF(A51&lt;'Données projet'!$A$62,$AF$205^A51,IF(A51='Données projet'!$A$62,'Données projet'!$B$62,AI50+AH51-AQ50)))</f>
        <v>213.40000000000012</v>
      </c>
      <c r="AJ51" s="14">
        <f>AI51*VLOOKUP('Données projet'!$B$10,Paramètres!$A$1:$I$89,3,0)*VLOOKUP('Données projet'!$B$10,Paramètres!$A$1:$I$89,5,0)</f>
        <v>186.42624000000012</v>
      </c>
      <c r="AK51" s="14">
        <f t="shared" si="35"/>
        <v>46.748974211060826</v>
      </c>
      <c r="AL51" s="22">
        <f t="shared" si="4"/>
        <v>406.11349808426445</v>
      </c>
      <c r="AM51" s="62">
        <f t="shared" si="5"/>
        <v>659.87336676993209</v>
      </c>
      <c r="AN51" s="62">
        <f ca="1">AVERAGE(OFFSET($AM$3,0,0,'Données projet'!$E$10+1,1))-AVERAGE(OFFSET($H$3,0,0,'Données projet'!$E$10+1,1))</f>
        <v>341.62910675299065</v>
      </c>
      <c r="AO51" s="62">
        <f t="shared" si="36"/>
        <v>407.15938341104709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15.53049550508692</v>
      </c>
      <c r="AW51" s="23">
        <f>EXP(-LN(2)/2)*AW50+(1-EXP(-LN(2)/2))/(LN(2)/2)*AQ51*AT51*VLOOKUP('Données projet'!$B$10,Paramètres!$A$1:$I$89,3,0)*0.475*44/12</f>
        <v>3.567677359893387E-2</v>
      </c>
      <c r="AX51" s="23">
        <f t="shared" si="6"/>
        <v>15.566172278685855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665.5679450643554</v>
      </c>
      <c r="BI51" s="62">
        <f ca="1">AVERAGE(OFFSET($BH$3,0,0,'Données projet'!$E$11+1,1))-AVERAGE(OFFSET($H$3,0,0,'Données projet'!$E$11+1,1))</f>
        <v>472.83070477639035</v>
      </c>
      <c r="BJ51" s="62">
        <f t="shared" si="38"/>
        <v>297.32483725004136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5.5430671645503677</v>
      </c>
      <c r="BR51" s="23">
        <f>EXP(-LN(2)/2)*BR50+(1-EXP(-LN(2)/2))/(LN(2)/2)*BL51*BO51*VLOOKUP('Données projet'!$B$11,Paramètres!$A$1:$I$89,3,0)*0.475*44/12</f>
        <v>2.9120653602651671E-2</v>
      </c>
      <c r="BS51" s="24">
        <f t="shared" si="9"/>
        <v>5.5721878181530196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4.2</v>
      </c>
      <c r="BY51" s="13">
        <f>IF('Données projet'!$A$114&gt;35,BY50+BX51-CG50,IF(A51&lt;'Données projet'!$A$114,$BV$205^A51,IF(A51='Données projet'!$A$114,'Données projet'!$B$114,BY50+BX51-CG50)))</f>
        <v>306.59999999999985</v>
      </c>
      <c r="BZ51" s="14">
        <f>BY51*VLOOKUP('Données projet'!$B$12,Paramètres!$A$1:$I$89,3,0)*VLOOKUP('Données projet'!$B$12,Paramètres!$A$1:$I$89,5,0)</f>
        <v>167.40359999999993</v>
      </c>
      <c r="CA51" s="14">
        <f t="shared" si="39"/>
        <v>42.507996501315304</v>
      </c>
      <c r="CB51" s="22">
        <f t="shared" si="10"/>
        <v>365.59603057312398</v>
      </c>
      <c r="CC51" s="62">
        <f t="shared" si="11"/>
        <v>619.35589925879162</v>
      </c>
      <c r="CD51" s="62">
        <f ca="1">AVERAGE(OFFSET($CC$3,0,0,'Données projet'!$E$12+1,1))-AVERAGE(OFFSET($H$3,0,0,'Données projet'!$E$12+1,1))</f>
        <v>262.64209686767367</v>
      </c>
      <c r="CE51" s="62">
        <f t="shared" si="40"/>
        <v>381.0342365342517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4.0704342967175311</v>
      </c>
      <c r="CL51" s="23">
        <f>EXP(-LN(2)/25)*CL50+(1-EXP(-LN(2)/25))/(LN(2)/25)*Calculateur!CG51*Calculateur!CI51*VLOOKUP('Données projet'!$B$12,Paramètres!$A$1:$I$89,3,0)*0.475*44/12</f>
        <v>7.9158330830350021</v>
      </c>
      <c r="CM51" s="23">
        <f>EXP(-LN(2)/2)*CM50+(1-EXP(-LN(2)/2))/(LN(2)/2)*CG51*CJ51*VLOOKUP('Données projet'!$B$12,Paramètres!$A$1:$I$89,3,0)*0.475*44/12</f>
        <v>2.4164090638327338E-2</v>
      </c>
      <c r="CN51" s="24">
        <f t="shared" si="12"/>
        <v>12.010431470390861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163.7999999999999</v>
      </c>
      <c r="CU51" s="18">
        <f>CT51*VLOOKUP('Données projet'!$B$13,Paramètres!$A$1:$I$89,3,0)*VLOOKUP('Données projet'!$B$13,Paramètres!$A$1:$I$89,5,0)</f>
        <v>120.09815999999992</v>
      </c>
      <c r="CV51" s="14">
        <f t="shared" si="41"/>
        <v>31.697892412546167</v>
      </c>
      <c r="CW51" s="22">
        <f t="shared" si="13"/>
        <v>264.37812461851775</v>
      </c>
      <c r="CX51" s="62">
        <f t="shared" si="14"/>
        <v>518.13799330418544</v>
      </c>
      <c r="CY51" s="62">
        <f ca="1">AVERAGE(OFFSET($CX$3,0,0,'Données projet'!$E$13+1,1))-AVERAGE(OFFSET($H$3,0,0,'Données projet'!$E$13+1,1))</f>
        <v>250.11765444522138</v>
      </c>
      <c r="CZ51" s="62">
        <f t="shared" si="42"/>
        <v>241.42920565698913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5.9108633557632766</v>
      </c>
      <c r="DH51" s="23">
        <f>EXP(-LN(2)/2)*DH50+(1-EXP(-LN(2)/2))/(LN(2)/2)*DB51*DE51*VLOOKUP('Données projet'!$B$13,Paramètres!$A$1:$I$89,3,0)*0.475*44/12</f>
        <v>9.7953139338061754E-2</v>
      </c>
      <c r="DI51" s="24">
        <f t="shared" si="15"/>
        <v>6.0088164951013381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25.205000000000041</v>
      </c>
      <c r="N52" s="14">
        <f>IF('Données projet'!$A$36&gt;35,N51+M52-V51,IF(A52&lt;'Données projet'!$A$36,$K$205^A52,IF(A52='Données projet'!$A$36,'Données projet'!$B$36,N51+M52-V51)))</f>
        <v>578.91499999999996</v>
      </c>
      <c r="O52" s="14">
        <f>N52*VLOOKUP('Données projet'!$B$9,Paramètres!$A$1:$I$89,3,0)*VLOOKUP('Données projet'!$B$9,Paramètres!$A$1:$I$89,5,0)</f>
        <v>323.61348500000003</v>
      </c>
      <c r="P52" s="14">
        <f t="shared" si="33"/>
        <v>76.10471743389418</v>
      </c>
      <c r="Q52" s="22">
        <f t="shared" si="53"/>
        <v>696.17586923903229</v>
      </c>
      <c r="R52" s="62">
        <f t="shared" si="0"/>
        <v>950.62224906332426</v>
      </c>
      <c r="S52" s="62">
        <f ca="1">AVERAGE(OFFSET($R$3,0,0,'Données projet'!$E$9+1,1))-AVERAGE(OFFSET($H$3,0,0,'Données projet'!$E$9+1,1))</f>
        <v>419.0448820879102</v>
      </c>
      <c r="T52" s="62">
        <f t="shared" si="34"/>
        <v>553.33038335026379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10.344645387608086</v>
      </c>
      <c r="AA52" s="23">
        <f>EXP(-LN(2)/25)*AA51+(1-EXP(-LN(2)/25))/(LN(2)/25)*Calculateur!V52*Calculateur!X52*VLOOKUP('Données projet'!$B$9,Paramètres!$A$1:$I$89,3,0)*0.475*44/12</f>
        <v>13.86306361061142</v>
      </c>
      <c r="AB52" s="23">
        <f>EXP(-LN(2)/2)*AB51+(1-EXP(-LN(2)/2))/(LN(2)/2)*V52*Y52*VLOOKUP('Données projet'!$B$9,Paramètres!$A$1:$I$89,3,0)*0.475*44/12</f>
        <v>2.4755649590534962E-2</v>
      </c>
      <c r="AC52" s="24">
        <f t="shared" si="3"/>
        <v>24.232464647810041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8.8000000000000007</v>
      </c>
      <c r="AI52" s="14">
        <f>IF('Données projet'!$A$62&gt;35,AI51+AH52-AQ51,IF(A52&lt;'Données projet'!$A$62,$AF$205^A52,IF(A52='Données projet'!$A$62,'Données projet'!$B$62,AI51+AH52-AQ51)))</f>
        <v>222.20000000000013</v>
      </c>
      <c r="AJ52" s="14">
        <f>AI52*VLOOKUP('Données projet'!$B$10,Paramètres!$A$1:$I$89,3,0)*VLOOKUP('Données projet'!$B$10,Paramètres!$A$1:$I$89,5,0)</f>
        <v>194.11392000000015</v>
      </c>
      <c r="AK52" s="14">
        <f t="shared" si="35"/>
        <v>48.448345132424009</v>
      </c>
      <c r="AL52" s="22">
        <f t="shared" si="4"/>
        <v>422.46261177230537</v>
      </c>
      <c r="AM52" s="62">
        <f t="shared" si="5"/>
        <v>676.90899159659739</v>
      </c>
      <c r="AN52" s="62">
        <f ca="1">AVERAGE(OFFSET($AM$3,0,0,'Données projet'!$E$10+1,1))-AVERAGE(OFFSET($H$3,0,0,'Données projet'!$E$10+1,1))</f>
        <v>341.62910675299065</v>
      </c>
      <c r="AO52" s="62">
        <f t="shared" si="36"/>
        <v>407.15938341104709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15.105813288787054</v>
      </c>
      <c r="AW52" s="23">
        <f>EXP(-LN(2)/2)*AW51+(1-EXP(-LN(2)/2))/(LN(2)/2)*AQ52*AT52*VLOOKUP('Données projet'!$B$10,Paramètres!$A$1:$I$89,3,0)*0.475*44/12</f>
        <v>2.5227288542663328E-2</v>
      </c>
      <c r="AX52" s="23">
        <f t="shared" si="6"/>
        <v>15.131040577329717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687.41190843518427</v>
      </c>
      <c r="BI52" s="62">
        <f ca="1">AVERAGE(OFFSET($BH$3,0,0,'Données projet'!$E$11+1,1))-AVERAGE(OFFSET($H$3,0,0,'Données projet'!$E$11+1,1))</f>
        <v>472.83070477639035</v>
      </c>
      <c r="BJ52" s="62">
        <f t="shared" si="38"/>
        <v>297.32483725004136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5.3914917014385049</v>
      </c>
      <c r="BR52" s="23">
        <f>EXP(-LN(2)/2)*BR51+(1-EXP(-LN(2)/2))/(LN(2)/2)*BL52*BO52*VLOOKUP('Données projet'!$B$11,Paramètres!$A$1:$I$89,3,0)*0.475*44/12</f>
        <v>2.0591411635019465E-2</v>
      </c>
      <c r="BS52" s="24">
        <f t="shared" si="9"/>
        <v>5.4120831130735247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4.2</v>
      </c>
      <c r="BY52" s="13">
        <f>IF('Données projet'!$A$114&gt;35,BY51+BX52-CG51,IF(A52&lt;'Données projet'!$A$114,$BV$205^A52,IF(A52='Données projet'!$A$114,'Données projet'!$B$114,BY51+BX52-CG51)))</f>
        <v>310.79999999999984</v>
      </c>
      <c r="BZ52" s="14">
        <f>BY52*VLOOKUP('Données projet'!$B$12,Paramètres!$A$1:$I$89,3,0)*VLOOKUP('Données projet'!$B$12,Paramètres!$A$1:$I$89,5,0)</f>
        <v>169.69679999999991</v>
      </c>
      <c r="CA52" s="14">
        <f t="shared" si="39"/>
        <v>43.022109817960782</v>
      </c>
      <c r="CB52" s="22">
        <f t="shared" si="10"/>
        <v>370.48543459961485</v>
      </c>
      <c r="CC52" s="62">
        <f t="shared" si="11"/>
        <v>624.93181442390687</v>
      </c>
      <c r="CD52" s="62">
        <f ca="1">AVERAGE(OFFSET($CC$3,0,0,'Données projet'!$E$12+1,1))-AVERAGE(OFFSET($H$3,0,0,'Données projet'!$E$12+1,1))</f>
        <v>262.64209686767367</v>
      </c>
      <c r="CE52" s="62">
        <f t="shared" si="40"/>
        <v>381.0342365342517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3.990615562878673</v>
      </c>
      <c r="CL52" s="23">
        <f>EXP(-LN(2)/25)*CL51+(1-EXP(-LN(2)/25))/(LN(2)/25)*Calculateur!CG52*Calculateur!CI52*VLOOKUP('Données projet'!$B$12,Paramètres!$A$1:$I$89,3,0)*0.475*44/12</f>
        <v>7.6993742111038399</v>
      </c>
      <c r="CM52" s="23">
        <f>EXP(-LN(2)/2)*CM51+(1-EXP(-LN(2)/2))/(LN(2)/2)*CG52*CJ52*VLOOKUP('Données projet'!$B$12,Paramètres!$A$1:$I$89,3,0)*0.475*44/12</f>
        <v>1.708659235156763E-2</v>
      </c>
      <c r="CN52" s="24">
        <f t="shared" si="12"/>
        <v>11.70707636633408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169.39999999999989</v>
      </c>
      <c r="CU52" s="18">
        <f>CT52*VLOOKUP('Données projet'!$B$13,Paramètres!$A$1:$I$89,3,0)*VLOOKUP('Données projet'!$B$13,Paramètres!$A$1:$I$89,5,0)</f>
        <v>124.20407999999991</v>
      </c>
      <c r="CV52" s="14">
        <f t="shared" si="41"/>
        <v>32.653558222527764</v>
      </c>
      <c r="CW52" s="22">
        <f t="shared" si="13"/>
        <v>273.19371990423565</v>
      </c>
      <c r="CX52" s="62">
        <f t="shared" si="14"/>
        <v>527.64009972852762</v>
      </c>
      <c r="CY52" s="62">
        <f ca="1">AVERAGE(OFFSET($CX$3,0,0,'Données projet'!$E$13+1,1))-AVERAGE(OFFSET($H$3,0,0,'Données projet'!$E$13+1,1))</f>
        <v>250.11765444522138</v>
      </c>
      <c r="CZ52" s="62">
        <f t="shared" si="42"/>
        <v>241.42920565698913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5.7492304864611352</v>
      </c>
      <c r="DH52" s="23">
        <f>EXP(-LN(2)/2)*DH51+(1-EXP(-LN(2)/2))/(LN(2)/2)*DB52*DE52*VLOOKUP('Données projet'!$B$13,Paramètres!$A$1:$I$89,3,0)*0.475*44/12</f>
        <v>6.9263329064454232E-2</v>
      </c>
      <c r="DI52" s="24">
        <f t="shared" si="15"/>
        <v>5.8184938155255894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604.12</v>
      </c>
      <c r="L53" s="13">
        <f>VLOOKUP(A53,'Données projet'!$A$35:$I$55,9,0)</f>
        <v>25.205000000000041</v>
      </c>
      <c r="M53" s="13">
        <f t="array" ref="M53">INDEX(L:L,MIN(IF(ISNUMBER(L53:L249),ROW(L53:L249),"")))</f>
        <v>25.205000000000041</v>
      </c>
      <c r="N53" s="14">
        <f>IF('Données projet'!$A$36&gt;35,N52+M53-V52,IF(A53&lt;'Données projet'!$A$36,$K$205^A53,IF(A53='Données projet'!$A$36,'Données projet'!$B$36,N52+M53-V52)))</f>
        <v>604.12</v>
      </c>
      <c r="O53" s="14">
        <f>N53*VLOOKUP('Données projet'!$B$9,Paramètres!$A$1:$I$89,3,0)*VLOOKUP('Données projet'!$B$9,Paramètres!$A$1:$I$89,5,0)</f>
        <v>337.70308</v>
      </c>
      <c r="P53" s="14">
        <f t="shared" si="33"/>
        <v>79.025201150271741</v>
      </c>
      <c r="Q53" s="22">
        <f t="shared" si="53"/>
        <v>725.80175633672332</v>
      </c>
      <c r="R53" s="62">
        <f t="shared" si="0"/>
        <v>980.92273786619342</v>
      </c>
      <c r="S53" s="62">
        <f ca="1">AVERAGE(OFFSET($R$3,0,0,'Données projet'!$E$9+1,1))-AVERAGE(OFFSET($H$3,0,0,'Données projet'!$E$9+1,1))</f>
        <v>419.0448820879102</v>
      </c>
      <c r="T53" s="62">
        <f t="shared" si="34"/>
        <v>553.33038335026379</v>
      </c>
      <c r="U53" s="16">
        <f>IF(ISNA(VLOOKUP(A53,'Données projet'!$A$35:$I$55,3,0)),0,VLOOKUP(A53,'Données projet'!$A$35:$I$55,3,0))</f>
        <v>18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10.141793201167756</v>
      </c>
      <c r="AA53" s="23">
        <f>EXP(-LN(2)/25)*AA52+(1-EXP(-LN(2)/25))/(LN(2)/25)*Calculateur!V53*Calculateur!X53*VLOOKUP('Données projet'!$B$9,Paramètres!$A$1:$I$89,3,0)*0.475*44/12</f>
        <v>13.48397740715242</v>
      </c>
      <c r="AB53" s="23">
        <f>EXP(-LN(2)/2)*AB52+(1-EXP(-LN(2)/2))/(LN(2)/2)*V53*Y53*VLOOKUP('Données projet'!$B$9,Paramètres!$A$1:$I$89,3,0)*0.475*44/12</f>
        <v>1.750488769814525E-2</v>
      </c>
      <c r="AC53" s="24">
        <f t="shared" si="3"/>
        <v>23.643275496018319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8.8000000000000007</v>
      </c>
      <c r="AH53" s="13">
        <f t="array" ref="AH53">INDEX(AG:AG,MIN(IF(ISNUMBER(AG53:AG249),ROW(AG53:AG249),"")))</f>
        <v>8.8000000000000007</v>
      </c>
      <c r="AI53" s="14">
        <f>IF('Données projet'!$A$62&gt;35,AI52+AH53-AQ52,IF(A53&lt;'Données projet'!$A$62,$AF$205^A53,IF(A53='Données projet'!$A$62,'Données projet'!$B$62,AI52+AH53-AQ52)))</f>
        <v>231.00000000000014</v>
      </c>
      <c r="AJ53" s="14">
        <f>AI53*VLOOKUP('Données projet'!$B$10,Paramètres!$A$1:$I$89,3,0)*VLOOKUP('Données projet'!$B$10,Paramètres!$A$1:$I$89,5,0)</f>
        <v>201.80160000000015</v>
      </c>
      <c r="AK53" s="14">
        <f t="shared" si="35"/>
        <v>50.139897992681711</v>
      </c>
      <c r="AL53" s="22">
        <f t="shared" si="4"/>
        <v>438.7981090039209</v>
      </c>
      <c r="AM53" s="62">
        <f t="shared" si="5"/>
        <v>693.919090533391</v>
      </c>
      <c r="AN53" s="62">
        <f ca="1">AVERAGE(OFFSET($AM$3,0,0,'Données projet'!$E$10+1,1))-AVERAGE(OFFSET($H$3,0,0,'Données projet'!$E$10+1,1))</f>
        <v>341.62910675299065</v>
      </c>
      <c r="AO53" s="62">
        <f t="shared" si="36"/>
        <v>407.15938341104709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33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14.692744030024976</v>
      </c>
      <c r="AW53" s="23">
        <f>EXP(-LN(2)/2)*AW52+(1-EXP(-LN(2)/2))/(LN(2)/2)*AQ53*AT53*VLOOKUP('Données projet'!$B$10,Paramètres!$A$1:$I$89,3,0)*0.475*44/12</f>
        <v>1.7838386799466935E-2</v>
      </c>
      <c r="AX53" s="23">
        <f t="shared" si="6"/>
        <v>14.710582416824442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709.22176741571411</v>
      </c>
      <c r="BI53" s="62">
        <f ca="1">AVERAGE(OFFSET($BH$3,0,0,'Données projet'!$E$11+1,1))-AVERAGE(OFFSET($H$3,0,0,'Données projet'!$E$11+1,1))</f>
        <v>472.83070477639035</v>
      </c>
      <c r="BJ53" s="62">
        <f t="shared" si="38"/>
        <v>297.32483725004136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5.2440610773364424</v>
      </c>
      <c r="BR53" s="23">
        <f>EXP(-LN(2)/2)*BR52+(1-EXP(-LN(2)/2))/(LN(2)/2)*BL53*BO53*VLOOKUP('Données projet'!$B$11,Paramètres!$A$1:$I$89,3,0)*0.475*44/12</f>
        <v>1.4560326801325837E-2</v>
      </c>
      <c r="BS53" s="24">
        <f t="shared" si="9"/>
        <v>5.2586214041377684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315</v>
      </c>
      <c r="BW53" s="13">
        <f>VLOOKUP(A53,'Données projet'!$A$113:$I$133,9,0)</f>
        <v>4.2</v>
      </c>
      <c r="BX53" s="13">
        <f t="array" ref="BX53">INDEX(BW:BW,MIN(IF(ISNUMBER(BW53:BW249),ROW(BW53:BW249),"")))</f>
        <v>4.2</v>
      </c>
      <c r="BY53" s="13">
        <f>IF('Données projet'!$A$114&gt;35,BY52+BX53-CG52,IF(A53&lt;'Données projet'!$A$114,$BV$205^A53,IF(A53='Données projet'!$A$114,'Données projet'!$B$114,BY52+BX53-CG52)))</f>
        <v>314.99999999999983</v>
      </c>
      <c r="BZ53" s="14">
        <f>BY53*VLOOKUP('Données projet'!$B$12,Paramètres!$A$1:$I$89,3,0)*VLOOKUP('Données projet'!$B$12,Paramètres!$A$1:$I$89,5,0)</f>
        <v>171.98999999999992</v>
      </c>
      <c r="CA53" s="14">
        <f t="shared" si="39"/>
        <v>43.535415057935047</v>
      </c>
      <c r="CB53" s="22">
        <f t="shared" si="10"/>
        <v>375.3734312259034</v>
      </c>
      <c r="CC53" s="62">
        <f t="shared" si="11"/>
        <v>630.49441275537356</v>
      </c>
      <c r="CD53" s="62">
        <f ca="1">AVERAGE(OFFSET($CC$3,0,0,'Données projet'!$E$12+1,1))-AVERAGE(OFFSET($H$3,0,0,'Données projet'!$E$12+1,1))</f>
        <v>262.64209686767367</v>
      </c>
      <c r="CE53" s="62">
        <f t="shared" si="40"/>
        <v>381.0342365342517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315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3.9123620257257747</v>
      </c>
      <c r="CL53" s="23">
        <f>EXP(-LN(2)/25)*CL52+(1-EXP(-LN(2)/25))/(LN(2)/25)*Calculateur!CG53*Calculateur!CI53*VLOOKUP('Données projet'!$B$12,Paramètres!$A$1:$I$89,3,0)*0.475*44/12</f>
        <v>7.4888344184087128</v>
      </c>
      <c r="CM53" s="23">
        <f>EXP(-LN(2)/2)*CM52+(1-EXP(-LN(2)/2))/(LN(2)/2)*CG53*CJ53*VLOOKUP('Données projet'!$B$12,Paramètres!$A$1:$I$89,3,0)*0.475*44/12</f>
        <v>1.2082045319163669E-2</v>
      </c>
      <c r="CN53" s="24">
        <f t="shared" si="12"/>
        <v>11.413278489453651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175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174.99999999999989</v>
      </c>
      <c r="CU53" s="18">
        <f>CT53*VLOOKUP('Données projet'!$B$13,Paramètres!$A$1:$I$89,3,0)*VLOOKUP('Données projet'!$B$13,Paramètres!$A$1:$I$89,5,0)</f>
        <v>128.30999999999992</v>
      </c>
      <c r="CV53" s="14">
        <f t="shared" si="41"/>
        <v>33.605553053308043</v>
      </c>
      <c r="CW53" s="22">
        <f t="shared" si="13"/>
        <v>282.00292156784468</v>
      </c>
      <c r="CX53" s="62">
        <f t="shared" si="14"/>
        <v>537.12390309731472</v>
      </c>
      <c r="CY53" s="62">
        <f ca="1">AVERAGE(OFFSET($CX$3,0,0,'Données projet'!$E$13+1,1))-AVERAGE(OFFSET($H$3,0,0,'Données projet'!$E$13+1,1))</f>
        <v>250.11765444522138</v>
      </c>
      <c r="CZ53" s="62">
        <f t="shared" si="42"/>
        <v>241.42920565698913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13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5.5920174764699642</v>
      </c>
      <c r="DH53" s="23">
        <f>EXP(-LN(2)/2)*DH52+(1-EXP(-LN(2)/2))/(LN(2)/2)*DB53*DE53*VLOOKUP('Données projet'!$B$13,Paramètres!$A$1:$I$89,3,0)*0.475*44/12</f>
        <v>4.8976569669030877E-2</v>
      </c>
      <c r="DI53" s="24">
        <f t="shared" si="15"/>
        <v>5.6409940461389949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25.71999999999997</v>
      </c>
      <c r="N54" s="14">
        <f>IF('Données projet'!$A$36&gt;35,N53+M54-V53,IF(A54&lt;'Données projet'!$A$36,$K$205^A54,IF(A54='Données projet'!$A$36,'Données projet'!$B$36,N53+M54-V53)))</f>
        <v>629.83999999999992</v>
      </c>
      <c r="O54" s="14">
        <f>N54*VLOOKUP('Données projet'!$B$9,Paramètres!$A$1:$I$89,3,0)*VLOOKUP('Données projet'!$B$9,Paramètres!$A$1:$I$89,5,0)</f>
        <v>352.08055999999999</v>
      </c>
      <c r="P54" s="14">
        <f t="shared" si="33"/>
        <v>81.99077226106516</v>
      </c>
      <c r="Q54" s="22">
        <f t="shared" si="53"/>
        <v>756.00757035468848</v>
      </c>
      <c r="R54" s="62">
        <f t="shared" si="0"/>
        <v>1011.7914507579353</v>
      </c>
      <c r="S54" s="62">
        <f ca="1">AVERAGE(OFFSET($R$3,0,0,'Données projet'!$E$9+1,1))-AVERAGE(OFFSET($H$3,0,0,'Données projet'!$E$9+1,1))</f>
        <v>419.0448820879102</v>
      </c>
      <c r="T54" s="62">
        <f t="shared" si="34"/>
        <v>553.33038335026379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9.9429188223759031</v>
      </c>
      <c r="AA54" s="23">
        <f>EXP(-LN(2)/25)*AA53+(1-EXP(-LN(2)/25))/(LN(2)/25)*Calculateur!V54*Calculateur!X54*VLOOKUP('Données projet'!$B$9,Paramètres!$A$1:$I$89,3,0)*0.475*44/12</f>
        <v>13.115257335862283</v>
      </c>
      <c r="AB54" s="23">
        <f>EXP(-LN(2)/2)*AB53+(1-EXP(-LN(2)/2))/(LN(2)/2)*V54*Y54*VLOOKUP('Données projet'!$B$9,Paramètres!$A$1:$I$89,3,0)*0.475*44/12</f>
        <v>1.2377824795267481E-2</v>
      </c>
      <c r="AC54" s="24">
        <f t="shared" si="3"/>
        <v>23.070553983033452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7.8</v>
      </c>
      <c r="AI54" s="14">
        <f>IF('Données projet'!$A$62&gt;35,AI53+AH54-AQ53,IF(A54&lt;'Données projet'!$A$62,$AF$205^A54,IF(A54='Données projet'!$A$62,'Données projet'!$B$62,AI53+AH54-AQ53)))</f>
        <v>205.80000000000015</v>
      </c>
      <c r="AJ54" s="14">
        <f>AI54*VLOOKUP('Données projet'!$B$10,Paramètres!$A$1:$I$89,3,0)*VLOOKUP('Données projet'!$B$10,Paramètres!$A$1:$I$89,5,0)</f>
        <v>179.78688000000014</v>
      </c>
      <c r="AK54" s="14">
        <f t="shared" si="35"/>
        <v>45.274767624296977</v>
      </c>
      <c r="AL54" s="22">
        <f t="shared" si="4"/>
        <v>391.98236961231743</v>
      </c>
      <c r="AM54" s="62">
        <f t="shared" si="5"/>
        <v>647.76625001556431</v>
      </c>
      <c r="AN54" s="62">
        <f ca="1">AVERAGE(OFFSET($AM$3,0,0,'Données projet'!$E$10+1,1))-AVERAGE(OFFSET($H$3,0,0,'Données projet'!$E$10+1,1))</f>
        <v>341.62910675299065</v>
      </c>
      <c r="AO54" s="62">
        <f t="shared" si="36"/>
        <v>407.15938341104709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14.290970171866116</v>
      </c>
      <c r="AW54" s="23">
        <f>EXP(-LN(2)/2)*AW53+(1-EXP(-LN(2)/2))/(LN(2)/2)*AQ54*AT54*VLOOKUP('Données projet'!$B$10,Paramètres!$A$1:$I$89,3,0)*0.475*44/12</f>
        <v>1.2613644271331664E-2</v>
      </c>
      <c r="AX54" s="23">
        <f t="shared" si="6"/>
        <v>14.303583816137447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675.67295630565468</v>
      </c>
      <c r="BI54" s="62">
        <f ca="1">AVERAGE(OFFSET($BH$3,0,0,'Données projet'!$E$11+1,1))-AVERAGE(OFFSET($H$3,0,0,'Données projet'!$E$11+1,1))</f>
        <v>472.83070477639035</v>
      </c>
      <c r="BJ54" s="62">
        <f t="shared" si="38"/>
        <v>297.32483725004136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5.1006619514034908</v>
      </c>
      <c r="BR54" s="23">
        <f>EXP(-LN(2)/2)*BR53+(1-EXP(-LN(2)/2))/(LN(2)/2)*BL54*BO54*VLOOKUP('Données projet'!$B$11,Paramètres!$A$1:$I$89,3,0)*0.475*44/12</f>
        <v>1.0295705817509732E-2</v>
      </c>
      <c r="BS54" s="24">
        <f t="shared" si="9"/>
        <v>5.1109576572210003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-1.7053025658242404E-13</v>
      </c>
      <c r="BZ54" s="14">
        <f>BY54*VLOOKUP('Données projet'!$B$12,Paramètres!$A$1:$I$89,3,0)*VLOOKUP('Données projet'!$B$12,Paramètres!$A$1:$I$89,5,0)</f>
        <v>-9.3109520094003535E-14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262.64209686767367</v>
      </c>
      <c r="CE54" s="62">
        <f t="shared" si="40"/>
        <v>381.0342365342517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3.8356429927065001</v>
      </c>
      <c r="CL54" s="23">
        <f>EXP(-LN(2)/25)*CL53+(1-EXP(-LN(2)/25))/(LN(2)/25)*Calculateur!CG54*Calculateur!CI54*VLOOKUP('Données projet'!$B$12,Paramètres!$A$1:$I$89,3,0)*0.475*44/12</f>
        <v>7.2840518474166407</v>
      </c>
      <c r="CM54" s="23">
        <f>EXP(-LN(2)/2)*CM53+(1-EXP(-LN(2)/2))/(LN(2)/2)*CG54*CJ54*VLOOKUP('Données projet'!$B$12,Paramètres!$A$1:$I$89,3,0)*0.475*44/12</f>
        <v>8.5432961757838152E-3</v>
      </c>
      <c r="CN54" s="24">
        <f t="shared" si="12"/>
        <v>11.128238136298926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4.8</v>
      </c>
      <c r="CT54" s="13">
        <f>IF('Données projet'!$A$140&gt;35,CT53+CS54-DB53,IF(A54&lt;'Données projet'!$A$140,$CQ$205^A54,IF(A54='Données projet'!$A$140,'Données projet'!$B$140,CT53+CS54-DB53)))</f>
        <v>166.7999999999999</v>
      </c>
      <c r="CU54" s="18">
        <f>CT54*VLOOKUP('Données projet'!$B$13,Paramètres!$A$1:$I$89,3,0)*VLOOKUP('Données projet'!$B$13,Paramètres!$A$1:$I$89,5,0)</f>
        <v>122.29775999999991</v>
      </c>
      <c r="CV54" s="14">
        <f t="shared" si="41"/>
        <v>32.21032106291954</v>
      </c>
      <c r="CW54" s="22">
        <f t="shared" si="13"/>
        <v>269.10157451791798</v>
      </c>
      <c r="CX54" s="62">
        <f t="shared" si="14"/>
        <v>524.88545492116486</v>
      </c>
      <c r="CY54" s="62">
        <f ca="1">AVERAGE(OFFSET($CX$3,0,0,'Données projet'!$E$13+1,1))-AVERAGE(OFFSET($H$3,0,0,'Données projet'!$E$13+1,1))</f>
        <v>250.11765444522138</v>
      </c>
      <c r="CZ54" s="62">
        <f t="shared" si="42"/>
        <v>241.42920565698913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5.4391034645044742</v>
      </c>
      <c r="DH54" s="23">
        <f>EXP(-LN(2)/2)*DH53+(1-EXP(-LN(2)/2))/(LN(2)/2)*DB54*DE54*VLOOKUP('Données projet'!$B$13,Paramètres!$A$1:$I$89,3,0)*0.475*44/12</f>
        <v>3.4631664532227116E-2</v>
      </c>
      <c r="DI54" s="24">
        <f t="shared" si="15"/>
        <v>5.4737351290367018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655.56</v>
      </c>
      <c r="L55" s="13">
        <f>VLOOKUP(A55,'Données projet'!$A$35:$I$55,9,0)</f>
        <v>25.71999999999997</v>
      </c>
      <c r="M55" s="13">
        <f t="array" ref="M55">INDEX(L:L,MIN(IF(ISNUMBER(L55:L251),ROW(L55:L251),"")))</f>
        <v>25.71999999999997</v>
      </c>
      <c r="N55" s="14">
        <f>IF('Données projet'!$A$36&gt;35,N54+M55-V54,IF(A55&lt;'Données projet'!$A$36,$K$205^A55,IF(A55='Données projet'!$A$36,'Données projet'!$B$36,N54+M55-V54)))</f>
        <v>655.56</v>
      </c>
      <c r="O55" s="14">
        <f>N55*VLOOKUP('Données projet'!$B$9,Paramètres!$A$1:$I$89,3,0)*VLOOKUP('Données projet'!$B$9,Paramètres!$A$1:$I$89,5,0)</f>
        <v>366.45803999999998</v>
      </c>
      <c r="P55" s="14">
        <f t="shared" si="33"/>
        <v>84.942276491660508</v>
      </c>
      <c r="Q55" s="22">
        <f t="shared" si="53"/>
        <v>786.18888455630861</v>
      </c>
      <c r="R55" s="62">
        <f t="shared" si="0"/>
        <v>1042.6241640198919</v>
      </c>
      <c r="S55" s="62">
        <f ca="1">AVERAGE(OFFSET($R$3,0,0,'Données projet'!$E$9+1,1))-AVERAGE(OFFSET($H$3,0,0,'Données projet'!$E$9+1,1))</f>
        <v>419.0448820879102</v>
      </c>
      <c r="T55" s="62">
        <f t="shared" si="34"/>
        <v>553.33038335026379</v>
      </c>
      <c r="U55" s="16">
        <f>IF(ISNA(VLOOKUP(A55,'Données projet'!$A$35:$I$55,3,0)),0,VLOOKUP(A55,'Données projet'!$A$35:$I$55,3,0))</f>
        <v>19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9.7479442488507662</v>
      </c>
      <c r="AA55" s="23">
        <f>EXP(-LN(2)/25)*AA54+(1-EXP(-LN(2)/25))/(LN(2)/25)*Calculateur!V55*Calculateur!X55*VLOOKUP('Données projet'!$B$9,Paramètres!$A$1:$I$89,3,0)*0.475*44/12</f>
        <v>12.756619934311722</v>
      </c>
      <c r="AB55" s="23">
        <f>EXP(-LN(2)/2)*AB54+(1-EXP(-LN(2)/2))/(LN(2)/2)*V55*Y55*VLOOKUP('Données projet'!$B$9,Paramètres!$A$1:$I$89,3,0)*0.475*44/12</f>
        <v>8.7524438490726251E-3</v>
      </c>
      <c r="AC55" s="24">
        <f t="shared" si="3"/>
        <v>22.513316627011559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7.8</v>
      </c>
      <c r="AI55" s="14">
        <f>IF('Données projet'!$A$62&gt;35,AI54+AH55-AQ54,IF(A55&lt;'Données projet'!$A$62,$AF$205^A55,IF(A55='Données projet'!$A$62,'Données projet'!$B$62,AI54+AH55-AQ54)))</f>
        <v>213.60000000000016</v>
      </c>
      <c r="AJ55" s="14">
        <f>AI55*VLOOKUP('Données projet'!$B$10,Paramètres!$A$1:$I$89,3,0)*VLOOKUP('Données projet'!$B$10,Paramètres!$A$1:$I$89,5,0)</f>
        <v>186.60096000000016</v>
      </c>
      <c r="AK55" s="14">
        <f t="shared" si="35"/>
        <v>46.787685683664144</v>
      </c>
      <c r="AL55" s="22">
        <f t="shared" si="4"/>
        <v>406.48522456571527</v>
      </c>
      <c r="AM55" s="62">
        <f t="shared" si="5"/>
        <v>662.92050402929863</v>
      </c>
      <c r="AN55" s="62">
        <f ca="1">AVERAGE(OFFSET($AM$3,0,0,'Données projet'!$E$10+1,1))-AVERAGE(OFFSET($H$3,0,0,'Données projet'!$E$10+1,1))</f>
        <v>341.62910675299065</v>
      </c>
      <c r="AO55" s="62">
        <f t="shared" si="36"/>
        <v>407.15938341104709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13.900182840986979</v>
      </c>
      <c r="AW55" s="23">
        <f>EXP(-LN(2)/2)*AW54+(1-EXP(-LN(2)/2))/(LN(2)/2)*AQ55*AT55*VLOOKUP('Données projet'!$B$10,Paramètres!$A$1:$I$89,3,0)*0.475*44/12</f>
        <v>8.9191933997334674E-3</v>
      </c>
      <c r="AX55" s="23">
        <f t="shared" si="6"/>
        <v>13.909102034386713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695.93583659018805</v>
      </c>
      <c r="BI55" s="62">
        <f ca="1">AVERAGE(OFFSET($BH$3,0,0,'Données projet'!$E$11+1,1))-AVERAGE(OFFSET($H$3,0,0,'Données projet'!$E$11+1,1))</f>
        <v>472.83070477639035</v>
      </c>
      <c r="BJ55" s="62">
        <f t="shared" si="38"/>
        <v>297.32483725004136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4.9611840821102078</v>
      </c>
      <c r="BR55" s="23">
        <f>EXP(-LN(2)/2)*BR54+(1-EXP(-LN(2)/2))/(LN(2)/2)*BL55*BO55*VLOOKUP('Données projet'!$B$11,Paramètres!$A$1:$I$89,3,0)*0.475*44/12</f>
        <v>7.2801634006629187E-3</v>
      </c>
      <c r="BS55" s="24">
        <f t="shared" si="9"/>
        <v>4.9684642455108703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-1.7053025658242404E-13</v>
      </c>
      <c r="BZ55" s="14">
        <f>BY55*VLOOKUP('Données projet'!$B$12,Paramètres!$A$1:$I$89,3,0)*VLOOKUP('Données projet'!$B$12,Paramètres!$A$1:$I$89,5,0)</f>
        <v>-9.3109520094003535E-14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262.64209686767367</v>
      </c>
      <c r="CE55" s="62">
        <f t="shared" si="40"/>
        <v>381.0342365342517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3.7604283731307437</v>
      </c>
      <c r="CL55" s="23">
        <f>EXP(-LN(2)/25)*CL54+(1-EXP(-LN(2)/25))/(LN(2)/25)*Calculateur!CG55*Calculateur!CI55*VLOOKUP('Données projet'!$B$12,Paramètres!$A$1:$I$89,3,0)*0.475*44/12</f>
        <v>7.0848690665973937</v>
      </c>
      <c r="CM55" s="23">
        <f>EXP(-LN(2)/2)*CM54+(1-EXP(-LN(2)/2))/(LN(2)/2)*CG55*CJ55*VLOOKUP('Données projet'!$B$12,Paramètres!$A$1:$I$89,3,0)*0.475*44/12</f>
        <v>6.0410226595818345E-3</v>
      </c>
      <c r="CN55" s="24">
        <f t="shared" si="12"/>
        <v>10.851338462387719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4.8</v>
      </c>
      <c r="CT55" s="13">
        <f>IF('Données projet'!$A$140&gt;35,CT54+CS55-DB54,IF(A55&lt;'Données projet'!$A$140,$CQ$205^A55,IF(A55='Données projet'!$A$140,'Données projet'!$B$140,CT54+CS55-DB54)))</f>
        <v>171.59999999999991</v>
      </c>
      <c r="CU55" s="18">
        <f>CT55*VLOOKUP('Données projet'!$B$13,Paramètres!$A$1:$I$89,3,0)*VLOOKUP('Données projet'!$B$13,Paramètres!$A$1:$I$89,5,0)</f>
        <v>125.81711999999995</v>
      </c>
      <c r="CV55" s="14">
        <f t="shared" si="41"/>
        <v>33.027986541890506</v>
      </c>
      <c r="CW55" s="22">
        <f t="shared" si="13"/>
        <v>276.65522722712586</v>
      </c>
      <c r="CX55" s="62">
        <f t="shared" si="14"/>
        <v>533.09050669070916</v>
      </c>
      <c r="CY55" s="62">
        <f ca="1">AVERAGE(OFFSET($CX$3,0,0,'Données projet'!$E$13+1,1))-AVERAGE(OFFSET($H$3,0,0,'Données projet'!$E$13+1,1))</f>
        <v>250.11765444522138</v>
      </c>
      <c r="CZ55" s="62">
        <f t="shared" si="42"/>
        <v>241.42920565698913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5.2903708942375793</v>
      </c>
      <c r="DH55" s="23">
        <f>EXP(-LN(2)/2)*DH54+(1-EXP(-LN(2)/2))/(LN(2)/2)*DB55*DE55*VLOOKUP('Données projet'!$B$13,Paramètres!$A$1:$I$89,3,0)*0.475*44/12</f>
        <v>2.4488284834515438E-2</v>
      </c>
      <c r="DI55" s="24">
        <f t="shared" si="15"/>
        <v>5.3148591790720952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26.095000000000027</v>
      </c>
      <c r="N56" s="14">
        <f>IF('Données projet'!$A$36&gt;35,N55+M56-V55,IF(A56&lt;'Données projet'!$A$36,$K$205^A56,IF(A56='Données projet'!$A$36,'Données projet'!$B$36,N55+M56-V55)))</f>
        <v>681.65499999999997</v>
      </c>
      <c r="O56" s="14">
        <f>N56*VLOOKUP('Données projet'!$B$9,Paramètres!$A$1:$I$89,3,0)*VLOOKUP('Données projet'!$B$9,Paramètres!$A$1:$I$89,5,0)</f>
        <v>381.04514499999999</v>
      </c>
      <c r="P56" s="14">
        <f t="shared" si="33"/>
        <v>87.92306934491728</v>
      </c>
      <c r="Q56" s="22">
        <f t="shared" si="53"/>
        <v>816.78630665073081</v>
      </c>
      <c r="R56" s="62">
        <f t="shared" si="0"/>
        <v>1073.861684857264</v>
      </c>
      <c r="S56" s="62">
        <f ca="1">AVERAGE(OFFSET($R$3,0,0,'Données projet'!$E$9+1,1))-AVERAGE(OFFSET($H$3,0,0,'Données projet'!$E$9+1,1))</f>
        <v>419.0448820879102</v>
      </c>
      <c r="T56" s="62">
        <f t="shared" si="34"/>
        <v>553.33038335026379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9.5567930077897092</v>
      </c>
      <c r="AA56" s="23">
        <f>EXP(-LN(2)/25)*AA55+(1-EXP(-LN(2)/25))/(LN(2)/25)*Calculateur!V56*Calculateur!X56*VLOOKUP('Données projet'!$B$9,Paramètres!$A$1:$I$89,3,0)*0.475*44/12</f>
        <v>12.407789491366481</v>
      </c>
      <c r="AB56" s="23">
        <f>EXP(-LN(2)/2)*AB55+(1-EXP(-LN(2)/2))/(LN(2)/2)*V56*Y56*VLOOKUP('Données projet'!$B$9,Paramètres!$A$1:$I$89,3,0)*0.475*44/12</f>
        <v>6.1889123976337406E-3</v>
      </c>
      <c r="AC56" s="24">
        <f t="shared" si="3"/>
        <v>21.970771411553823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7.8</v>
      </c>
      <c r="AI56" s="14">
        <f>IF('Données projet'!$A$62&gt;35,AI55+AH56-AQ55,IF(A56&lt;'Données projet'!$A$62,$AF$205^A56,IF(A56='Données projet'!$A$62,'Données projet'!$B$62,AI55+AH56-AQ55)))</f>
        <v>221.40000000000018</v>
      </c>
      <c r="AJ56" s="14">
        <f>AI56*VLOOKUP('Données projet'!$B$10,Paramètres!$A$1:$I$89,3,0)*VLOOKUP('Données projet'!$B$10,Paramètres!$A$1:$I$89,5,0)</f>
        <v>193.41504000000018</v>
      </c>
      <c r="AK56" s="14">
        <f t="shared" si="35"/>
        <v>48.294185132315114</v>
      </c>
      <c r="AL56" s="22">
        <f t="shared" si="4"/>
        <v>420.97690043878242</v>
      </c>
      <c r="AM56" s="62">
        <f t="shared" si="5"/>
        <v>678.05227864531571</v>
      </c>
      <c r="AN56" s="62">
        <f ca="1">AVERAGE(OFFSET($AM$3,0,0,'Données projet'!$E$10+1,1))-AVERAGE(OFFSET($H$3,0,0,'Données projet'!$E$10+1,1))</f>
        <v>341.62910675299065</v>
      </c>
      <c r="AO56" s="62">
        <f t="shared" si="36"/>
        <v>407.15938341104709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13.520081610221343</v>
      </c>
      <c r="AW56" s="23">
        <f>EXP(-LN(2)/2)*AW55+(1-EXP(-LN(2)/2))/(LN(2)/2)*AQ56*AT56*VLOOKUP('Données projet'!$B$10,Paramètres!$A$1:$I$89,3,0)*0.475*44/12</f>
        <v>6.306822135665832E-3</v>
      </c>
      <c r="AX56" s="23">
        <f t="shared" si="6"/>
        <v>13.52638843235701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716.16865806460385</v>
      </c>
      <c r="BI56" s="62">
        <f ca="1">AVERAGE(OFFSET($BH$3,0,0,'Données projet'!$E$11+1,1))-AVERAGE(OFFSET($H$3,0,0,'Données projet'!$E$11+1,1))</f>
        <v>472.83070477639035</v>
      </c>
      <c r="BJ56" s="62">
        <f t="shared" si="38"/>
        <v>297.32483725004136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4.8255202424875723</v>
      </c>
      <c r="BR56" s="23">
        <f>EXP(-LN(2)/2)*BR55+(1-EXP(-LN(2)/2))/(LN(2)/2)*BL56*BO56*VLOOKUP('Données projet'!$B$11,Paramètres!$A$1:$I$89,3,0)*0.475*44/12</f>
        <v>5.1478529087548661E-3</v>
      </c>
      <c r="BS56" s="24">
        <f t="shared" si="9"/>
        <v>4.8306680953963275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-1.7053025658242404E-13</v>
      </c>
      <c r="BZ56" s="14">
        <f>BY56*VLOOKUP('Données projet'!$B$12,Paramètres!$A$1:$I$89,3,0)*VLOOKUP('Données projet'!$B$12,Paramètres!$A$1:$I$89,5,0)</f>
        <v>-9.3109520094003535E-14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262.64209686767367</v>
      </c>
      <c r="CE56" s="62">
        <f t="shared" si="40"/>
        <v>381.0342365342517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3.6866886663684797</v>
      </c>
      <c r="CL56" s="23">
        <f>EXP(-LN(2)/25)*CL55+(1-EXP(-LN(2)/25))/(LN(2)/25)*Calculateur!CG56*Calculateur!CI56*VLOOKUP('Données projet'!$B$12,Paramètres!$A$1:$I$89,3,0)*0.475*44/12</f>
        <v>6.8911329493942164</v>
      </c>
      <c r="CM56" s="23">
        <f>EXP(-LN(2)/2)*CM55+(1-EXP(-LN(2)/2))/(LN(2)/2)*CG56*CJ56*VLOOKUP('Données projet'!$B$12,Paramètres!$A$1:$I$89,3,0)*0.475*44/12</f>
        <v>4.2716480878919076E-3</v>
      </c>
      <c r="CN56" s="24">
        <f t="shared" si="12"/>
        <v>10.582093263850588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4.8</v>
      </c>
      <c r="CT56" s="13">
        <f>IF('Données projet'!$A$140&gt;35,CT55+CS56-DB55,IF(A56&lt;'Données projet'!$A$140,$CQ$205^A56,IF(A56='Données projet'!$A$140,'Données projet'!$B$140,CT55+CS56-DB55)))</f>
        <v>176.39999999999992</v>
      </c>
      <c r="CU56" s="18">
        <f>CT56*VLOOKUP('Données projet'!$B$13,Paramètres!$A$1:$I$89,3,0)*VLOOKUP('Données projet'!$B$13,Paramètres!$A$1:$I$89,5,0)</f>
        <v>129.33647999999994</v>
      </c>
      <c r="CV56" s="14">
        <f t="shared" si="41"/>
        <v>33.84299371090448</v>
      </c>
      <c r="CW56" s="22">
        <f t="shared" si="13"/>
        <v>284.20425004649184</v>
      </c>
      <c r="CX56" s="62">
        <f t="shared" si="14"/>
        <v>541.27962825302507</v>
      </c>
      <c r="CY56" s="62">
        <f ca="1">AVERAGE(OFFSET($CX$3,0,0,'Données projet'!$E$13+1,1))-AVERAGE(OFFSET($H$3,0,0,'Données projet'!$E$13+1,1))</f>
        <v>250.11765444522138</v>
      </c>
      <c r="CZ56" s="62">
        <f t="shared" si="42"/>
        <v>241.42920565698913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5.1457054239261391</v>
      </c>
      <c r="DH56" s="23">
        <f>EXP(-LN(2)/2)*DH55+(1-EXP(-LN(2)/2))/(LN(2)/2)*DB56*DE56*VLOOKUP('Données projet'!$B$13,Paramètres!$A$1:$I$89,3,0)*0.475*44/12</f>
        <v>1.7315832266113558E-2</v>
      </c>
      <c r="DI56" s="24">
        <f t="shared" si="15"/>
        <v>5.1630212561922528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707.75</v>
      </c>
      <c r="L57" s="13">
        <f>VLOOKUP(A57,'Données projet'!$A$35:$I$55,9,0)</f>
        <v>26.095000000000027</v>
      </c>
      <c r="M57" s="13">
        <f t="array" ref="M57">INDEX(L:L,MIN(IF(ISNUMBER(L57:L253),ROW(L57:L253),"")))</f>
        <v>26.095000000000027</v>
      </c>
      <c r="N57" s="14">
        <f>IF('Données projet'!$A$36&gt;35,N56+M57-V56,IF(A57&lt;'Données projet'!$A$36,$K$205^A57,IF(A57='Données projet'!$A$36,'Données projet'!$B$36,N56+M57-V56)))</f>
        <v>707.75</v>
      </c>
      <c r="O57" s="14">
        <f>N57*VLOOKUP('Données projet'!$B$9,Paramètres!$A$1:$I$89,3,0)*VLOOKUP('Données projet'!$B$9,Paramètres!$A$1:$I$89,5,0)</f>
        <v>395.63225</v>
      </c>
      <c r="P57" s="14">
        <f t="shared" si="33"/>
        <v>90.890605900198707</v>
      </c>
      <c r="Q57" s="22">
        <f t="shared" si="53"/>
        <v>847.360640692846</v>
      </c>
      <c r="R57" s="62">
        <f t="shared" si="0"/>
        <v>1105.0650133601853</v>
      </c>
      <c r="S57" s="62">
        <f ca="1">AVERAGE(OFFSET($R$3,0,0,'Données projet'!$E$9+1,1))-AVERAGE(OFFSET($H$3,0,0,'Données projet'!$E$9+1,1))</f>
        <v>419.0448820879102</v>
      </c>
      <c r="T57" s="62">
        <f t="shared" si="34"/>
        <v>553.33038335026379</v>
      </c>
      <c r="U57" s="16">
        <f>IF(ISNA(VLOOKUP(A57,'Données projet'!$A$35:$I$55,3,0)),0,VLOOKUP(A57,'Données projet'!$A$35:$I$55,3,0))</f>
        <v>20</v>
      </c>
      <c r="V57" s="16">
        <f>IF(ISNA(VLOOKUP(A57,'Données projet'!$A$35:$I$55,4,0)),0,VLOOKUP(A57,'Données projet'!$A$35:$I$55,4,0))</f>
        <v>707.75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9.3693901259751158</v>
      </c>
      <c r="AA57" s="23">
        <f>EXP(-LN(2)/25)*AA56+(1-EXP(-LN(2)/25))/(LN(2)/25)*Calculateur!V57*Calculateur!X57*VLOOKUP('Données projet'!$B$9,Paramètres!$A$1:$I$89,3,0)*0.475*44/12</f>
        <v>12.068497835227774</v>
      </c>
      <c r="AB57" s="23">
        <f>EXP(-LN(2)/2)*AB56+(1-EXP(-LN(2)/2))/(LN(2)/2)*V57*Y57*VLOOKUP('Données projet'!$B$9,Paramètres!$A$1:$I$89,3,0)*0.475*44/12</f>
        <v>4.3762219245363125E-3</v>
      </c>
      <c r="AC57" s="24">
        <f t="shared" si="3"/>
        <v>21.442264183127428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7.8</v>
      </c>
      <c r="AI57" s="14">
        <f>IF('Données projet'!$A$62&gt;35,AI56+AH57-AQ56,IF(A57&lt;'Données projet'!$A$62,$AF$205^A57,IF(A57='Données projet'!$A$62,'Données projet'!$B$62,AI56+AH57-AQ56)))</f>
        <v>229.20000000000019</v>
      </c>
      <c r="AJ57" s="14">
        <f>AI57*VLOOKUP('Données projet'!$B$10,Paramètres!$A$1:$I$89,3,0)*VLOOKUP('Données projet'!$B$10,Paramètres!$A$1:$I$89,5,0)</f>
        <v>200.22912000000019</v>
      </c>
      <c r="AK57" s="14">
        <f t="shared" si="35"/>
        <v>49.794518010766396</v>
      </c>
      <c r="AL57" s="22">
        <f t="shared" si="4"/>
        <v>435.45783620208516</v>
      </c>
      <c r="AM57" s="62">
        <f t="shared" si="5"/>
        <v>693.16220886942449</v>
      </c>
      <c r="AN57" s="62">
        <f ca="1">AVERAGE(OFFSET($AM$3,0,0,'Données projet'!$E$10+1,1))-AVERAGE(OFFSET($H$3,0,0,'Données projet'!$E$10+1,1))</f>
        <v>341.62910675299065</v>
      </c>
      <c r="AO57" s="62">
        <f t="shared" si="36"/>
        <v>407.15938341104709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13.150374267599648</v>
      </c>
      <c r="AW57" s="23">
        <f>EXP(-LN(2)/2)*AW56+(1-EXP(-LN(2)/2))/(LN(2)/2)*AQ57*AT57*VLOOKUP('Données projet'!$B$10,Paramètres!$A$1:$I$89,3,0)*0.475*44/12</f>
        <v>4.4595966998667337E-3</v>
      </c>
      <c r="AX57" s="23">
        <f t="shared" si="6"/>
        <v>13.154833864299516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736.37252945510068</v>
      </c>
      <c r="BI57" s="62">
        <f ca="1">AVERAGE(OFFSET($BH$3,0,0,'Données projet'!$E$11+1,1))-AVERAGE(OFFSET($H$3,0,0,'Données projet'!$E$11+1,1))</f>
        <v>472.83070477639035</v>
      </c>
      <c r="BJ57" s="62">
        <f t="shared" si="38"/>
        <v>297.32483725004136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4.6935661376936686</v>
      </c>
      <c r="BR57" s="23">
        <f>EXP(-LN(2)/2)*BR56+(1-EXP(-LN(2)/2))/(LN(2)/2)*BL57*BO57*VLOOKUP('Données projet'!$B$11,Paramètres!$A$1:$I$89,3,0)*0.475*44/12</f>
        <v>3.6400817003314594E-3</v>
      </c>
      <c r="BS57" s="24">
        <f t="shared" si="9"/>
        <v>4.6972062193940003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-1.7053025658242404E-13</v>
      </c>
      <c r="BZ57" s="14">
        <f>BY57*VLOOKUP('Données projet'!$B$12,Paramètres!$A$1:$I$89,3,0)*VLOOKUP('Données projet'!$B$12,Paramètres!$A$1:$I$89,5,0)</f>
        <v>-9.3109520094003535E-14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262.64209686767367</v>
      </c>
      <c r="CE57" s="62">
        <f t="shared" si="40"/>
        <v>381.0342365342517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3.6143949502790438</v>
      </c>
      <c r="CL57" s="23">
        <f>EXP(-LN(2)/25)*CL56+(1-EXP(-LN(2)/25))/(LN(2)/25)*Calculateur!CG57*Calculateur!CI57*VLOOKUP('Données projet'!$B$12,Paramètres!$A$1:$I$89,3,0)*0.475*44/12</f>
        <v>6.7026945565040998</v>
      </c>
      <c r="CM57" s="23">
        <f>EXP(-LN(2)/2)*CM56+(1-EXP(-LN(2)/2))/(LN(2)/2)*CG57*CJ57*VLOOKUP('Données projet'!$B$12,Paramètres!$A$1:$I$89,3,0)*0.475*44/12</f>
        <v>3.0205113297909173E-3</v>
      </c>
      <c r="CN57" s="24">
        <f t="shared" si="12"/>
        <v>10.320110018112935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4.8</v>
      </c>
      <c r="CT57" s="13">
        <f>IF('Données projet'!$A$140&gt;35,CT56+CS57-DB56,IF(A57&lt;'Données projet'!$A$140,$CQ$205^A57,IF(A57='Données projet'!$A$140,'Données projet'!$B$140,CT56+CS57-DB56)))</f>
        <v>181.19999999999993</v>
      </c>
      <c r="CU57" s="18">
        <f>CT57*VLOOKUP('Données projet'!$B$13,Paramètres!$A$1:$I$89,3,0)*VLOOKUP('Données projet'!$B$13,Paramètres!$A$1:$I$89,5,0)</f>
        <v>132.85583999999994</v>
      </c>
      <c r="CV57" s="14">
        <f t="shared" si="41"/>
        <v>34.655423217116848</v>
      </c>
      <c r="CW57" s="22">
        <f t="shared" si="13"/>
        <v>291.74878343647839</v>
      </c>
      <c r="CX57" s="62">
        <f t="shared" si="14"/>
        <v>549.45315610381772</v>
      </c>
      <c r="CY57" s="62">
        <f ca="1">AVERAGE(OFFSET($CX$3,0,0,'Données projet'!$E$13+1,1))-AVERAGE(OFFSET($H$3,0,0,'Données projet'!$E$13+1,1))</f>
        <v>250.11765444522138</v>
      </c>
      <c r="CZ57" s="62">
        <f t="shared" si="42"/>
        <v>241.42920565698913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5.0049958385079911</v>
      </c>
      <c r="DH57" s="23">
        <f>EXP(-LN(2)/2)*DH56+(1-EXP(-LN(2)/2))/(LN(2)/2)*DB57*DE57*VLOOKUP('Données projet'!$B$13,Paramètres!$A$1:$I$89,3,0)*0.475*44/12</f>
        <v>1.2244142417257719E-2</v>
      </c>
      <c r="DI57" s="24">
        <f t="shared" si="15"/>
        <v>5.0172399809252486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419.0448820879102</v>
      </c>
      <c r="T58" s="62">
        <f t="shared" si="34"/>
        <v>553.33038335026379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9.1856621003684342</v>
      </c>
      <c r="AA58" s="23">
        <f>EXP(-LN(2)/25)*AA57+(1-EXP(-LN(2)/25))/(LN(2)/25)*Calculateur!V58*Calculateur!X58*VLOOKUP('Données projet'!$B$9,Paramètres!$A$1:$I$89,3,0)*0.475*44/12</f>
        <v>11.738484127268752</v>
      </c>
      <c r="AB58" s="23">
        <f>EXP(-LN(2)/2)*AB57+(1-EXP(-LN(2)/2))/(LN(2)/2)*V58*Y58*VLOOKUP('Données projet'!$B$9,Paramètres!$A$1:$I$89,3,0)*0.475*44/12</f>
        <v>3.0944561988168703E-3</v>
      </c>
      <c r="AC58" s="24">
        <f t="shared" si="3"/>
        <v>20.927240683836004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237</v>
      </c>
      <c r="AG58" s="13">
        <f>VLOOKUP(A58,'Données projet'!$A$61:$I$81,9,0)</f>
        <v>7.8</v>
      </c>
      <c r="AH58" s="13">
        <f t="array" ref="AH58">INDEX(AG:AG,MIN(IF(ISNUMBER(AG58:AG254),ROW(AG58:AG254),"")))</f>
        <v>7.8</v>
      </c>
      <c r="AI58" s="14">
        <f>IF('Données projet'!$A$62&gt;35,AI57+AH58-AQ57,IF(A58&lt;'Données projet'!$A$62,$AF$205^A58,IF(A58='Données projet'!$A$62,'Données projet'!$B$62,AI57+AH58-AQ57)))</f>
        <v>237.0000000000002</v>
      </c>
      <c r="AJ58" s="14">
        <f>AI58*VLOOKUP('Données projet'!$B$10,Paramètres!$A$1:$I$89,3,0)*VLOOKUP('Données projet'!$B$10,Paramètres!$A$1:$I$89,5,0)</f>
        <v>207.04320000000018</v>
      </c>
      <c r="AK58" s="14">
        <f t="shared" si="35"/>
        <v>51.28891823180637</v>
      </c>
      <c r="AL58" s="22">
        <f t="shared" si="4"/>
        <v>449.92843925372966</v>
      </c>
      <c r="AM58" s="62">
        <f t="shared" si="5"/>
        <v>708.25089473420098</v>
      </c>
      <c r="AN58" s="62">
        <f ca="1">AVERAGE(OFFSET($AM$3,0,0,'Données projet'!$E$10+1,1))-AVERAGE(OFFSET($H$3,0,0,'Données projet'!$E$10+1,1))</f>
        <v>341.62910675299065</v>
      </c>
      <c r="AO58" s="62">
        <f t="shared" si="36"/>
        <v>407.15938341104709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29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12.790776591704009</v>
      </c>
      <c r="AW58" s="23">
        <f>EXP(-LN(2)/2)*AW57+(1-EXP(-LN(2)/2))/(LN(2)/2)*AQ58*AT58*VLOOKUP('Données projet'!$B$10,Paramètres!$A$1:$I$89,3,0)*0.475*44/12</f>
        <v>3.153411067832916E-3</v>
      </c>
      <c r="AX58" s="23">
        <f t="shared" si="6"/>
        <v>12.793930002771843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756.54847539707771</v>
      </c>
      <c r="BI58" s="62">
        <f ca="1">AVERAGE(OFFSET($BH$3,0,0,'Données projet'!$E$11+1,1))-AVERAGE(OFFSET($H$3,0,0,'Données projet'!$E$11+1,1))</f>
        <v>472.83070477639035</v>
      </c>
      <c r="BJ58" s="62">
        <f t="shared" si="38"/>
        <v>297.32483725004136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4.5652203248345193</v>
      </c>
      <c r="BR58" s="23">
        <f>EXP(-LN(2)/2)*BR57+(1-EXP(-LN(2)/2))/(LN(2)/2)*BL58*BO58*VLOOKUP('Données projet'!$B$11,Paramètres!$A$1:$I$89,3,0)*0.475*44/12</f>
        <v>2.5739264543774331E-3</v>
      </c>
      <c r="BS58" s="24">
        <f t="shared" si="9"/>
        <v>4.5677942512888965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-1.7053025658242404E-13</v>
      </c>
      <c r="BZ58" s="14">
        <f>BY58*VLOOKUP('Données projet'!$B$12,Paramètres!$A$1:$I$89,3,0)*VLOOKUP('Données projet'!$B$12,Paramètres!$A$1:$I$89,5,0)</f>
        <v>-9.3109520094003535E-14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262.64209686767367</v>
      </c>
      <c r="CE58" s="62">
        <f t="shared" si="40"/>
        <v>381.0342365342517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3.543518869867309</v>
      </c>
      <c r="CL58" s="23">
        <f>EXP(-LN(2)/25)*CL57+(1-EXP(-LN(2)/25))/(LN(2)/25)*Calculateur!CG58*Calculateur!CI58*VLOOKUP('Données projet'!$B$12,Paramètres!$A$1:$I$89,3,0)*0.475*44/12</f>
        <v>6.5194090213771076</v>
      </c>
      <c r="CM58" s="23">
        <f>EXP(-LN(2)/2)*CM57+(1-EXP(-LN(2)/2))/(LN(2)/2)*CG58*CJ58*VLOOKUP('Données projet'!$B$12,Paramètres!$A$1:$I$89,3,0)*0.475*44/12</f>
        <v>2.1358240439459538E-3</v>
      </c>
      <c r="CN58" s="24">
        <f t="shared" si="12"/>
        <v>10.065063715288362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186</v>
      </c>
      <c r="CR58" s="13">
        <f>VLOOKUP(A58,'Données projet'!$A$139:$I$159,9,0)</f>
        <v>4.8</v>
      </c>
      <c r="CS58" s="13">
        <f t="array" ref="CS58">INDEX(CR:CR,MIN(IF(ISNUMBER(CR58:CR254),ROW(CR58:CR254),"")))</f>
        <v>4.8</v>
      </c>
      <c r="CT58" s="13">
        <f>IF('Données projet'!$A$140&gt;35,CT57+CS58-DB57,IF(A58&lt;'Données projet'!$A$140,$CQ$205^A58,IF(A58='Données projet'!$A$140,'Données projet'!$B$140,CT57+CS58-DB57)))</f>
        <v>185.99999999999994</v>
      </c>
      <c r="CU58" s="18">
        <f>CT58*VLOOKUP('Données projet'!$B$13,Paramètres!$A$1:$I$89,3,0)*VLOOKUP('Données projet'!$B$13,Paramètres!$A$1:$I$89,5,0)</f>
        <v>136.37519999999995</v>
      </c>
      <c r="CV58" s="14">
        <f t="shared" si="41"/>
        <v>35.465351191683979</v>
      </c>
      <c r="CW58" s="22">
        <f t="shared" si="13"/>
        <v>299.28895999218281</v>
      </c>
      <c r="CX58" s="62">
        <f t="shared" si="14"/>
        <v>557.61141547265424</v>
      </c>
      <c r="CY58" s="62">
        <f ca="1">AVERAGE(OFFSET($CX$3,0,0,'Données projet'!$E$13+1,1))-AVERAGE(OFFSET($H$3,0,0,'Données projet'!$E$13+1,1))</f>
        <v>250.11765444522138</v>
      </c>
      <c r="CZ58" s="62">
        <f t="shared" si="42"/>
        <v>241.42920565698913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11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4.8681339641026984</v>
      </c>
      <c r="DH58" s="23">
        <f>EXP(-LN(2)/2)*DH57+(1-EXP(-LN(2)/2))/(LN(2)/2)*DB58*DE58*VLOOKUP('Données projet'!$B$13,Paramètres!$A$1:$I$89,3,0)*0.475*44/12</f>
        <v>8.657916133056779E-3</v>
      </c>
      <c r="DI58" s="24">
        <f t="shared" si="15"/>
        <v>4.8767918802357553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419.0448820879102</v>
      </c>
      <c r="T59" s="62">
        <f t="shared" si="34"/>
        <v>553.33038335026379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9.0055368692808688</v>
      </c>
      <c r="AA59" s="23">
        <f>EXP(-LN(2)/25)*AA58+(1-EXP(-LN(2)/25))/(LN(2)/25)*Calculateur!V59*Calculateur!X59*VLOOKUP('Données projet'!$B$9,Paramètres!$A$1:$I$89,3,0)*0.475*44/12</f>
        <v>11.417494661508536</v>
      </c>
      <c r="AB59" s="23">
        <f>EXP(-LN(2)/2)*AB58+(1-EXP(-LN(2)/2))/(LN(2)/2)*V59*Y59*VLOOKUP('Données projet'!$B$9,Paramètres!$A$1:$I$89,3,0)*0.475*44/12</f>
        <v>2.1881109622681563E-3</v>
      </c>
      <c r="AC59" s="24">
        <f t="shared" si="3"/>
        <v>20.425219641751674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6.8</v>
      </c>
      <c r="AI59" s="14">
        <f>IF('Données projet'!$A$62&gt;35,AI58+AH59-AQ58,IF(A59&lt;'Données projet'!$A$62,$AF$205^A59,IF(A59='Données projet'!$A$62,'Données projet'!$B$62,AI58+AH59-AQ58)))</f>
        <v>214.80000000000021</v>
      </c>
      <c r="AJ59" s="14">
        <f>AI59*VLOOKUP('Données projet'!$B$10,Paramètres!$A$1:$I$89,3,0)*VLOOKUP('Données projet'!$B$10,Paramètres!$A$1:$I$89,5,0)</f>
        <v>187.6492800000002</v>
      </c>
      <c r="AK59" s="14">
        <f t="shared" si="35"/>
        <v>47.019866076567546</v>
      </c>
      <c r="AL59" s="22">
        <f t="shared" si="4"/>
        <v>408.71542941668878</v>
      </c>
      <c r="AM59" s="62">
        <f t="shared" si="5"/>
        <v>667.64524535531052</v>
      </c>
      <c r="AN59" s="62">
        <f ca="1">AVERAGE(OFFSET($AM$3,0,0,'Données projet'!$E$10+1,1))-AVERAGE(OFFSET($H$3,0,0,'Données projet'!$E$10+1,1))</f>
        <v>341.62910675299065</v>
      </c>
      <c r="AO59" s="62">
        <f t="shared" si="36"/>
        <v>407.15938341104709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12.441012133166156</v>
      </c>
      <c r="AW59" s="23">
        <f>EXP(-LN(2)/2)*AW58+(1-EXP(-LN(2)/2))/(LN(2)/2)*AQ59*AT59*VLOOKUP('Données projet'!$B$10,Paramètres!$A$1:$I$89,3,0)*0.475*44/12</f>
        <v>2.2297983499333669E-3</v>
      </c>
      <c r="AX59" s="23">
        <f t="shared" si="6"/>
        <v>12.44324193151609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721.47875790189846</v>
      </c>
      <c r="BI59" s="62">
        <f ca="1">AVERAGE(OFFSET($BH$3,0,0,'Données projet'!$E$11+1,1))-AVERAGE(OFFSET($H$3,0,0,'Données projet'!$E$11+1,1))</f>
        <v>472.83070477639035</v>
      </c>
      <c r="BJ59" s="62">
        <f t="shared" si="38"/>
        <v>297.32483725004136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4.4403841349774167</v>
      </c>
      <c r="BR59" s="23">
        <f>EXP(-LN(2)/2)*BR58+(1-EXP(-LN(2)/2))/(LN(2)/2)*BL59*BO59*VLOOKUP('Données projet'!$B$11,Paramètres!$A$1:$I$89,3,0)*0.475*44/12</f>
        <v>1.8200408501657297E-3</v>
      </c>
      <c r="BS59" s="24">
        <f t="shared" si="9"/>
        <v>4.4422041758275821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-1.7053025658242404E-13</v>
      </c>
      <c r="BZ59" s="14">
        <f>BY59*VLOOKUP('Données projet'!$B$12,Paramètres!$A$1:$I$89,3,0)*VLOOKUP('Données projet'!$B$12,Paramètres!$A$1:$I$89,5,0)</f>
        <v>-9.3109520094003535E-14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262.64209686767367</v>
      </c>
      <c r="CE59" s="62">
        <f t="shared" si="40"/>
        <v>381.0342365342517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3.4740326261623076</v>
      </c>
      <c r="CL59" s="23">
        <f>EXP(-LN(2)/25)*CL58+(1-EXP(-LN(2)/25))/(LN(2)/25)*Calculateur!CG59*Calculateur!CI59*VLOOKUP('Données projet'!$B$12,Paramètres!$A$1:$I$89,3,0)*0.475*44/12</f>
        <v>6.3411354388467309</v>
      </c>
      <c r="CM59" s="23">
        <f>EXP(-LN(2)/2)*CM58+(1-EXP(-LN(2)/2))/(LN(2)/2)*CG59*CJ59*VLOOKUP('Données projet'!$B$12,Paramètres!$A$1:$I$89,3,0)*0.475*44/12</f>
        <v>1.5102556648954586E-3</v>
      </c>
      <c r="CN59" s="24">
        <f t="shared" si="12"/>
        <v>9.8166783206739332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</v>
      </c>
      <c r="CT59" s="13">
        <f>IF('Données projet'!$A$140&gt;35,CT58+CS59-DB58,IF(A59&lt;'Données projet'!$A$140,$CQ$205^A59,IF(A59='Données projet'!$A$140,'Données projet'!$B$140,CT58+CS59-DB58)))</f>
        <v>178.99999999999994</v>
      </c>
      <c r="CU59" s="18">
        <f>CT59*VLOOKUP('Données projet'!$B$13,Paramètres!$A$1:$I$89,3,0)*VLOOKUP('Données projet'!$B$13,Paramètres!$A$1:$I$89,5,0)</f>
        <v>131.24279999999996</v>
      </c>
      <c r="CV59" s="14">
        <f t="shared" si="41"/>
        <v>34.28337470677905</v>
      </c>
      <c r="CW59" s="22">
        <f t="shared" si="13"/>
        <v>288.29142094764006</v>
      </c>
      <c r="CX59" s="62">
        <f t="shared" si="14"/>
        <v>547.22123688626175</v>
      </c>
      <c r="CY59" s="62">
        <f ca="1">AVERAGE(OFFSET($CX$3,0,0,'Données projet'!$E$13+1,1))-AVERAGE(OFFSET($H$3,0,0,'Données projet'!$E$13+1,1))</f>
        <v>250.11765444522138</v>
      </c>
      <c r="CZ59" s="62">
        <f t="shared" si="42"/>
        <v>241.42920565698913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4.7350145848502709</v>
      </c>
      <c r="DH59" s="23">
        <f>EXP(-LN(2)/2)*DH58+(1-EXP(-LN(2)/2))/(LN(2)/2)*DB59*DE59*VLOOKUP('Données projet'!$B$13,Paramètres!$A$1:$I$89,3,0)*0.475*44/12</f>
        <v>6.1220712086288596E-3</v>
      </c>
      <c r="DI59" s="24">
        <f t="shared" si="15"/>
        <v>4.7411366560588997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419.0448820879102</v>
      </c>
      <c r="T60" s="62">
        <f t="shared" si="34"/>
        <v>553.33038335026379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8.8289437841093896</v>
      </c>
      <c r="AA60" s="23">
        <f>EXP(-LN(2)/25)*AA59+(1-EXP(-LN(2)/25))/(LN(2)/25)*Calculateur!V60*Calculateur!X60*VLOOKUP('Données projet'!$B$9,Paramètres!$A$1:$I$89,3,0)*0.475*44/12</f>
        <v>11.105282669569636</v>
      </c>
      <c r="AB60" s="23">
        <f>EXP(-LN(2)/2)*AB59+(1-EXP(-LN(2)/2))/(LN(2)/2)*V60*Y60*VLOOKUP('Données projet'!$B$9,Paramètres!$A$1:$I$89,3,0)*0.475*44/12</f>
        <v>1.5472280994084351E-3</v>
      </c>
      <c r="AC60" s="24">
        <f t="shared" si="3"/>
        <v>19.935773681778432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6.8</v>
      </c>
      <c r="AI60" s="14">
        <f>IF('Données projet'!$A$62&gt;35,AI59+AH60-AQ59,IF(A60&lt;'Données projet'!$A$62,$AF$205^A60,IF(A60='Données projet'!$A$62,'Données projet'!$B$62,AI59+AH60-AQ59)))</f>
        <v>221.60000000000022</v>
      </c>
      <c r="AJ60" s="14">
        <f>AI60*VLOOKUP('Données projet'!$B$10,Paramètres!$A$1:$I$89,3,0)*VLOOKUP('Données projet'!$B$10,Paramètres!$A$1:$I$89,5,0)</f>
        <v>193.58976000000021</v>
      </c>
      <c r="AK60" s="14">
        <f t="shared" si="35"/>
        <v>48.332731202087132</v>
      </c>
      <c r="AL60" s="22">
        <f t="shared" si="4"/>
        <v>421.34833884363542</v>
      </c>
      <c r="AM60" s="62">
        <f t="shared" si="5"/>
        <v>680.87497889431313</v>
      </c>
      <c r="AN60" s="62">
        <f ca="1">AVERAGE(OFFSET($AM$3,0,0,'Données projet'!$E$10+1,1))-AVERAGE(OFFSET($H$3,0,0,'Données projet'!$E$10+1,1))</f>
        <v>341.62910675299065</v>
      </c>
      <c r="AO60" s="62">
        <f t="shared" si="36"/>
        <v>407.15938341104709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12.100812002140334</v>
      </c>
      <c r="AW60" s="23">
        <f>EXP(-LN(2)/2)*AW59+(1-EXP(-LN(2)/2))/(LN(2)/2)*AQ60*AT60*VLOOKUP('Données projet'!$B$10,Paramètres!$A$1:$I$89,3,0)*0.475*44/12</f>
        <v>1.576705533916458E-3</v>
      </c>
      <c r="AX60" s="23">
        <f t="shared" si="6"/>
        <v>12.102388707674249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740.11297380909809</v>
      </c>
      <c r="BI60" s="62">
        <f ca="1">AVERAGE(OFFSET($BH$3,0,0,'Données projet'!$E$11+1,1))-AVERAGE(OFFSET($H$3,0,0,'Données projet'!$E$11+1,1))</f>
        <v>472.83070477639035</v>
      </c>
      <c r="BJ60" s="62">
        <f t="shared" si="38"/>
        <v>297.32483725004136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4.3189615972968065</v>
      </c>
      <c r="BR60" s="23">
        <f>EXP(-LN(2)/2)*BR59+(1-EXP(-LN(2)/2))/(LN(2)/2)*BL60*BO60*VLOOKUP('Données projet'!$B$11,Paramètres!$A$1:$I$89,3,0)*0.475*44/12</f>
        <v>1.2869632271887165E-3</v>
      </c>
      <c r="BS60" s="24">
        <f t="shared" si="9"/>
        <v>4.3202485605239955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-1.7053025658242404E-13</v>
      </c>
      <c r="BZ60" s="14">
        <f>BY60*VLOOKUP('Données projet'!$B$12,Paramètres!$A$1:$I$89,3,0)*VLOOKUP('Données projet'!$B$12,Paramètres!$A$1:$I$89,5,0)</f>
        <v>-9.3109520094003535E-14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262.64209686767367</v>
      </c>
      <c r="CE60" s="62">
        <f t="shared" si="40"/>
        <v>381.0342365342517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3.4059089653139378</v>
      </c>
      <c r="CL60" s="23">
        <f>EXP(-LN(2)/25)*CL59+(1-EXP(-LN(2)/25))/(LN(2)/25)*Calculateur!CG60*Calculateur!CI60*VLOOKUP('Données projet'!$B$12,Paramètres!$A$1:$I$89,3,0)*0.475*44/12</f>
        <v>6.1677367568056471</v>
      </c>
      <c r="CM60" s="23">
        <f>EXP(-LN(2)/2)*CM59+(1-EXP(-LN(2)/2))/(LN(2)/2)*CG60*CJ60*VLOOKUP('Données projet'!$B$12,Paramètres!$A$1:$I$89,3,0)*0.475*44/12</f>
        <v>1.0679120219729769E-3</v>
      </c>
      <c r="CN60" s="24">
        <f t="shared" si="12"/>
        <v>9.574713634141558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</v>
      </c>
      <c r="CT60" s="13">
        <f>IF('Données projet'!$A$140&gt;35,CT59+CS60-DB59,IF(A60&lt;'Données projet'!$A$140,$CQ$205^A60,IF(A60='Données projet'!$A$140,'Données projet'!$B$140,CT59+CS60-DB59)))</f>
        <v>182.99999999999994</v>
      </c>
      <c r="CU60" s="18">
        <f>CT60*VLOOKUP('Données projet'!$B$13,Paramètres!$A$1:$I$89,3,0)*VLOOKUP('Données projet'!$B$13,Paramètres!$A$1:$I$89,5,0)</f>
        <v>134.17559999999995</v>
      </c>
      <c r="CV60" s="14">
        <f t="shared" si="41"/>
        <v>34.959435402722733</v>
      </c>
      <c r="CW60" s="22">
        <f t="shared" si="13"/>
        <v>294.57685332640864</v>
      </c>
      <c r="CX60" s="62">
        <f t="shared" si="14"/>
        <v>554.10349337708635</v>
      </c>
      <c r="CY60" s="62">
        <f ca="1">AVERAGE(OFFSET($CX$3,0,0,'Données projet'!$E$13+1,1))-AVERAGE(OFFSET($H$3,0,0,'Données projet'!$E$13+1,1))</f>
        <v>250.11765444522138</v>
      </c>
      <c r="CZ60" s="62">
        <f t="shared" si="42"/>
        <v>241.42920565698913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4.6055353620239456</v>
      </c>
      <c r="DH60" s="23">
        <f>EXP(-LN(2)/2)*DH59+(1-EXP(-LN(2)/2))/(LN(2)/2)*DB60*DE60*VLOOKUP('Données projet'!$B$13,Paramètres!$A$1:$I$89,3,0)*0.475*44/12</f>
        <v>4.3289580665283895E-3</v>
      </c>
      <c r="DI60" s="24">
        <f t="shared" si="15"/>
        <v>4.6098643200904741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419.0448820879102</v>
      </c>
      <c r="T61" s="62">
        <f t="shared" si="34"/>
        <v>553.33038335026379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8.6558135816269761</v>
      </c>
      <c r="AA61" s="23">
        <f>EXP(-LN(2)/25)*AA60+(1-EXP(-LN(2)/25))/(LN(2)/25)*Calculateur!V61*Calculateur!X61*VLOOKUP('Données projet'!$B$9,Paramètres!$A$1:$I$89,3,0)*0.475*44/12</f>
        <v>10.80160813096882</v>
      </c>
      <c r="AB61" s="23">
        <f>EXP(-LN(2)/2)*AB60+(1-EXP(-LN(2)/2))/(LN(2)/2)*V61*Y61*VLOOKUP('Données projet'!$B$9,Paramètres!$A$1:$I$89,3,0)*0.475*44/12</f>
        <v>1.0940554811340781E-3</v>
      </c>
      <c r="AC61" s="24">
        <f t="shared" si="3"/>
        <v>19.458515768076929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6.8</v>
      </c>
      <c r="AI61" s="14">
        <f>IF('Données projet'!$A$62&gt;35,AI60+AH61-AQ60,IF(A61&lt;'Données projet'!$A$62,$AF$205^A61,IF(A61='Données projet'!$A$62,'Données projet'!$B$62,AI60+AH61-AQ60)))</f>
        <v>228.40000000000023</v>
      </c>
      <c r="AJ61" s="14">
        <f>AI61*VLOOKUP('Données projet'!$B$10,Paramètres!$A$1:$I$89,3,0)*VLOOKUP('Données projet'!$B$10,Paramètres!$A$1:$I$89,5,0)</f>
        <v>199.53024000000022</v>
      </c>
      <c r="AK61" s="14">
        <f t="shared" si="35"/>
        <v>49.640914570461312</v>
      </c>
      <c r="AL61" s="22">
        <f t="shared" si="4"/>
        <v>433.97309421022049</v>
      </c>
      <c r="AM61" s="62">
        <f t="shared" si="5"/>
        <v>694.08620480890886</v>
      </c>
      <c r="AN61" s="62">
        <f ca="1">AVERAGE(OFFSET($AM$3,0,0,'Données projet'!$E$10+1,1))-AVERAGE(OFFSET($H$3,0,0,'Données projet'!$E$10+1,1))</f>
        <v>341.62910675299065</v>
      </c>
      <c r="AO61" s="62">
        <f t="shared" si="36"/>
        <v>407.15938341104709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11.769914661587761</v>
      </c>
      <c r="AW61" s="23">
        <f>EXP(-LN(2)/2)*AW60+(1-EXP(-LN(2)/2))/(LN(2)/2)*AQ61*AT61*VLOOKUP('Données projet'!$B$10,Paramètres!$A$1:$I$89,3,0)*0.475*44/12</f>
        <v>1.1148991749666834E-3</v>
      </c>
      <c r="AX61" s="23">
        <f t="shared" si="6"/>
        <v>11.771029560762727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758.7224531863385</v>
      </c>
      <c r="BI61" s="62">
        <f ca="1">AVERAGE(OFFSET($BH$3,0,0,'Données projet'!$E$11+1,1))-AVERAGE(OFFSET($H$3,0,0,'Données projet'!$E$11+1,1))</f>
        <v>472.83070477639035</v>
      </c>
      <c r="BJ61" s="62">
        <f t="shared" si="38"/>
        <v>297.32483725004136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4.2008593652944057</v>
      </c>
      <c r="BR61" s="23">
        <f>EXP(-LN(2)/2)*BR60+(1-EXP(-LN(2)/2))/(LN(2)/2)*BL61*BO61*VLOOKUP('Données projet'!$B$11,Paramètres!$A$1:$I$89,3,0)*0.475*44/12</f>
        <v>9.1002042508286484E-4</v>
      </c>
      <c r="BS61" s="24">
        <f t="shared" si="9"/>
        <v>4.2017693857194889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-1.7053025658242404E-13</v>
      </c>
      <c r="BZ61" s="14">
        <f>BY61*VLOOKUP('Données projet'!$B$12,Paramètres!$A$1:$I$89,3,0)*VLOOKUP('Données projet'!$B$12,Paramètres!$A$1:$I$89,5,0)</f>
        <v>-9.3109520094003535E-14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262.64209686767367</v>
      </c>
      <c r="CE61" s="62">
        <f t="shared" si="40"/>
        <v>381.0342365342517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3.3391211679034742</v>
      </c>
      <c r="CL61" s="23">
        <f>EXP(-LN(2)/25)*CL60+(1-EXP(-LN(2)/25))/(LN(2)/25)*Calculateur!CG61*Calculateur!CI61*VLOOKUP('Données projet'!$B$12,Paramètres!$A$1:$I$89,3,0)*0.475*44/12</f>
        <v>5.9990796708436172</v>
      </c>
      <c r="CM61" s="23">
        <f>EXP(-LN(2)/2)*CM60+(1-EXP(-LN(2)/2))/(LN(2)/2)*CG61*CJ61*VLOOKUP('Données projet'!$B$12,Paramètres!$A$1:$I$89,3,0)*0.475*44/12</f>
        <v>7.5512783244772932E-4</v>
      </c>
      <c r="CN61" s="24">
        <f t="shared" si="12"/>
        <v>9.3389559665795403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</v>
      </c>
      <c r="CT61" s="13">
        <f>IF('Données projet'!$A$140&gt;35,CT60+CS61-DB60,IF(A61&lt;'Données projet'!$A$140,$CQ$205^A61,IF(A61='Données projet'!$A$140,'Données projet'!$B$140,CT60+CS61-DB60)))</f>
        <v>186.99999999999994</v>
      </c>
      <c r="CU61" s="18">
        <f>CT61*VLOOKUP('Données projet'!$B$13,Paramètres!$A$1:$I$89,3,0)*VLOOKUP('Données projet'!$B$13,Paramètres!$A$1:$I$89,5,0)</f>
        <v>137.10839999999996</v>
      </c>
      <c r="CV61" s="14">
        <f t="shared" si="41"/>
        <v>35.633778064637404</v>
      </c>
      <c r="CW61" s="22">
        <f t="shared" si="13"/>
        <v>300.85929346257672</v>
      </c>
      <c r="CX61" s="62">
        <f t="shared" si="14"/>
        <v>560.97240406126514</v>
      </c>
      <c r="CY61" s="62">
        <f ca="1">AVERAGE(OFFSET($CX$3,0,0,'Données projet'!$E$13+1,1))-AVERAGE(OFFSET($H$3,0,0,'Données projet'!$E$13+1,1))</f>
        <v>250.11765444522138</v>
      </c>
      <c r="CZ61" s="62">
        <f t="shared" si="42"/>
        <v>241.42920565698913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4.4795967553548222</v>
      </c>
      <c r="DH61" s="23">
        <f>EXP(-LN(2)/2)*DH60+(1-EXP(-LN(2)/2))/(LN(2)/2)*DB61*DE61*VLOOKUP('Données projet'!$B$13,Paramètres!$A$1:$I$89,3,0)*0.475*44/12</f>
        <v>3.0610356043144298E-3</v>
      </c>
      <c r="DI61" s="24">
        <f t="shared" si="15"/>
        <v>4.482657790959137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419.0448820879102</v>
      </c>
      <c r="T62" s="62">
        <f t="shared" si="34"/>
        <v>553.33038335026379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8.4860783568162468</v>
      </c>
      <c r="AA62" s="23">
        <f>EXP(-LN(2)/25)*AA61+(1-EXP(-LN(2)/25))/(LN(2)/25)*Calculateur!V62*Calculateur!X62*VLOOKUP('Données projet'!$B$9,Paramètres!$A$1:$I$89,3,0)*0.475*44/12</f>
        <v>10.506237588595592</v>
      </c>
      <c r="AB62" s="23">
        <f>EXP(-LN(2)/2)*AB61+(1-EXP(-LN(2)/2))/(LN(2)/2)*V62*Y62*VLOOKUP('Données projet'!$B$9,Paramètres!$A$1:$I$89,3,0)*0.475*44/12</f>
        <v>7.7361404970421757E-4</v>
      </c>
      <c r="AC62" s="24">
        <f t="shared" si="3"/>
        <v>18.993089559461545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6.8</v>
      </c>
      <c r="AI62" s="14">
        <f>IF('Données projet'!$A$62&gt;35,AI61+AH62-AQ61,IF(A62&lt;'Données projet'!$A$62,$AF$205^A62,IF(A62='Données projet'!$A$62,'Données projet'!$B$62,AI61+AH62-AQ61)))</f>
        <v>235.20000000000024</v>
      </c>
      <c r="AJ62" s="14">
        <f>AI62*VLOOKUP('Données projet'!$B$10,Paramètres!$A$1:$I$89,3,0)*VLOOKUP('Données projet'!$B$10,Paramètres!$A$1:$I$89,5,0)</f>
        <v>205.47072000000026</v>
      </c>
      <c r="AK62" s="14">
        <f t="shared" si="35"/>
        <v>50.944571570352757</v>
      </c>
      <c r="AL62" s="22">
        <f t="shared" si="4"/>
        <v>446.58996615169809</v>
      </c>
      <c r="AM62" s="62">
        <f t="shared" si="5"/>
        <v>707.27937334554088</v>
      </c>
      <c r="AN62" s="62">
        <f ca="1">AVERAGE(OFFSET($AM$3,0,0,'Données projet'!$E$10+1,1))-AVERAGE(OFFSET($H$3,0,0,'Données projet'!$E$10+1,1))</f>
        <v>341.62910675299065</v>
      </c>
      <c r="AO62" s="62">
        <f t="shared" si="36"/>
        <v>407.15938341104709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11.448065726213732</v>
      </c>
      <c r="AW62" s="23">
        <f>EXP(-LN(2)/2)*AW61+(1-EXP(-LN(2)/2))/(LN(2)/2)*AQ62*AT62*VLOOKUP('Données projet'!$B$10,Paramètres!$A$1:$I$89,3,0)*0.475*44/12</f>
        <v>7.88352766958229E-4</v>
      </c>
      <c r="AX62" s="23">
        <f t="shared" si="6"/>
        <v>11.448854078980691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777.30796841682741</v>
      </c>
      <c r="BI62" s="62">
        <f ca="1">AVERAGE(OFFSET($BH$3,0,0,'Données projet'!$E$11+1,1))-AVERAGE(OFFSET($H$3,0,0,'Données projet'!$E$11+1,1))</f>
        <v>472.83070477639035</v>
      </c>
      <c r="BJ62" s="62">
        <f t="shared" si="38"/>
        <v>297.32483725004136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4.0859866450368374</v>
      </c>
      <c r="BR62" s="23">
        <f>EXP(-LN(2)/2)*BR61+(1-EXP(-LN(2)/2))/(LN(2)/2)*BL62*BO62*VLOOKUP('Données projet'!$B$11,Paramètres!$A$1:$I$89,3,0)*0.475*44/12</f>
        <v>6.4348161359435827E-4</v>
      </c>
      <c r="BS62" s="24">
        <f t="shared" si="9"/>
        <v>4.0866301266504319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-1.7053025658242404E-13</v>
      </c>
      <c r="BZ62" s="14">
        <f>BY62*VLOOKUP('Données projet'!$B$12,Paramètres!$A$1:$I$89,3,0)*VLOOKUP('Données projet'!$B$12,Paramètres!$A$1:$I$89,5,0)</f>
        <v>-9.3109520094003535E-14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262.64209686767367</v>
      </c>
      <c r="CE62" s="62">
        <f t="shared" si="40"/>
        <v>381.0342365342517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3.2736430384636956</v>
      </c>
      <c r="CL62" s="23">
        <f>EXP(-LN(2)/25)*CL61+(1-EXP(-LN(2)/25))/(LN(2)/25)*Calculateur!CG62*Calculateur!CI62*VLOOKUP('Données projet'!$B$12,Paramètres!$A$1:$I$89,3,0)*0.475*44/12</f>
        <v>5.8350345217665094</v>
      </c>
      <c r="CM62" s="23">
        <f>EXP(-LN(2)/2)*CM61+(1-EXP(-LN(2)/2))/(LN(2)/2)*CG62*CJ62*VLOOKUP('Données projet'!$B$12,Paramètres!$A$1:$I$89,3,0)*0.475*44/12</f>
        <v>5.3395601098648845E-4</v>
      </c>
      <c r="CN62" s="24">
        <f t="shared" si="12"/>
        <v>9.1092115162411922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</v>
      </c>
      <c r="CT62" s="13">
        <f>IF('Données projet'!$A$140&gt;35,CT61+CS62-DB61,IF(A62&lt;'Données projet'!$A$140,$CQ$205^A62,IF(A62='Données projet'!$A$140,'Données projet'!$B$140,CT61+CS62-DB61)))</f>
        <v>190.99999999999994</v>
      </c>
      <c r="CU62" s="18">
        <f>CT62*VLOOKUP('Données projet'!$B$13,Paramètres!$A$1:$I$89,3,0)*VLOOKUP('Données projet'!$B$13,Paramètres!$A$1:$I$89,5,0)</f>
        <v>140.04119999999995</v>
      </c>
      <c r="CV62" s="14">
        <f t="shared" si="41"/>
        <v>36.306443674821772</v>
      </c>
      <c r="CW62" s="22">
        <f t="shared" si="13"/>
        <v>307.1388127336478</v>
      </c>
      <c r="CX62" s="62">
        <f t="shared" si="14"/>
        <v>567.82821992749064</v>
      </c>
      <c r="CY62" s="62">
        <f ca="1">AVERAGE(OFFSET($CX$3,0,0,'Données projet'!$E$13+1,1))-AVERAGE(OFFSET($H$3,0,0,'Données projet'!$E$13+1,1))</f>
        <v>250.11765444522138</v>
      </c>
      <c r="CZ62" s="62">
        <f t="shared" si="42"/>
        <v>241.42920565698913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4.3571019465078891</v>
      </c>
      <c r="DH62" s="23">
        <f>EXP(-LN(2)/2)*DH61+(1-EXP(-LN(2)/2))/(LN(2)/2)*DB62*DE62*VLOOKUP('Données projet'!$B$13,Paramètres!$A$1:$I$89,3,0)*0.475*44/12</f>
        <v>2.1644790332641948E-3</v>
      </c>
      <c r="DI62" s="24">
        <f t="shared" si="15"/>
        <v>4.3592664255411533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419.0448820879102</v>
      </c>
      <c r="T63" s="62">
        <f t="shared" si="34"/>
        <v>553.33038335026379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8.3196715362357914</v>
      </c>
      <c r="AA63" s="23">
        <f>EXP(-LN(2)/25)*AA62+(1-EXP(-LN(2)/25))/(LN(2)/25)*Calculateur!V63*Calculateur!X63*VLOOKUP('Données projet'!$B$9,Paramètres!$A$1:$I$89,3,0)*0.475*44/12</f>
        <v>10.218943969236424</v>
      </c>
      <c r="AB63" s="23">
        <f>EXP(-LN(2)/2)*AB62+(1-EXP(-LN(2)/2))/(LN(2)/2)*V63*Y63*VLOOKUP('Données projet'!$B$9,Paramètres!$A$1:$I$89,3,0)*0.475*44/12</f>
        <v>5.4702774056703907E-4</v>
      </c>
      <c r="AC63" s="24">
        <f t="shared" si="3"/>
        <v>18.539162533212782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242</v>
      </c>
      <c r="AG63" s="13">
        <f>VLOOKUP(A63,'Données projet'!$A$61:$I$81,9,0)</f>
        <v>6.8</v>
      </c>
      <c r="AH63" s="13">
        <f t="array" ref="AH63">INDEX(AG:AG,MIN(IF(ISNUMBER(AG63:AG259),ROW(AG63:AG259),"")))</f>
        <v>6.8</v>
      </c>
      <c r="AI63" s="14">
        <f>IF('Données projet'!$A$62&gt;35,AI62+AH63-AQ62,IF(A63&lt;'Données projet'!$A$62,$AF$205^A63,IF(A63='Données projet'!$A$62,'Données projet'!$B$62,AI62+AH63-AQ62)))</f>
        <v>242.00000000000026</v>
      </c>
      <c r="AJ63" s="14">
        <f>AI63*VLOOKUP('Données projet'!$B$10,Paramètres!$A$1:$I$89,3,0)*VLOOKUP('Données projet'!$B$10,Paramètres!$A$1:$I$89,5,0)</f>
        <v>211.41120000000024</v>
      </c>
      <c r="AK63" s="14">
        <f t="shared" si="35"/>
        <v>52.243848094411206</v>
      </c>
      <c r="AL63" s="22">
        <f t="shared" si="4"/>
        <v>459.19920876443319</v>
      </c>
      <c r="AM63" s="62">
        <f t="shared" si="5"/>
        <v>720.45491509591068</v>
      </c>
      <c r="AN63" s="62">
        <f ca="1">AVERAGE(OFFSET($AM$3,0,0,'Données projet'!$E$10+1,1))-AVERAGE(OFFSET($H$3,0,0,'Données projet'!$E$10+1,1))</f>
        <v>341.62910675299065</v>
      </c>
      <c r="AO63" s="62">
        <f t="shared" si="36"/>
        <v>407.15938341104709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26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11.135017766902806</v>
      </c>
      <c r="AW63" s="23">
        <f>EXP(-LN(2)/2)*AW62+(1-EXP(-LN(2)/2))/(LN(2)/2)*AQ63*AT63*VLOOKUP('Données projet'!$B$10,Paramètres!$A$1:$I$89,3,0)*0.475*44/12</f>
        <v>5.5744958748334171E-4</v>
      </c>
      <c r="AX63" s="23">
        <f t="shared" si="6"/>
        <v>11.135575216490288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795.87024409467267</v>
      </c>
      <c r="BI63" s="62">
        <f ca="1">AVERAGE(OFFSET($BH$3,0,0,'Données projet'!$E$11+1,1))-AVERAGE(OFFSET($H$3,0,0,'Données projet'!$E$11+1,1))</f>
        <v>472.83070477639035</v>
      </c>
      <c r="BJ63" s="62">
        <f t="shared" si="38"/>
        <v>297.32483725004136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3.9742551253556062</v>
      </c>
      <c r="BR63" s="23">
        <f>EXP(-LN(2)/2)*BR62+(1-EXP(-LN(2)/2))/(LN(2)/2)*BL63*BO63*VLOOKUP('Données projet'!$B$11,Paramètres!$A$1:$I$89,3,0)*0.475*44/12</f>
        <v>4.5501021254143242E-4</v>
      </c>
      <c r="BS63" s="24">
        <f t="shared" si="9"/>
        <v>3.9747101355681478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-1.7053025658242404E-13</v>
      </c>
      <c r="BZ63" s="14">
        <f>BY63*VLOOKUP('Données projet'!$B$12,Paramètres!$A$1:$I$89,3,0)*VLOOKUP('Données projet'!$B$12,Paramètres!$A$1:$I$89,5,0)</f>
        <v>-9.3109520094003535E-14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262.64209686767367</v>
      </c>
      <c r="CE63" s="62">
        <f t="shared" si="40"/>
        <v>381.0342365342517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3.2094488952045159</v>
      </c>
      <c r="CL63" s="23">
        <f>EXP(-LN(2)/25)*CL62+(1-EXP(-LN(2)/25))/(LN(2)/25)*Calculateur!CG63*Calculateur!CI63*VLOOKUP('Données projet'!$B$12,Paramètres!$A$1:$I$89,3,0)*0.475*44/12</f>
        <v>5.6754751959176746</v>
      </c>
      <c r="CM63" s="23">
        <f>EXP(-LN(2)/2)*CM62+(1-EXP(-LN(2)/2))/(LN(2)/2)*CG63*CJ63*VLOOKUP('Données projet'!$B$12,Paramètres!$A$1:$I$89,3,0)*0.475*44/12</f>
        <v>3.7756391622386466E-4</v>
      </c>
      <c r="CN63" s="24">
        <f t="shared" si="12"/>
        <v>8.8853016550384147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195</v>
      </c>
      <c r="CR63" s="13">
        <f>VLOOKUP(A63,'Données projet'!$A$139:$I$159,9,0)</f>
        <v>4</v>
      </c>
      <c r="CS63" s="13">
        <f t="array" ref="CS63">INDEX(CR:CR,MIN(IF(ISNUMBER(CR63:CR259),ROW(CR63:CR259),"")))</f>
        <v>4</v>
      </c>
      <c r="CT63" s="13">
        <f>IF('Données projet'!$A$140&gt;35,CT62+CS63-DB62,IF(A63&lt;'Données projet'!$A$140,$CQ$205^A63,IF(A63='Données projet'!$A$140,'Données projet'!$B$140,CT62+CS63-DB62)))</f>
        <v>194.99999999999994</v>
      </c>
      <c r="CU63" s="18">
        <f>CT63*VLOOKUP('Données projet'!$B$13,Paramètres!$A$1:$I$89,3,0)*VLOOKUP('Données projet'!$B$13,Paramètres!$A$1:$I$89,5,0)</f>
        <v>142.97399999999996</v>
      </c>
      <c r="CV63" s="14">
        <f t="shared" si="41"/>
        <v>36.977471400949995</v>
      </c>
      <c r="CW63" s="22">
        <f t="shared" si="13"/>
        <v>313.41547935665454</v>
      </c>
      <c r="CX63" s="62">
        <f t="shared" si="14"/>
        <v>574.67118568813203</v>
      </c>
      <c r="CY63" s="62">
        <f ca="1">AVERAGE(OFFSET($CX$3,0,0,'Données projet'!$E$13+1,1))-AVERAGE(OFFSET($H$3,0,0,'Données projet'!$E$13+1,1))</f>
        <v>250.11765444522138</v>
      </c>
      <c r="CZ63" s="62">
        <f t="shared" si="42"/>
        <v>241.42920565698913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9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4.2379567646505976</v>
      </c>
      <c r="DH63" s="23">
        <f>EXP(-LN(2)/2)*DH62+(1-EXP(-LN(2)/2))/(LN(2)/2)*DB63*DE63*VLOOKUP('Données projet'!$B$13,Paramètres!$A$1:$I$89,3,0)*0.475*44/12</f>
        <v>1.5305178021572149E-3</v>
      </c>
      <c r="DI63" s="24">
        <f t="shared" si="15"/>
        <v>4.239487282452755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419.0448820879102</v>
      </c>
      <c r="T64" s="62">
        <f t="shared" si="34"/>
        <v>553.33038335026379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8.1565278519087787</v>
      </c>
      <c r="AA64" s="23">
        <f>EXP(-LN(2)/25)*AA63+(1-EXP(-LN(2)/25))/(LN(2)/25)*Calculateur!V64*Calculateur!X64*VLOOKUP('Données projet'!$B$9,Paramètres!$A$1:$I$89,3,0)*0.475*44/12</f>
        <v>9.9395064090067464</v>
      </c>
      <c r="AB64" s="23">
        <f>EXP(-LN(2)/2)*AB63+(1-EXP(-LN(2)/2))/(LN(2)/2)*V64*Y64*VLOOKUP('Données projet'!$B$9,Paramètres!$A$1:$I$89,3,0)*0.475*44/12</f>
        <v>3.8680702485210879E-4</v>
      </c>
      <c r="AC64" s="24">
        <f t="shared" si="3"/>
        <v>18.096421067940376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</v>
      </c>
      <c r="AI64" s="14">
        <f>IF('Données projet'!$A$62&gt;35,AI63+AH64-AQ63,IF(A64&lt;'Données projet'!$A$62,$AF$205^A64,IF(A64='Données projet'!$A$62,'Données projet'!$B$62,AI63+AH64-AQ63)))</f>
        <v>222.00000000000026</v>
      </c>
      <c r="AJ64" s="14">
        <f>AI64*VLOOKUP('Données projet'!$B$10,Paramètres!$A$1:$I$89,3,0)*VLOOKUP('Données projet'!$B$10,Paramètres!$A$1:$I$89,5,0)</f>
        <v>193.93920000000023</v>
      </c>
      <c r="AK64" s="14">
        <f t="shared" si="35"/>
        <v>48.409811198069427</v>
      </c>
      <c r="AL64" s="22">
        <f t="shared" si="4"/>
        <v>422.09119450330468</v>
      </c>
      <c r="AM64" s="62">
        <f t="shared" si="5"/>
        <v>683.90337594843402</v>
      </c>
      <c r="AN64" s="62">
        <f ca="1">AVERAGE(OFFSET($AM$3,0,0,'Données projet'!$E$10+1,1))-AVERAGE(OFFSET($H$3,0,0,'Données projet'!$E$10+1,1))</f>
        <v>341.62910675299065</v>
      </c>
      <c r="AO64" s="62">
        <f t="shared" si="36"/>
        <v>407.15938341104709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10.830530120501713</v>
      </c>
      <c r="AW64" s="23">
        <f>EXP(-LN(2)/2)*AW63+(1-EXP(-LN(2)/2))/(LN(2)/2)*AQ64*AT64*VLOOKUP('Données projet'!$B$10,Paramètres!$A$1:$I$89,3,0)*0.475*44/12</f>
        <v>3.941763834791145E-4</v>
      </c>
      <c r="AX64" s="23">
        <f t="shared" si="6"/>
        <v>10.830924296885192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759.65487244415465</v>
      </c>
      <c r="BI64" s="62">
        <f ca="1">AVERAGE(OFFSET($BH$3,0,0,'Données projet'!$E$11+1,1))-AVERAGE(OFFSET($H$3,0,0,'Données projet'!$E$11+1,1))</f>
        <v>472.83070477639035</v>
      </c>
      <c r="BJ64" s="62">
        <f t="shared" si="38"/>
        <v>297.32483725004136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3.8655789099557634</v>
      </c>
      <c r="BR64" s="23">
        <f>EXP(-LN(2)/2)*BR63+(1-EXP(-LN(2)/2))/(LN(2)/2)*BL64*BO64*VLOOKUP('Données projet'!$B$11,Paramètres!$A$1:$I$89,3,0)*0.475*44/12</f>
        <v>3.2174080679717913E-4</v>
      </c>
      <c r="BS64" s="24">
        <f t="shared" si="9"/>
        <v>3.8659006507625606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-1.7053025658242404E-13</v>
      </c>
      <c r="BZ64" s="14">
        <f>BY64*VLOOKUP('Données projet'!$B$12,Paramètres!$A$1:$I$89,3,0)*VLOOKUP('Données projet'!$B$12,Paramètres!$A$1:$I$89,5,0)</f>
        <v>-9.3109520094003535E-14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262.64209686767367</v>
      </c>
      <c r="CE64" s="62">
        <f t="shared" si="40"/>
        <v>381.0342365342517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3.1465135599400873</v>
      </c>
      <c r="CL64" s="23">
        <f>EXP(-LN(2)/25)*CL63+(1-EXP(-LN(2)/25))/(LN(2)/25)*Calculateur!CG64*Calculateur!CI64*VLOOKUP('Données projet'!$B$12,Paramètres!$A$1:$I$89,3,0)*0.475*44/12</f>
        <v>5.5202790282250369</v>
      </c>
      <c r="CM64" s="23">
        <f>EXP(-LN(2)/2)*CM63+(1-EXP(-LN(2)/2))/(LN(2)/2)*CG64*CJ64*VLOOKUP('Données projet'!$B$12,Paramètres!$A$1:$I$89,3,0)*0.475*44/12</f>
        <v>2.6697800549324422E-4</v>
      </c>
      <c r="CN64" s="24">
        <f t="shared" si="12"/>
        <v>8.667059566170618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3.4</v>
      </c>
      <c r="CT64" s="13">
        <f>IF('Données projet'!$A$140&gt;35,CT63+CS64-DB63,IF(A64&lt;'Données projet'!$A$140,$CQ$205^A64,IF(A64='Données projet'!$A$140,'Données projet'!$B$140,CT63+CS64-DB63)))</f>
        <v>189.39999999999995</v>
      </c>
      <c r="CU64" s="18">
        <f>CT64*VLOOKUP('Données projet'!$B$13,Paramètres!$A$1:$I$89,3,0)*VLOOKUP('Données projet'!$B$13,Paramètres!$A$1:$I$89,5,0)</f>
        <v>138.86807999999996</v>
      </c>
      <c r="CV64" s="14">
        <f t="shared" si="41"/>
        <v>36.037576130973861</v>
      </c>
      <c r="CW64" s="22">
        <f t="shared" si="13"/>
        <v>304.62735109477939</v>
      </c>
      <c r="CX64" s="62">
        <f t="shared" si="14"/>
        <v>566.43953253990867</v>
      </c>
      <c r="CY64" s="62">
        <f ca="1">AVERAGE(OFFSET($CX$3,0,0,'Données projet'!$E$13+1,1))-AVERAGE(OFFSET($H$3,0,0,'Données projet'!$E$13+1,1))</f>
        <v>250.11765444522138</v>
      </c>
      <c r="CZ64" s="62">
        <f t="shared" si="42"/>
        <v>241.42920565698913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4.122069614056767</v>
      </c>
      <c r="DH64" s="23">
        <f>EXP(-LN(2)/2)*DH63+(1-EXP(-LN(2)/2))/(LN(2)/2)*DB64*DE64*VLOOKUP('Données projet'!$B$13,Paramètres!$A$1:$I$89,3,0)*0.475*44/12</f>
        <v>1.0822395166320974E-3</v>
      </c>
      <c r="DI64" s="24">
        <f t="shared" si="15"/>
        <v>4.1231518535733986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419.0448820879102</v>
      </c>
      <c r="T65" s="62">
        <f t="shared" si="34"/>
        <v>553.33038335026379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7.9965833157235977</v>
      </c>
      <c r="AA65" s="23">
        <f>EXP(-LN(2)/25)*AA64+(1-EXP(-LN(2)/25))/(LN(2)/25)*Calculateur!V65*Calculateur!X65*VLOOKUP('Données projet'!$B$9,Paramètres!$A$1:$I$89,3,0)*0.475*44/12</f>
        <v>9.6677100835565319</v>
      </c>
      <c r="AB65" s="23">
        <f>EXP(-LN(2)/2)*AB64+(1-EXP(-LN(2)/2))/(LN(2)/2)*V65*Y65*VLOOKUP('Données projet'!$B$9,Paramètres!$A$1:$I$89,3,0)*0.475*44/12</f>
        <v>2.7351387028351953E-4</v>
      </c>
      <c r="AC65" s="24">
        <f t="shared" si="3"/>
        <v>17.664566913150413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</v>
      </c>
      <c r="AI65" s="14">
        <f>IF('Données projet'!$A$62&gt;35,AI64+AH65-AQ64,IF(A65&lt;'Données projet'!$A$62,$AF$205^A65,IF(A65='Données projet'!$A$62,'Données projet'!$B$62,AI64+AH65-AQ64)))</f>
        <v>228.00000000000026</v>
      </c>
      <c r="AJ65" s="14">
        <f>AI65*VLOOKUP('Données projet'!$B$10,Paramètres!$A$1:$I$89,3,0)*VLOOKUP('Données projet'!$B$10,Paramètres!$A$1:$I$89,5,0)</f>
        <v>199.18080000000023</v>
      </c>
      <c r="AK65" s="14">
        <f t="shared" si="35"/>
        <v>49.564089376413726</v>
      </c>
      <c r="AL65" s="22">
        <f t="shared" si="4"/>
        <v>433.23068233058763</v>
      </c>
      <c r="AM65" s="62">
        <f t="shared" si="5"/>
        <v>695.589685290239</v>
      </c>
      <c r="AN65" s="62">
        <f ca="1">AVERAGE(OFFSET($AM$3,0,0,'Données projet'!$E$10+1,1))-AVERAGE(OFFSET($H$3,0,0,'Données projet'!$E$10+1,1))</f>
        <v>341.62910675299065</v>
      </c>
      <c r="AO65" s="62">
        <f t="shared" si="36"/>
        <v>407.15938341104709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10.534368704803768</v>
      </c>
      <c r="AW65" s="23">
        <f>EXP(-LN(2)/2)*AW64+(1-EXP(-LN(2)/2))/(LN(2)/2)*AQ65*AT65*VLOOKUP('Données projet'!$B$10,Paramètres!$A$1:$I$89,3,0)*0.475*44/12</f>
        <v>2.7872479374167086E-4</v>
      </c>
      <c r="AX65" s="23">
        <f t="shared" si="6"/>
        <v>10.534647429597509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777.06232855539611</v>
      </c>
      <c r="BI65" s="62">
        <f ca="1">AVERAGE(OFFSET($BH$3,0,0,'Données projet'!$E$11+1,1))-AVERAGE(OFFSET($H$3,0,0,'Données projet'!$E$11+1,1))</f>
        <v>472.83070477639035</v>
      </c>
      <c r="BJ65" s="62">
        <f t="shared" si="38"/>
        <v>297.32483725004136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3.7598744513810631</v>
      </c>
      <c r="BR65" s="23">
        <f>EXP(-LN(2)/2)*BR64+(1-EXP(-LN(2)/2))/(LN(2)/2)*BL65*BO65*VLOOKUP('Données projet'!$B$11,Paramètres!$A$1:$I$89,3,0)*0.475*44/12</f>
        <v>2.2750510627071621E-4</v>
      </c>
      <c r="BS65" s="24">
        <f t="shared" si="9"/>
        <v>3.7601019564873339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-1.7053025658242404E-13</v>
      </c>
      <c r="BZ65" s="14">
        <f>BY65*VLOOKUP('Données projet'!$B$12,Paramètres!$A$1:$I$89,3,0)*VLOOKUP('Données projet'!$B$12,Paramètres!$A$1:$I$89,5,0)</f>
        <v>-9.3109520094003535E-14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262.64209686767367</v>
      </c>
      <c r="CE65" s="62">
        <f t="shared" si="40"/>
        <v>381.0342365342517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3.08481234821343</v>
      </c>
      <c r="CL65" s="23">
        <f>EXP(-LN(2)/25)*CL64+(1-EXP(-LN(2)/25))/(LN(2)/25)*Calculateur!CG65*Calculateur!CI65*VLOOKUP('Données projet'!$B$12,Paramètres!$A$1:$I$89,3,0)*0.475*44/12</f>
        <v>5.3693267078993658</v>
      </c>
      <c r="CM65" s="23">
        <f>EXP(-LN(2)/2)*CM64+(1-EXP(-LN(2)/2))/(LN(2)/2)*CG65*CJ65*VLOOKUP('Données projet'!$B$12,Paramètres!$A$1:$I$89,3,0)*0.475*44/12</f>
        <v>1.8878195811193233E-4</v>
      </c>
      <c r="CN65" s="24">
        <f t="shared" si="12"/>
        <v>8.4543278380709079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3.4</v>
      </c>
      <c r="CT65" s="13">
        <f>IF('Données projet'!$A$140&gt;35,CT64+CS65-DB64,IF(A65&lt;'Données projet'!$A$140,$CQ$205^A65,IF(A65='Données projet'!$A$140,'Données projet'!$B$140,CT64+CS65-DB64)))</f>
        <v>192.79999999999995</v>
      </c>
      <c r="CU65" s="18">
        <f>CT65*VLOOKUP('Données projet'!$B$13,Paramètres!$A$1:$I$89,3,0)*VLOOKUP('Données projet'!$B$13,Paramètres!$A$1:$I$89,5,0)</f>
        <v>141.36095999999995</v>
      </c>
      <c r="CV65" s="14">
        <f t="shared" si="41"/>
        <v>36.608606560499297</v>
      </c>
      <c r="CW65" s="22">
        <f t="shared" si="13"/>
        <v>309.96366175953614</v>
      </c>
      <c r="CX65" s="62">
        <f t="shared" si="14"/>
        <v>572.32266471918751</v>
      </c>
      <c r="CY65" s="62">
        <f ca="1">AVERAGE(OFFSET($CX$3,0,0,'Données projet'!$E$13+1,1))-AVERAGE(OFFSET($H$3,0,0,'Données projet'!$E$13+1,1))</f>
        <v>250.11765444522138</v>
      </c>
      <c r="CZ65" s="62">
        <f t="shared" si="42"/>
        <v>241.42920565698913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4.0093514036901645</v>
      </c>
      <c r="DH65" s="23">
        <f>EXP(-LN(2)/2)*DH64+(1-EXP(-LN(2)/2))/(LN(2)/2)*DB65*DE65*VLOOKUP('Données projet'!$B$13,Paramètres!$A$1:$I$89,3,0)*0.475*44/12</f>
        <v>7.6525890107860745E-4</v>
      </c>
      <c r="DI65" s="24">
        <f t="shared" si="15"/>
        <v>4.0101166625912432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419.0448820879102</v>
      </c>
      <c r="T66" s="62">
        <f t="shared" si="34"/>
        <v>553.33038335026379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7.8397751943364735</v>
      </c>
      <c r="AA66" s="23">
        <f>EXP(-LN(2)/25)*AA65+(1-EXP(-LN(2)/25))/(LN(2)/25)*Calculateur!V66*Calculateur!X66*VLOOKUP('Données projet'!$B$9,Paramètres!$A$1:$I$89,3,0)*0.475*44/12</f>
        <v>9.4033460429189013</v>
      </c>
      <c r="AB66" s="23">
        <f>EXP(-LN(2)/2)*AB65+(1-EXP(-LN(2)/2))/(LN(2)/2)*V66*Y66*VLOOKUP('Données projet'!$B$9,Paramètres!$A$1:$I$89,3,0)*0.475*44/12</f>
        <v>1.9340351242605439E-4</v>
      </c>
      <c r="AC66" s="24">
        <f t="shared" si="3"/>
        <v>17.2433146407678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</v>
      </c>
      <c r="AI66" s="14">
        <f>IF('Données projet'!$A$62&gt;35,AI65+AH66-AQ65,IF(A66&lt;'Données projet'!$A$62,$AF$205^A66,IF(A66='Données projet'!$A$62,'Données projet'!$B$62,AI65+AH66-AQ65)))</f>
        <v>234.00000000000026</v>
      </c>
      <c r="AJ66" s="14">
        <f>AI66*VLOOKUP('Données projet'!$B$10,Paramètres!$A$1:$I$89,3,0)*VLOOKUP('Données projet'!$B$10,Paramètres!$A$1:$I$89,5,0)</f>
        <v>204.42240000000027</v>
      </c>
      <c r="AK66" s="14">
        <f t="shared" si="35"/>
        <v>50.714836797527354</v>
      </c>
      <c r="AL66" s="22">
        <f t="shared" si="4"/>
        <v>444.36402075569396</v>
      </c>
      <c r="AM66" s="62">
        <f t="shared" si="5"/>
        <v>707.26035909910001</v>
      </c>
      <c r="AN66" s="62">
        <f ca="1">AVERAGE(OFFSET($AM$3,0,0,'Données projet'!$E$10+1,1))-AVERAGE(OFFSET($H$3,0,0,'Données projet'!$E$10+1,1))</f>
        <v>341.62910675299065</v>
      </c>
      <c r="AO66" s="62">
        <f t="shared" si="36"/>
        <v>407.15938341104709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10.246305838592535</v>
      </c>
      <c r="AW66" s="23">
        <f>EXP(-LN(2)/2)*AW65+(1-EXP(-LN(2)/2))/(LN(2)/2)*AQ66*AT66*VLOOKUP('Données projet'!$B$10,Paramètres!$A$1:$I$89,3,0)*0.475*44/12</f>
        <v>1.9708819173955725E-4</v>
      </c>
      <c r="AX66" s="23">
        <f t="shared" si="6"/>
        <v>10.246502926784276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794.44864396082176</v>
      </c>
      <c r="BI66" s="62">
        <f ca="1">AVERAGE(OFFSET($BH$3,0,0,'Données projet'!$E$11+1,1))-AVERAGE(OFFSET($H$3,0,0,'Données projet'!$E$11+1,1))</f>
        <v>472.83070477639035</v>
      </c>
      <c r="BJ66" s="62">
        <f t="shared" si="38"/>
        <v>297.32483725004136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3.657060486784844</v>
      </c>
      <c r="BR66" s="23">
        <f>EXP(-LN(2)/2)*BR65+(1-EXP(-LN(2)/2))/(LN(2)/2)*BL66*BO66*VLOOKUP('Données projet'!$B$11,Paramètres!$A$1:$I$89,3,0)*0.475*44/12</f>
        <v>1.6087040339858957E-4</v>
      </c>
      <c r="BS66" s="24">
        <f t="shared" si="9"/>
        <v>3.6572213571882424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-1.7053025658242404E-13</v>
      </c>
      <c r="BZ66" s="14">
        <f>BY66*VLOOKUP('Données projet'!$B$12,Paramètres!$A$1:$I$89,3,0)*VLOOKUP('Données projet'!$B$12,Paramètres!$A$1:$I$89,5,0)</f>
        <v>-9.3109520094003535E-14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262.64209686767367</v>
      </c>
      <c r="CE66" s="62">
        <f t="shared" si="40"/>
        <v>381.0342365342517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3.0243210596147092</v>
      </c>
      <c r="CL66" s="23">
        <f>EXP(-LN(2)/25)*CL65+(1-EXP(-LN(2)/25))/(LN(2)/25)*Calculateur!CG66*Calculateur!CI66*VLOOKUP('Données projet'!$B$12,Paramètres!$A$1:$I$89,3,0)*0.475*44/12</f>
        <v>5.222502186711238</v>
      </c>
      <c r="CM66" s="23">
        <f>EXP(-LN(2)/2)*CM65+(1-EXP(-LN(2)/2))/(LN(2)/2)*CG66*CJ66*VLOOKUP('Données projet'!$B$12,Paramètres!$A$1:$I$89,3,0)*0.475*44/12</f>
        <v>1.3348900274662211E-4</v>
      </c>
      <c r="CN66" s="24">
        <f t="shared" si="12"/>
        <v>8.246956735328693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3.4</v>
      </c>
      <c r="CT66" s="13">
        <f>IF('Données projet'!$A$140&gt;35,CT65+CS66-DB65,IF(A66&lt;'Données projet'!$A$140,$CQ$205^A66,IF(A66='Données projet'!$A$140,'Données projet'!$B$140,CT65+CS66-DB65)))</f>
        <v>196.19999999999996</v>
      </c>
      <c r="CU66" s="18">
        <f>CT66*VLOOKUP('Données projet'!$B$13,Paramètres!$A$1:$I$89,3,0)*VLOOKUP('Données projet'!$B$13,Paramètres!$A$1:$I$89,5,0)</f>
        <v>143.85383999999996</v>
      </c>
      <c r="CV66" s="14">
        <f t="shared" si="41"/>
        <v>37.178465975568315</v>
      </c>
      <c r="CW66" s="22">
        <f t="shared" si="13"/>
        <v>315.29793290744811</v>
      </c>
      <c r="CX66" s="62">
        <f t="shared" si="14"/>
        <v>578.19427125085417</v>
      </c>
      <c r="CY66" s="62">
        <f ca="1">AVERAGE(OFFSET($CX$3,0,0,'Données projet'!$E$13+1,1))-AVERAGE(OFFSET($H$3,0,0,'Données projet'!$E$13+1,1))</f>
        <v>250.11765444522138</v>
      </c>
      <c r="CZ66" s="62">
        <f t="shared" si="42"/>
        <v>241.42920565698913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3.8997154787136301</v>
      </c>
      <c r="DH66" s="23">
        <f>EXP(-LN(2)/2)*DH65+(1-EXP(-LN(2)/2))/(LN(2)/2)*DB66*DE66*VLOOKUP('Données projet'!$B$13,Paramètres!$A$1:$I$89,3,0)*0.475*44/12</f>
        <v>5.4111975831604869E-4</v>
      </c>
      <c r="DI66" s="24">
        <f t="shared" si="15"/>
        <v>3.9002565984719459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419.0448820879102</v>
      </c>
      <c r="T67" s="62">
        <f t="shared" si="34"/>
        <v>553.33038335026379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7.6860419845662413</v>
      </c>
      <c r="AA67" s="23">
        <f>EXP(-LN(2)/25)*AA66+(1-EXP(-LN(2)/25))/(LN(2)/25)*Calculateur!V67*Calculateur!X67*VLOOKUP('Données projet'!$B$9,Paramètres!$A$1:$I$89,3,0)*0.475*44/12</f>
        <v>9.1462110508748076</v>
      </c>
      <c r="AB67" s="23">
        <f>EXP(-LN(2)/2)*AB66+(1-EXP(-LN(2)/2))/(LN(2)/2)*V67*Y67*VLOOKUP('Données projet'!$B$9,Paramètres!$A$1:$I$89,3,0)*0.475*44/12</f>
        <v>1.3675693514175977E-4</v>
      </c>
      <c r="AC67" s="24">
        <f t="shared" si="3"/>
        <v>16.83238979237619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</v>
      </c>
      <c r="AI67" s="14">
        <f>IF('Données projet'!$A$62&gt;35,AI66+AH67-AQ66,IF(A67&lt;'Données projet'!$A$62,$AF$205^A67,IF(A67='Données projet'!$A$62,'Données projet'!$B$62,AI66+AH67-AQ66)))</f>
        <v>240.00000000000026</v>
      </c>
      <c r="AJ67" s="14">
        <f>AI67*VLOOKUP('Données projet'!$B$10,Paramètres!$A$1:$I$89,3,0)*VLOOKUP('Données projet'!$B$10,Paramètres!$A$1:$I$89,5,0)</f>
        <v>209.66400000000024</v>
      </c>
      <c r="AK67" s="14">
        <f t="shared" si="35"/>
        <v>51.862154403304579</v>
      </c>
      <c r="AL67" s="22">
        <f t="shared" si="4"/>
        <v>455.49138558575584</v>
      </c>
      <c r="AM67" s="62">
        <f t="shared" si="5"/>
        <v>718.91573774531059</v>
      </c>
      <c r="AN67" s="62">
        <f ca="1">AVERAGE(OFFSET($AM$3,0,0,'Données projet'!$E$10+1,1))-AVERAGE(OFFSET($H$3,0,0,'Données projet'!$E$10+1,1))</f>
        <v>341.62910675299065</v>
      </c>
      <c r="AO67" s="62">
        <f t="shared" si="36"/>
        <v>407.15938341104709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9.9661200666064165</v>
      </c>
      <c r="AW67" s="23">
        <f>EXP(-LN(2)/2)*AW66+(1-EXP(-LN(2)/2))/(LN(2)/2)*AQ67*AT67*VLOOKUP('Données projet'!$B$10,Paramètres!$A$1:$I$89,3,0)*0.475*44/12</f>
        <v>1.3936239687083543E-4</v>
      </c>
      <c r="AX67" s="23">
        <f t="shared" si="6"/>
        <v>9.9662594290032871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811.81440445847329</v>
      </c>
      <c r="BI67" s="62">
        <f ca="1">AVERAGE(OFFSET($BH$3,0,0,'Données projet'!$E$11+1,1))-AVERAGE(OFFSET($H$3,0,0,'Données projet'!$E$11+1,1))</f>
        <v>472.83070477639035</v>
      </c>
      <c r="BJ67" s="62">
        <f t="shared" si="38"/>
        <v>297.32483725004136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3.5570579754572598</v>
      </c>
      <c r="BR67" s="23">
        <f>EXP(-LN(2)/2)*BR66+(1-EXP(-LN(2)/2))/(LN(2)/2)*BL67*BO67*VLOOKUP('Données projet'!$B$11,Paramètres!$A$1:$I$89,3,0)*0.475*44/12</f>
        <v>1.1375255313535811E-4</v>
      </c>
      <c r="BS67" s="24">
        <f t="shared" si="9"/>
        <v>3.5571717280103949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-1.7053025658242404E-13</v>
      </c>
      <c r="BZ67" s="14">
        <f>BY67*VLOOKUP('Données projet'!$B$12,Paramètres!$A$1:$I$89,3,0)*VLOOKUP('Données projet'!$B$12,Paramètres!$A$1:$I$89,5,0)</f>
        <v>-9.3109520094003535E-14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262.64209686767367</v>
      </c>
      <c r="CE67" s="62">
        <f t="shared" si="40"/>
        <v>381.0342365342517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2.9650159682893666</v>
      </c>
      <c r="CL67" s="23">
        <f>EXP(-LN(2)/25)*CL66+(1-EXP(-LN(2)/25))/(LN(2)/25)*Calculateur!CG67*Calculateur!CI67*VLOOKUP('Données projet'!$B$12,Paramètres!$A$1:$I$89,3,0)*0.475*44/12</f>
        <v>5.0796925897761653</v>
      </c>
      <c r="CM67" s="23">
        <f>EXP(-LN(2)/2)*CM66+(1-EXP(-LN(2)/2))/(LN(2)/2)*CG67*CJ67*VLOOKUP('Données projet'!$B$12,Paramètres!$A$1:$I$89,3,0)*0.475*44/12</f>
        <v>9.4390979055966164E-5</v>
      </c>
      <c r="CN67" s="24">
        <f t="shared" si="12"/>
        <v>8.0448029490445876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3.4</v>
      </c>
      <c r="CT67" s="13">
        <f>IF('Données projet'!$A$140&gt;35,CT66+CS67-DB66,IF(A67&lt;'Données projet'!$A$140,$CQ$205^A67,IF(A67='Données projet'!$A$140,'Données projet'!$B$140,CT66+CS67-DB66)))</f>
        <v>199.59999999999997</v>
      </c>
      <c r="CU67" s="18">
        <f>CT67*VLOOKUP('Données projet'!$B$13,Paramètres!$A$1:$I$89,3,0)*VLOOKUP('Données projet'!$B$13,Paramètres!$A$1:$I$89,5,0)</f>
        <v>146.34671999999998</v>
      </c>
      <c r="CV67" s="14">
        <f t="shared" si="41"/>
        <v>37.747177010522961</v>
      </c>
      <c r="CW67" s="22">
        <f t="shared" si="13"/>
        <v>320.63020395999411</v>
      </c>
      <c r="CX67" s="62">
        <f t="shared" si="14"/>
        <v>584.05455611954881</v>
      </c>
      <c r="CY67" s="62">
        <f ca="1">AVERAGE(OFFSET($CX$3,0,0,'Données projet'!$E$13+1,1))-AVERAGE(OFFSET($H$3,0,0,'Données projet'!$E$13+1,1))</f>
        <v>250.11765444522138</v>
      </c>
      <c r="CZ67" s="62">
        <f t="shared" si="42"/>
        <v>241.42920565698913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3.7930775538710817</v>
      </c>
      <c r="DH67" s="23">
        <f>EXP(-LN(2)/2)*DH66+(1-EXP(-LN(2)/2))/(LN(2)/2)*DB67*DE67*VLOOKUP('Données projet'!$B$13,Paramètres!$A$1:$I$89,3,0)*0.475*44/12</f>
        <v>3.8262945053930373E-4</v>
      </c>
      <c r="DI67" s="24">
        <f t="shared" si="15"/>
        <v>3.793460183321621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419.0448820879102</v>
      </c>
      <c r="T68" s="62">
        <f t="shared" si="34"/>
        <v>553.33038335026379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7.5353233892716043</v>
      </c>
      <c r="AA68" s="23">
        <f>EXP(-LN(2)/25)*AA67+(1-EXP(-LN(2)/25))/(LN(2)/25)*Calculateur!V68*Calculateur!X68*VLOOKUP('Données projet'!$B$9,Paramètres!$A$1:$I$89,3,0)*0.475*44/12</f>
        <v>8.8961074287102999</v>
      </c>
      <c r="AB68" s="23">
        <f>EXP(-LN(2)/2)*AB67+(1-EXP(-LN(2)/2))/(LN(2)/2)*V68*Y68*VLOOKUP('Données projet'!$B$9,Paramètres!$A$1:$I$89,3,0)*0.475*44/12</f>
        <v>9.6701756213027197E-5</v>
      </c>
      <c r="AC68" s="24">
        <f t="shared" ref="AC68:AC131" si="57">SUM(Z68:AB68)</f>
        <v>16.431527519738118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246</v>
      </c>
      <c r="AG68" s="13">
        <f>VLOOKUP(A68,'Données projet'!$A$61:$I$81,9,0)</f>
        <v>6</v>
      </c>
      <c r="AH68" s="13">
        <f t="array" ref="AH68">INDEX(AG:AG,MIN(IF(ISNUMBER(AG68:AG264),ROW(AG68:AG264),"")))</f>
        <v>6</v>
      </c>
      <c r="AI68" s="14">
        <f>IF('Données projet'!$A$62&gt;35,AI67+AH68-AQ67,IF(A68&lt;'Données projet'!$A$62,$AF$205^A68,IF(A68='Données projet'!$A$62,'Données projet'!$B$62,AI67+AH68-AQ67)))</f>
        <v>246.00000000000026</v>
      </c>
      <c r="AJ68" s="14">
        <f>AI68*VLOOKUP('Données projet'!$B$10,Paramètres!$A$1:$I$89,3,0)*VLOOKUP('Données projet'!$B$10,Paramètres!$A$1:$I$89,5,0)</f>
        <v>214.90560000000025</v>
      </c>
      <c r="AK68" s="14">
        <f t="shared" si="35"/>
        <v>53.006137800892375</v>
      </c>
      <c r="AL68" s="22">
        <f t="shared" ref="AL68:AL131" si="58">(AJ68+AK68)*0.475*44/12</f>
        <v>466.61294333655468</v>
      </c>
      <c r="AM68" s="62">
        <f t="shared" ref="AM68:AM131" si="59">AL68+(AD68+AE68)*44/12</f>
        <v>730.55614945300988</v>
      </c>
      <c r="AN68" s="62">
        <f ca="1">AVERAGE(OFFSET($AM$3,0,0,'Données projet'!$E$10+1,1))-AVERAGE(OFFSET($H$3,0,0,'Données projet'!$E$10+1,1))</f>
        <v>341.62910675299065</v>
      </c>
      <c r="AO68" s="62">
        <f t="shared" si="36"/>
        <v>407.15938341104709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23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9.6935959892895873</v>
      </c>
      <c r="AW68" s="23">
        <f>EXP(-LN(2)/2)*AW67+(1-EXP(-LN(2)/2))/(LN(2)/2)*AQ68*AT68*VLOOKUP('Données projet'!$B$10,Paramètres!$A$1:$I$89,3,0)*0.475*44/12</f>
        <v>9.8544095869778625E-5</v>
      </c>
      <c r="AX68" s="23">
        <f t="shared" ref="AX68:AX131" si="60">SUM(AU68:AW68)</f>
        <v>9.6936945333854574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829.16016503013611</v>
      </c>
      <c r="BI68" s="62">
        <f ca="1">AVERAGE(OFFSET($BH$3,0,0,'Données projet'!$E$11+1,1))-AVERAGE(OFFSET($H$3,0,0,'Données projet'!$E$11+1,1))</f>
        <v>472.83070477639035</v>
      </c>
      <c r="BJ68" s="62">
        <f t="shared" si="38"/>
        <v>297.32483725004136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3.4597900380608317</v>
      </c>
      <c r="BR68" s="23">
        <f>EXP(-LN(2)/2)*BR67+(1-EXP(-LN(2)/2))/(LN(2)/2)*BL68*BO68*VLOOKUP('Données projet'!$B$11,Paramètres!$A$1:$I$89,3,0)*0.475*44/12</f>
        <v>8.0435201699294783E-5</v>
      </c>
      <c r="BS68" s="24">
        <f t="shared" ref="BS68:BS131" si="63">SUM(BP68:BR68)</f>
        <v>3.4598704732625309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-1.7053025658242404E-13</v>
      </c>
      <c r="BZ68" s="14">
        <f>BY68*VLOOKUP('Données projet'!$B$12,Paramètres!$A$1:$I$89,3,0)*VLOOKUP('Données projet'!$B$12,Paramètres!$A$1:$I$89,5,0)</f>
        <v>-9.3109520094003535E-14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262.64209686767367</v>
      </c>
      <c r="CE68" s="62">
        <f t="shared" si="40"/>
        <v>381.0342365342517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2.9068738136323802</v>
      </c>
      <c r="CL68" s="23">
        <f>EXP(-LN(2)/25)*CL67+(1-EXP(-LN(2)/25))/(LN(2)/25)*Calculateur!CG68*Calculateur!CI68*VLOOKUP('Données projet'!$B$12,Paramètres!$A$1:$I$89,3,0)*0.475*44/12</f>
        <v>4.9407881287793129</v>
      </c>
      <c r="CM68" s="23">
        <f>EXP(-LN(2)/2)*CM67+(1-EXP(-LN(2)/2))/(LN(2)/2)*CG68*CJ68*VLOOKUP('Données projet'!$B$12,Paramètres!$A$1:$I$89,3,0)*0.475*44/12</f>
        <v>6.6744501373311056E-5</v>
      </c>
      <c r="CN68" s="24">
        <f t="shared" ref="CN68:CN131" si="66">SUM(CK68:CM68)</f>
        <v>7.847728686913066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203</v>
      </c>
      <c r="CR68" s="13">
        <f>VLOOKUP(A68,'Données projet'!$A$139:$I$159,9,0)</f>
        <v>3.4</v>
      </c>
      <c r="CS68" s="13">
        <f t="array" ref="CS68">INDEX(CR:CR,MIN(IF(ISNUMBER(CR68:CR264),ROW(CR68:CR264),"")))</f>
        <v>3.4</v>
      </c>
      <c r="CT68" s="13">
        <f>IF('Données projet'!$A$140&gt;35,CT67+CS68-DB67,IF(A68&lt;'Données projet'!$A$140,$CQ$205^A68,IF(A68='Données projet'!$A$140,'Données projet'!$B$140,CT67+CS68-DB67)))</f>
        <v>202.99999999999997</v>
      </c>
      <c r="CU68" s="18">
        <f>CT68*VLOOKUP('Données projet'!$B$13,Paramètres!$A$1:$I$89,3,0)*VLOOKUP('Données projet'!$B$13,Paramètres!$A$1:$I$89,5,0)</f>
        <v>148.83959999999999</v>
      </c>
      <c r="CV68" s="14">
        <f t="shared" si="41"/>
        <v>38.314761484407484</v>
      </c>
      <c r="CW68" s="22">
        <f t="shared" ref="CW68:CW131" si="67">(CU68+CV68)*0.475*44/12</f>
        <v>325.96051291867633</v>
      </c>
      <c r="CX68" s="62">
        <f t="shared" ref="CX68:CX131" si="68">CW68+(CO68+CP68)*44/12</f>
        <v>589.90371903513153</v>
      </c>
      <c r="CY68" s="62">
        <f ca="1">AVERAGE(OFFSET($CX$3,0,0,'Données projet'!$E$13+1,1))-AVERAGE(OFFSET($H$3,0,0,'Données projet'!$E$13+1,1))</f>
        <v>250.11765444522138</v>
      </c>
      <c r="CZ68" s="62">
        <f t="shared" si="42"/>
        <v>241.42920565698913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3.6893556486911976</v>
      </c>
      <c r="DH68" s="23">
        <f>EXP(-LN(2)/2)*DH67+(1-EXP(-LN(2)/2))/(LN(2)/2)*DB68*DE68*VLOOKUP('Données projet'!$B$13,Paramètres!$A$1:$I$89,3,0)*0.475*44/12</f>
        <v>2.7055987915802434E-4</v>
      </c>
      <c r="DI68" s="24">
        <f t="shared" ref="DI68:DI131" si="69">SUM(DF68:DH68)</f>
        <v>3.6896262085703557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419.0448820879102</v>
      </c>
      <c r="T69" s="62">
        <f t="shared" ref="T69:T132" si="88">$T$3</f>
        <v>553.33038335026379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7.3875602937014291</v>
      </c>
      <c r="AA69" s="23">
        <f>EXP(-LN(2)/25)*AA68+(1-EXP(-LN(2)/25))/(LN(2)/25)*Calculateur!V69*Calculateur!X69*VLOOKUP('Données projet'!$B$9,Paramètres!$A$1:$I$89,3,0)*0.475*44/12</f>
        <v>8.6528429032462597</v>
      </c>
      <c r="AB69" s="23">
        <f>EXP(-LN(2)/2)*AB68+(1-EXP(-LN(2)/2))/(LN(2)/2)*V69*Y69*VLOOKUP('Données projet'!$B$9,Paramètres!$A$1:$I$89,3,0)*0.475*44/12</f>
        <v>6.8378467570879883E-5</v>
      </c>
      <c r="AC69" s="24">
        <f t="shared" si="57"/>
        <v>16.04047157541526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228.20000000000024</v>
      </c>
      <c r="AJ69" s="14">
        <f>AI69*VLOOKUP('Données projet'!$B$10,Paramètres!$A$1:$I$89,3,0)*VLOOKUP('Données projet'!$B$10,Paramètres!$A$1:$I$89,5,0)</f>
        <v>199.35552000000024</v>
      </c>
      <c r="AK69" s="14">
        <f t="shared" ref="AK69:AK132" si="89">EXP(-1.0587+0.8836*LN(AJ69)+0.284)</f>
        <v>49.602503932783272</v>
      </c>
      <c r="AL69" s="22">
        <f t="shared" si="58"/>
        <v>433.60189168293124</v>
      </c>
      <c r="AM69" s="62">
        <f t="shared" si="59"/>
        <v>698.05495080011838</v>
      </c>
      <c r="AN69" s="62">
        <f ca="1">AVERAGE(OFFSET($AM$3,0,0,'Données projet'!$E$10+1,1))-AVERAGE(OFFSET($H$3,0,0,'Données projet'!$E$10+1,1))</f>
        <v>341.62910675299065</v>
      </c>
      <c r="AO69" s="62">
        <f t="shared" ref="AO69:AO132" si="90">$AO$3</f>
        <v>407.15938341104709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9.4285240971984052</v>
      </c>
      <c r="AW69" s="23">
        <f>EXP(-LN(2)/2)*AW68+(1-EXP(-LN(2)/2))/(LN(2)/2)*AQ69*AT69*VLOOKUP('Données projet'!$B$10,Paramètres!$A$1:$I$89,3,0)*0.475*44/12</f>
        <v>6.9681198435417714E-5</v>
      </c>
      <c r="AX69" s="23">
        <f t="shared" si="60"/>
        <v>9.4285937783968414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791.79418880959736</v>
      </c>
      <c r="BI69" s="62">
        <f ca="1">AVERAGE(OFFSET($BH$3,0,0,'Données projet'!$E$11+1,1))-AVERAGE(OFFSET($H$3,0,0,'Données projet'!$E$11+1,1))</f>
        <v>472.83070477639035</v>
      </c>
      <c r="BJ69" s="62">
        <f t="shared" ref="BJ69:BJ132" si="92">$BJ$3</f>
        <v>297.32483725004136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3.3651818975276075</v>
      </c>
      <c r="BR69" s="23">
        <f>EXP(-LN(2)/2)*BR68+(1-EXP(-LN(2)/2))/(LN(2)/2)*BL69*BO69*VLOOKUP('Données projet'!$B$11,Paramètres!$A$1:$I$89,3,0)*0.475*44/12</f>
        <v>5.6876276567679053E-5</v>
      </c>
      <c r="BS69" s="24">
        <f t="shared" si="63"/>
        <v>3.3652387738041751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-1.7053025658242404E-13</v>
      </c>
      <c r="BZ69" s="14">
        <f>BY69*VLOOKUP('Données projet'!$B$12,Paramètres!$A$1:$I$89,3,0)*VLOOKUP('Données projet'!$B$12,Paramètres!$A$1:$I$89,5,0)</f>
        <v>-9.3109520094003535E-14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262.64209686767367</v>
      </c>
      <c r="CE69" s="62">
        <f t="shared" ref="CE69:CE132" si="94">$CE$3</f>
        <v>381.0342365342517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2.8498717911650044</v>
      </c>
      <c r="CL69" s="23">
        <f>EXP(-LN(2)/25)*CL68+(1-EXP(-LN(2)/25))/(LN(2)/25)*Calculateur!CG69*Calculateur!CI69*VLOOKUP('Données projet'!$B$12,Paramètres!$A$1:$I$89,3,0)*0.475*44/12</f>
        <v>4.805682017573087</v>
      </c>
      <c r="CM69" s="23">
        <f>EXP(-LN(2)/2)*CM68+(1-EXP(-LN(2)/2))/(LN(2)/2)*CG69*CJ69*VLOOKUP('Données projet'!$B$12,Paramètres!$A$1:$I$89,3,0)*0.475*44/12</f>
        <v>4.7195489527983082E-5</v>
      </c>
      <c r="CN69" s="24">
        <f t="shared" si="66"/>
        <v>7.655601004227619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</v>
      </c>
      <c r="CT69" s="13">
        <f>IF('Données projet'!$A$140&gt;35,CT68+CS69-DB68,IF(A69&lt;'Données projet'!$A$140,$CQ$205^A69,IF(A69='Données projet'!$A$140,'Données projet'!$B$140,CT68+CS69-DB68)))</f>
        <v>197.99999999999997</v>
      </c>
      <c r="CU69" s="18">
        <f>CT69*VLOOKUP('Données projet'!$B$13,Paramètres!$A$1:$I$89,3,0)*VLOOKUP('Données projet'!$B$13,Paramètres!$A$1:$I$89,5,0)</f>
        <v>145.17359999999999</v>
      </c>
      <c r="CV69" s="14">
        <f t="shared" ref="CV69:CV132" si="95">EXP(-1.0587+0.8836*LN(CU69)+0.284)</f>
        <v>37.479689934865057</v>
      </c>
      <c r="CW69" s="22">
        <f t="shared" si="67"/>
        <v>318.1211466365566</v>
      </c>
      <c r="CX69" s="62">
        <f t="shared" si="68"/>
        <v>582.57420575374363</v>
      </c>
      <c r="CY69" s="62">
        <f ca="1">AVERAGE(OFFSET($CX$3,0,0,'Données projet'!$E$13+1,1))-AVERAGE(OFFSET($H$3,0,0,'Données projet'!$E$13+1,1))</f>
        <v>250.11765444522138</v>
      </c>
      <c r="CZ69" s="62">
        <f t="shared" ref="CZ69:CZ132" si="96">$CZ$3</f>
        <v>241.42920565698913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3.5884700244629553</v>
      </c>
      <c r="DH69" s="23">
        <f>EXP(-LN(2)/2)*DH68+(1-EXP(-LN(2)/2))/(LN(2)/2)*DB69*DE69*VLOOKUP('Données projet'!$B$13,Paramètres!$A$1:$I$89,3,0)*0.475*44/12</f>
        <v>1.9131472526965186E-4</v>
      </c>
      <c r="DI69" s="24">
        <f t="shared" si="69"/>
        <v>3.5886613391882247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419.0448820879102</v>
      </c>
      <c r="T70" s="62">
        <f t="shared" si="88"/>
        <v>553.33038335026379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7.242694742308796</v>
      </c>
      <c r="AA70" s="23">
        <f>EXP(-LN(2)/25)*AA69+(1-EXP(-LN(2)/25))/(LN(2)/25)*Calculateur!V70*Calculateur!X70*VLOOKUP('Données projet'!$B$9,Paramètres!$A$1:$I$89,3,0)*0.475*44/12</f>
        <v>8.4162304590237582</v>
      </c>
      <c r="AB70" s="23">
        <f>EXP(-LN(2)/2)*AB69+(1-EXP(-LN(2)/2))/(LN(2)/2)*V70*Y70*VLOOKUP('Données projet'!$B$9,Paramètres!$A$1:$I$89,3,0)*0.475*44/12</f>
        <v>4.8350878106513598E-5</v>
      </c>
      <c r="AC70" s="24">
        <f t="shared" si="57"/>
        <v>15.658973552210661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233.40000000000023</v>
      </c>
      <c r="AJ70" s="14">
        <f>AI70*VLOOKUP('Données projet'!$B$10,Paramètres!$A$1:$I$89,3,0)*VLOOKUP('Données projet'!$B$10,Paramètres!$A$1:$I$89,5,0)</f>
        <v>203.89824000000024</v>
      </c>
      <c r="AK70" s="14">
        <f t="shared" si="89"/>
        <v>50.599918019430255</v>
      </c>
      <c r="AL70" s="22">
        <f t="shared" si="58"/>
        <v>443.25095855050807</v>
      </c>
      <c r="AM70" s="62">
        <f t="shared" si="59"/>
        <v>708.20502585872498</v>
      </c>
      <c r="AN70" s="62">
        <f ca="1">AVERAGE(OFFSET($AM$3,0,0,'Données projet'!$E$10+1,1))-AVERAGE(OFFSET($H$3,0,0,'Données projet'!$E$10+1,1))</f>
        <v>341.62910675299065</v>
      </c>
      <c r="AO70" s="62">
        <f t="shared" si="90"/>
        <v>407.15938341104709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9.1707006099359809</v>
      </c>
      <c r="AW70" s="23">
        <f>EXP(-LN(2)/2)*AW69+(1-EXP(-LN(2)/2))/(LN(2)/2)*AQ70*AT70*VLOOKUP('Données projet'!$B$10,Paramètres!$A$1:$I$89,3,0)*0.475*44/12</f>
        <v>4.9272047934889312E-5</v>
      </c>
      <c r="AX70" s="23">
        <f t="shared" si="60"/>
        <v>9.1707498819839159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807.98784880122344</v>
      </c>
      <c r="BI70" s="62">
        <f ca="1">AVERAGE(OFFSET($BH$3,0,0,'Données projet'!$E$11+1,1))-AVERAGE(OFFSET($H$3,0,0,'Données projet'!$E$11+1,1))</f>
        <v>472.83070477639035</v>
      </c>
      <c r="BJ70" s="62">
        <f t="shared" si="92"/>
        <v>297.32483725004136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3.2731608215724903</v>
      </c>
      <c r="BR70" s="23">
        <f>EXP(-LN(2)/2)*BR69+(1-EXP(-LN(2)/2))/(LN(2)/2)*BL70*BO70*VLOOKUP('Données projet'!$B$11,Paramètres!$A$1:$I$89,3,0)*0.475*44/12</f>
        <v>4.0217600849647392E-5</v>
      </c>
      <c r="BS70" s="24">
        <f t="shared" si="63"/>
        <v>3.2732010391733399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-1.7053025658242404E-13</v>
      </c>
      <c r="BZ70" s="14">
        <f>BY70*VLOOKUP('Données projet'!$B$12,Paramètres!$A$1:$I$89,3,0)*VLOOKUP('Données projet'!$B$12,Paramètres!$A$1:$I$89,5,0)</f>
        <v>-9.3109520094003535E-14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262.64209686767367</v>
      </c>
      <c r="CE70" s="62">
        <f t="shared" si="94"/>
        <v>381.0342365342517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2.7939875435904136</v>
      </c>
      <c r="CL70" s="23">
        <f>EXP(-LN(2)/25)*CL69+(1-EXP(-LN(2)/25))/(LN(2)/25)*Calculateur!CG70*Calculateur!CI70*VLOOKUP('Données projet'!$B$12,Paramètres!$A$1:$I$89,3,0)*0.475*44/12</f>
        <v>4.6742703900827172</v>
      </c>
      <c r="CM70" s="23">
        <f>EXP(-LN(2)/2)*CM69+(1-EXP(-LN(2)/2))/(LN(2)/2)*CG70*CJ70*VLOOKUP('Données projet'!$B$12,Paramètres!$A$1:$I$89,3,0)*0.475*44/12</f>
        <v>3.3372250686655528E-5</v>
      </c>
      <c r="CN70" s="24">
        <f t="shared" si="66"/>
        <v>7.4682913059238176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</v>
      </c>
      <c r="CT70" s="13">
        <f>IF('Données projet'!$A$140&gt;35,CT69+CS70-DB69,IF(A70&lt;'Données projet'!$A$140,$CQ$205^A70,IF(A70='Données projet'!$A$140,'Données projet'!$B$140,CT69+CS70-DB69)))</f>
        <v>200.99999999999997</v>
      </c>
      <c r="CU70" s="18">
        <f>CT70*VLOOKUP('Données projet'!$B$13,Paramètres!$A$1:$I$89,3,0)*VLOOKUP('Données projet'!$B$13,Paramètres!$A$1:$I$89,5,0)</f>
        <v>147.37319999999997</v>
      </c>
      <c r="CV70" s="14">
        <f t="shared" si="95"/>
        <v>37.981023482703954</v>
      </c>
      <c r="CW70" s="22">
        <f t="shared" si="67"/>
        <v>322.82527256570933</v>
      </c>
      <c r="CX70" s="62">
        <f t="shared" si="68"/>
        <v>587.77933987392623</v>
      </c>
      <c r="CY70" s="62">
        <f ca="1">AVERAGE(OFFSET($CX$3,0,0,'Données projet'!$E$13+1,1))-AVERAGE(OFFSET($H$3,0,0,'Données projet'!$E$13+1,1))</f>
        <v>250.11765444522138</v>
      </c>
      <c r="CZ70" s="62">
        <f t="shared" si="96"/>
        <v>241.42920565698913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3.4903431229345787</v>
      </c>
      <c r="DH70" s="23">
        <f>EXP(-LN(2)/2)*DH69+(1-EXP(-LN(2)/2))/(LN(2)/2)*DB70*DE70*VLOOKUP('Données projet'!$B$13,Paramètres!$A$1:$I$89,3,0)*0.475*44/12</f>
        <v>1.3527993957901217E-4</v>
      </c>
      <c r="DI70" s="24">
        <f t="shared" si="69"/>
        <v>3.4904784028741576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419.0448820879102</v>
      </c>
      <c r="T71" s="62">
        <f t="shared" si="88"/>
        <v>553.33038335026379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7.1006699160197106</v>
      </c>
      <c r="AA71" s="23">
        <f>EXP(-LN(2)/25)*AA70+(1-EXP(-LN(2)/25))/(LN(2)/25)*Calculateur!V71*Calculateur!X71*VLOOKUP('Données projet'!$B$9,Paramètres!$A$1:$I$89,3,0)*0.475*44/12</f>
        <v>8.186088194531429</v>
      </c>
      <c r="AB71" s="23">
        <f>EXP(-LN(2)/2)*AB70+(1-EXP(-LN(2)/2))/(LN(2)/2)*V71*Y71*VLOOKUP('Données projet'!$B$9,Paramètres!$A$1:$I$89,3,0)*0.475*44/12</f>
        <v>3.4189233785439942E-5</v>
      </c>
      <c r="AC71" s="24">
        <f t="shared" si="57"/>
        <v>15.286792299784926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238.60000000000022</v>
      </c>
      <c r="AJ71" s="14">
        <f>AI71*VLOOKUP('Données projet'!$B$10,Paramètres!$A$1:$I$89,3,0)*VLOOKUP('Données projet'!$B$10,Paramètres!$A$1:$I$89,5,0)</f>
        <v>208.44096000000022</v>
      </c>
      <c r="AK71" s="14">
        <f t="shared" si="89"/>
        <v>51.594748621124261</v>
      </c>
      <c r="AL71" s="22">
        <f t="shared" si="58"/>
        <v>452.89552584845842</v>
      </c>
      <c r="AM71" s="62">
        <f t="shared" si="59"/>
        <v>718.34190997567725</v>
      </c>
      <c r="AN71" s="62">
        <f ca="1">AVERAGE(OFFSET($AM$3,0,0,'Données projet'!$E$10+1,1))-AVERAGE(OFFSET($H$3,0,0,'Données projet'!$E$10+1,1))</f>
        <v>341.62910675299065</v>
      </c>
      <c r="AO71" s="62">
        <f t="shared" si="90"/>
        <v>407.15938341104709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8.9199273194910962</v>
      </c>
      <c r="AW71" s="23">
        <f>EXP(-LN(2)/2)*AW70+(1-EXP(-LN(2)/2))/(LN(2)/2)*AQ71*AT71*VLOOKUP('Données projet'!$B$10,Paramètres!$A$1:$I$89,3,0)*0.475*44/12</f>
        <v>3.4840599217708857E-5</v>
      </c>
      <c r="AX71" s="23">
        <f t="shared" si="60"/>
        <v>8.9199621600903143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824.16329923760372</v>
      </c>
      <c r="BI71" s="62">
        <f ca="1">AVERAGE(OFFSET($BH$3,0,0,'Données projet'!$E$11+1,1))-AVERAGE(OFFSET($H$3,0,0,'Données projet'!$E$11+1,1))</f>
        <v>472.83070477639035</v>
      </c>
      <c r="BJ71" s="62">
        <f t="shared" si="92"/>
        <v>297.32483725004136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3.1836560667785441</v>
      </c>
      <c r="BR71" s="23">
        <f>EXP(-LN(2)/2)*BR70+(1-EXP(-LN(2)/2))/(LN(2)/2)*BL71*BO71*VLOOKUP('Données projet'!$B$11,Paramètres!$A$1:$I$89,3,0)*0.475*44/12</f>
        <v>2.8438138283839526E-5</v>
      </c>
      <c r="BS71" s="24">
        <f t="shared" si="63"/>
        <v>3.1836845049168279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-1.7053025658242404E-13</v>
      </c>
      <c r="BZ71" s="14">
        <f>BY71*VLOOKUP('Données projet'!$B$12,Paramètres!$A$1:$I$89,3,0)*VLOOKUP('Données projet'!$B$12,Paramètres!$A$1:$I$89,5,0)</f>
        <v>-9.3109520094003535E-14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262.64209686767367</v>
      </c>
      <c r="CE71" s="62">
        <f t="shared" si="94"/>
        <v>381.0342365342517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2.7391991520247347</v>
      </c>
      <c r="CL71" s="23">
        <f>EXP(-LN(2)/25)*CL70+(1-EXP(-LN(2)/25))/(LN(2)/25)*Calculateur!CG71*Calculateur!CI71*VLOOKUP('Données projet'!$B$12,Paramètres!$A$1:$I$89,3,0)*0.475*44/12</f>
        <v>4.5464522204567084</v>
      </c>
      <c r="CM71" s="23">
        <f>EXP(-LN(2)/2)*CM70+(1-EXP(-LN(2)/2))/(LN(2)/2)*CG71*CJ71*VLOOKUP('Données projet'!$B$12,Paramètres!$A$1:$I$89,3,0)*0.475*44/12</f>
        <v>2.3597744763991541E-5</v>
      </c>
      <c r="CN71" s="24">
        <f t="shared" si="66"/>
        <v>7.2856749702262062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</v>
      </c>
      <c r="CT71" s="13">
        <f>IF('Données projet'!$A$140&gt;35,CT70+CS71-DB70,IF(A71&lt;'Données projet'!$A$140,$CQ$205^A71,IF(A71='Données projet'!$A$140,'Données projet'!$B$140,CT70+CS71-DB70)))</f>
        <v>203.99999999999997</v>
      </c>
      <c r="CU71" s="18">
        <f>CT71*VLOOKUP('Données projet'!$B$13,Paramètres!$A$1:$I$89,3,0)*VLOOKUP('Données projet'!$B$13,Paramètres!$A$1:$I$89,5,0)</f>
        <v>149.57279999999997</v>
      </c>
      <c r="CV71" s="14">
        <f t="shared" si="95"/>
        <v>38.481486779011689</v>
      </c>
      <c r="CW71" s="22">
        <f t="shared" si="67"/>
        <v>327.52788280677856</v>
      </c>
      <c r="CX71" s="62">
        <f t="shared" si="68"/>
        <v>592.97426693399734</v>
      </c>
      <c r="CY71" s="62">
        <f ca="1">AVERAGE(OFFSET($CX$3,0,0,'Données projet'!$E$13+1,1))-AVERAGE(OFFSET($H$3,0,0,'Données projet'!$E$13+1,1))</f>
        <v>250.11765444522138</v>
      </c>
      <c r="CZ71" s="62">
        <f t="shared" si="96"/>
        <v>241.42920565698913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3.3948995066887653</v>
      </c>
      <c r="DH71" s="23">
        <f>EXP(-LN(2)/2)*DH70+(1-EXP(-LN(2)/2))/(LN(2)/2)*DB71*DE71*VLOOKUP('Données projet'!$B$13,Paramètres!$A$1:$I$89,3,0)*0.475*44/12</f>
        <v>9.5657362634825931E-5</v>
      </c>
      <c r="DI71" s="24">
        <f t="shared" si="69"/>
        <v>3.3949951640514002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419.0448820879102</v>
      </c>
      <c r="T72" s="62">
        <f t="shared" si="88"/>
        <v>553.33038335026379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6.9614301099475639</v>
      </c>
      <c r="AA72" s="23">
        <f>EXP(-LN(2)/25)*AA71+(1-EXP(-LN(2)/25))/(LN(2)/25)*Calculateur!V72*Calculateur!X72*VLOOKUP('Données projet'!$B$9,Paramètres!$A$1:$I$89,3,0)*0.475*44/12</f>
        <v>7.9622391823642982</v>
      </c>
      <c r="AB72" s="23">
        <f>EXP(-LN(2)/2)*AB71+(1-EXP(-LN(2)/2))/(LN(2)/2)*V72*Y72*VLOOKUP('Données projet'!$B$9,Paramètres!$A$1:$I$89,3,0)*0.475*44/12</f>
        <v>2.4175439053256799E-5</v>
      </c>
      <c r="AC72" s="24">
        <f t="shared" si="57"/>
        <v>14.923693467750915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243.80000000000021</v>
      </c>
      <c r="AJ72" s="14">
        <f>AI72*VLOOKUP('Données projet'!$B$10,Paramètres!$A$1:$I$89,3,0)*VLOOKUP('Données projet'!$B$10,Paramètres!$A$1:$I$89,5,0)</f>
        <v>212.98368000000022</v>
      </c>
      <c r="AK72" s="14">
        <f t="shared" si="89"/>
        <v>52.587058525970413</v>
      </c>
      <c r="AL72" s="22">
        <f t="shared" si="58"/>
        <v>462.53570293273214</v>
      </c>
      <c r="AM72" s="62">
        <f t="shared" si="59"/>
        <v>728.46586328279864</v>
      </c>
      <c r="AN72" s="62">
        <f ca="1">AVERAGE(OFFSET($AM$3,0,0,'Données projet'!$E$10+1,1))-AVERAGE(OFFSET($H$3,0,0,'Données projet'!$E$10+1,1))</f>
        <v>341.62910675299065</v>
      </c>
      <c r="AO72" s="62">
        <f t="shared" si="90"/>
        <v>407.15938341104709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8.6760114378610211</v>
      </c>
      <c r="AW72" s="23">
        <f>EXP(-LN(2)/2)*AW71+(1-EXP(-LN(2)/2))/(LN(2)/2)*AQ72*AT72*VLOOKUP('Données projet'!$B$10,Paramètres!$A$1:$I$89,3,0)*0.475*44/12</f>
        <v>2.4636023967444656E-5</v>
      </c>
      <c r="AX72" s="23">
        <f t="shared" si="60"/>
        <v>8.6760360738849887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840.32099556130004</v>
      </c>
      <c r="BI72" s="62">
        <f ca="1">AVERAGE(OFFSET($BH$3,0,0,'Données projet'!$E$11+1,1))-AVERAGE(OFFSET($H$3,0,0,'Données projet'!$E$11+1,1))</f>
        <v>472.83070477639035</v>
      </c>
      <c r="BJ72" s="62">
        <f t="shared" si="92"/>
        <v>297.32483725004136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3.0965988242112887</v>
      </c>
      <c r="BR72" s="23">
        <f>EXP(-LN(2)/2)*BR71+(1-EXP(-LN(2)/2))/(LN(2)/2)*BL72*BO72*VLOOKUP('Données projet'!$B$11,Paramètres!$A$1:$I$89,3,0)*0.475*44/12</f>
        <v>2.0108800424823696E-5</v>
      </c>
      <c r="BS72" s="24">
        <f t="shared" si="63"/>
        <v>3.0966189330117135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-1.7053025658242404E-13</v>
      </c>
      <c r="BZ72" s="14">
        <f>BY72*VLOOKUP('Données projet'!$B$12,Paramètres!$A$1:$I$89,3,0)*VLOOKUP('Données projet'!$B$12,Paramètres!$A$1:$I$89,5,0)</f>
        <v>-9.3109520094003535E-14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262.64209686767367</v>
      </c>
      <c r="CE72" s="62">
        <f t="shared" si="94"/>
        <v>381.0342365342517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2.6854851274000398</v>
      </c>
      <c r="CL72" s="23">
        <f>EXP(-LN(2)/25)*CL71+(1-EXP(-LN(2)/25))/(LN(2)/25)*Calculateur!CG72*Calculateur!CI72*VLOOKUP('Données projet'!$B$12,Paramètres!$A$1:$I$89,3,0)*0.475*44/12</f>
        <v>4.4221292454007886</v>
      </c>
      <c r="CM72" s="23">
        <f>EXP(-LN(2)/2)*CM71+(1-EXP(-LN(2)/2))/(LN(2)/2)*CG72*CJ72*VLOOKUP('Données projet'!$B$12,Paramètres!$A$1:$I$89,3,0)*0.475*44/12</f>
        <v>1.6686125343327764E-5</v>
      </c>
      <c r="CN72" s="24">
        <f t="shared" si="66"/>
        <v>7.107631058926172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</v>
      </c>
      <c r="CT72" s="13">
        <f>IF('Données projet'!$A$140&gt;35,CT71+CS72-DB71,IF(A72&lt;'Données projet'!$A$140,$CQ$205^A72,IF(A72='Données projet'!$A$140,'Données projet'!$B$140,CT71+CS72-DB71)))</f>
        <v>206.99999999999997</v>
      </c>
      <c r="CU72" s="18">
        <f>CT72*VLOOKUP('Données projet'!$B$13,Paramètres!$A$1:$I$89,3,0)*VLOOKUP('Données projet'!$B$13,Paramètres!$A$1:$I$89,5,0)</f>
        <v>151.77239999999998</v>
      </c>
      <c r="CV72" s="14">
        <f t="shared" si="95"/>
        <v>38.981094100085407</v>
      </c>
      <c r="CW72" s="22">
        <f t="shared" si="67"/>
        <v>332.22900222431537</v>
      </c>
      <c r="CX72" s="62">
        <f t="shared" si="68"/>
        <v>598.15916257438198</v>
      </c>
      <c r="CY72" s="62">
        <f ca="1">AVERAGE(OFFSET($CX$3,0,0,'Données projet'!$E$13+1,1))-AVERAGE(OFFSET($H$3,0,0,'Données projet'!$E$13+1,1))</f>
        <v>250.11765444522138</v>
      </c>
      <c r="CZ72" s="62">
        <f t="shared" si="96"/>
        <v>241.42920565698913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3.302065801148355</v>
      </c>
      <c r="DH72" s="23">
        <f>EXP(-LN(2)/2)*DH71+(1-EXP(-LN(2)/2))/(LN(2)/2)*DB72*DE72*VLOOKUP('Données projet'!$B$13,Paramètres!$A$1:$I$89,3,0)*0.475*44/12</f>
        <v>6.7639969789506086E-5</v>
      </c>
      <c r="DI72" s="24">
        <f t="shared" si="69"/>
        <v>3.3021334411181447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419.0448820879102</v>
      </c>
      <c r="T73" s="62">
        <f t="shared" si="88"/>
        <v>553.33038335026379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6.8249207115445962</v>
      </c>
      <c r="AA73" s="23">
        <f>EXP(-LN(2)/25)*AA72+(1-EXP(-LN(2)/25))/(LN(2)/25)*Calculateur!V73*Calculateur!X73*VLOOKUP('Données projet'!$B$9,Paramètres!$A$1:$I$89,3,0)*0.475*44/12</f>
        <v>7.744511333206586</v>
      </c>
      <c r="AB73" s="23">
        <f>EXP(-LN(2)/2)*AB72+(1-EXP(-LN(2)/2))/(LN(2)/2)*V73*Y73*VLOOKUP('Données projet'!$B$9,Paramètres!$A$1:$I$89,3,0)*0.475*44/12</f>
        <v>1.7094616892719971E-5</v>
      </c>
      <c r="AC73" s="24">
        <f t="shared" si="57"/>
        <v>14.569449139368075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249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249.0000000000002</v>
      </c>
      <c r="AJ73" s="14">
        <f>AI73*VLOOKUP('Données projet'!$B$10,Paramètres!$A$1:$I$89,3,0)*VLOOKUP('Données projet'!$B$10,Paramètres!$A$1:$I$89,5,0)</f>
        <v>217.52640000000019</v>
      </c>
      <c r="AK73" s="14">
        <f t="shared" si="89"/>
        <v>53.576907690651304</v>
      </c>
      <c r="AL73" s="22">
        <f t="shared" si="58"/>
        <v>472.17159422788467</v>
      </c>
      <c r="AM73" s="62">
        <f t="shared" si="59"/>
        <v>738.57713836489415</v>
      </c>
      <c r="AN73" s="62">
        <f ca="1">AVERAGE(OFFSET($AM$3,0,0,'Données projet'!$E$10+1,1))-AVERAGE(OFFSET($H$3,0,0,'Données projet'!$E$10+1,1))</f>
        <v>341.62910675299065</v>
      </c>
      <c r="AO73" s="62">
        <f t="shared" si="90"/>
        <v>407.15938341104709</v>
      </c>
      <c r="AP73" s="16">
        <f>IF(ISNA(VLOOKUP(A73,'Données projet'!$A$61:$I$81,3,0)),0,VLOOKUP(A73,'Données projet'!$A$61:$I$81,3,0))</f>
        <v>12</v>
      </c>
      <c r="AQ73" s="16">
        <f>IF(ISNA(VLOOKUP(A73,'Données projet'!$A$61:$I$81,4,0)),0,VLOOKUP(A73,'Données projet'!$A$61:$I$81,4,0))</f>
        <v>249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8.4387654488410995</v>
      </c>
      <c r="AW73" s="23">
        <f>EXP(-LN(2)/2)*AW72+(1-EXP(-LN(2)/2))/(LN(2)/2)*AQ73*AT73*VLOOKUP('Données projet'!$B$10,Paramètres!$A$1:$I$89,3,0)*0.475*44/12</f>
        <v>1.7420299608854429E-5</v>
      </c>
      <c r="AX73" s="23">
        <f t="shared" si="60"/>
        <v>8.4387828691407076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856.46137262503021</v>
      </c>
      <c r="BI73" s="62">
        <f ca="1">AVERAGE(OFFSET($BH$3,0,0,'Données projet'!$E$11+1,1))-AVERAGE(OFFSET($H$3,0,0,'Données projet'!$E$11+1,1))</f>
        <v>472.83070477639035</v>
      </c>
      <c r="BJ73" s="62">
        <f t="shared" si="92"/>
        <v>297.32483725004136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3.0119221665201761</v>
      </c>
      <c r="BR73" s="23">
        <f>EXP(-LN(2)/2)*BR72+(1-EXP(-LN(2)/2))/(LN(2)/2)*BL73*BO73*VLOOKUP('Données projet'!$B$11,Paramètres!$A$1:$I$89,3,0)*0.475*44/12</f>
        <v>1.4219069141919763E-5</v>
      </c>
      <c r="BS73" s="24">
        <f t="shared" si="63"/>
        <v>3.0119363855893182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-1.7053025658242404E-13</v>
      </c>
      <c r="BZ73" s="14">
        <f>BY73*VLOOKUP('Données projet'!$B$12,Paramètres!$A$1:$I$89,3,0)*VLOOKUP('Données projet'!$B$12,Paramètres!$A$1:$I$89,5,0)</f>
        <v>-9.3109520094003535E-14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262.64209686767367</v>
      </c>
      <c r="CE73" s="62">
        <f t="shared" si="94"/>
        <v>381.0342365342517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2.6328244020359151</v>
      </c>
      <c r="CL73" s="23">
        <f>EXP(-LN(2)/25)*CL72+(1-EXP(-LN(2)/25))/(LN(2)/25)*Calculateur!CG73*Calculateur!CI73*VLOOKUP('Données projet'!$B$12,Paramètres!$A$1:$I$89,3,0)*0.475*44/12</f>
        <v>4.3012058886356339</v>
      </c>
      <c r="CM73" s="23">
        <f>EXP(-LN(2)/2)*CM72+(1-EXP(-LN(2)/2))/(LN(2)/2)*CG73*CJ73*VLOOKUP('Données projet'!$B$12,Paramètres!$A$1:$I$89,3,0)*0.475*44/12</f>
        <v>1.1798872381995771E-5</v>
      </c>
      <c r="CN73" s="24">
        <f t="shared" si="66"/>
        <v>6.9340420895439312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210</v>
      </c>
      <c r="CR73" s="13">
        <f>VLOOKUP(A73,'Données projet'!$A$139:$I$159,9,0)</f>
        <v>3</v>
      </c>
      <c r="CS73" s="13">
        <f t="array" ref="CS73">INDEX(CR:CR,MIN(IF(ISNUMBER(CR73:CR269),ROW(CR73:CR269),"")))</f>
        <v>3</v>
      </c>
      <c r="CT73" s="13">
        <f>IF('Données projet'!$A$140&gt;35,CT72+CS73-DB72,IF(A73&lt;'Données projet'!$A$140,$CQ$205^A73,IF(A73='Données projet'!$A$140,'Données projet'!$B$140,CT72+CS73-DB72)))</f>
        <v>209.99999999999997</v>
      </c>
      <c r="CU73" s="18">
        <f>CT73*VLOOKUP('Données projet'!$B$13,Paramètres!$A$1:$I$89,3,0)*VLOOKUP('Données projet'!$B$13,Paramètres!$A$1:$I$89,5,0)</f>
        <v>153.97199999999995</v>
      </c>
      <c r="CV73" s="14">
        <f t="shared" si="95"/>
        <v>39.479859284656378</v>
      </c>
      <c r="CW73" s="22">
        <f t="shared" si="67"/>
        <v>336.92865492077641</v>
      </c>
      <c r="CX73" s="62">
        <f t="shared" si="68"/>
        <v>603.3341990577859</v>
      </c>
      <c r="CY73" s="62">
        <f ca="1">AVERAGE(OFFSET($CX$3,0,0,'Données projet'!$E$13+1,1))-AVERAGE(OFFSET($H$3,0,0,'Données projet'!$E$13+1,1))</f>
        <v>250.11765444522138</v>
      </c>
      <c r="CZ73" s="62">
        <f t="shared" si="96"/>
        <v>241.42920565698913</v>
      </c>
      <c r="DA73" s="16">
        <f>IF(ISNA(VLOOKUP(A73,'Données projet'!$A$139:$I$159,3,0)),0,VLOOKUP(A73,'Données projet'!$A$139:$I$159,3,0))</f>
        <v>12</v>
      </c>
      <c r="DB73" s="16">
        <f>IF(ISNA(VLOOKUP(A73,'Données projet'!$A$139:$I$159,4,0)),0,VLOOKUP(A73,'Données projet'!$A$139:$I$159,4,0))</f>
        <v>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3.2117706381678599</v>
      </c>
      <c r="DH73" s="23">
        <f>EXP(-LN(2)/2)*DH72+(1-EXP(-LN(2)/2))/(LN(2)/2)*DB73*DE73*VLOOKUP('Données projet'!$B$13,Paramètres!$A$1:$I$89,3,0)*0.475*44/12</f>
        <v>4.7828681317412966E-5</v>
      </c>
      <c r="DI73" s="24">
        <f t="shared" si="69"/>
        <v>3.2118184668491772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419.0448820879102</v>
      </c>
      <c r="T74" s="62">
        <f t="shared" si="88"/>
        <v>553.33038335026379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6.6910881791817989</v>
      </c>
      <c r="AA74" s="23">
        <f>EXP(-LN(2)/25)*AA73+(1-EXP(-LN(2)/25))/(LN(2)/25)*Calculateur!V74*Calculateur!X74*VLOOKUP('Données projet'!$B$9,Paramètres!$A$1:$I$89,3,0)*0.475*44/12</f>
        <v>7.5327372635339014</v>
      </c>
      <c r="AB74" s="23">
        <f>EXP(-LN(2)/2)*AB73+(1-EXP(-LN(2)/2))/(LN(2)/2)*V74*Y74*VLOOKUP('Données projet'!$B$9,Paramètres!$A$1:$I$89,3,0)*0.475*44/12</f>
        <v>1.20877195266284E-5</v>
      </c>
      <c r="AC74" s="24">
        <f t="shared" si="57"/>
        <v>14.223837530435226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1.9895196601282805E-13</v>
      </c>
      <c r="AJ74" s="14">
        <f>AI74*VLOOKUP('Données projet'!$B$10,Paramètres!$A$1:$I$89,3,0)*VLOOKUP('Données projet'!$B$10,Paramètres!$A$1:$I$89,5,0)</f>
        <v>1.738044375088066E-13</v>
      </c>
      <c r="AK74" s="14">
        <f t="shared" si="89"/>
        <v>2.4483293633950478E-12</v>
      </c>
      <c r="AL74" s="22">
        <f t="shared" si="58"/>
        <v>4.566883036574213E-12</v>
      </c>
      <c r="AM74" s="62">
        <f t="shared" si="59"/>
        <v>266.87268107805249</v>
      </c>
      <c r="AN74" s="62">
        <f ca="1">AVERAGE(OFFSET($AM$3,0,0,'Données projet'!$E$10+1,1))-AVERAGE(OFFSET($H$3,0,0,'Données projet'!$E$10+1,1))</f>
        <v>341.62910675299065</v>
      </c>
      <c r="AO74" s="62">
        <f t="shared" si="90"/>
        <v>407.15938341104709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8.2080069638671525</v>
      </c>
      <c r="AW74" s="23">
        <f>EXP(-LN(2)/2)*AW73+(1-EXP(-LN(2)/2))/(LN(2)/2)*AQ74*AT74*VLOOKUP('Données projet'!$B$10,Paramètres!$A$1:$I$89,3,0)*0.475*44/12</f>
        <v>1.2318011983722328E-5</v>
      </c>
      <c r="AX74" s="23">
        <f t="shared" si="60"/>
        <v>8.2080192818791353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817.940456546929</v>
      </c>
      <c r="BI74" s="62">
        <f ca="1">AVERAGE(OFFSET($BH$3,0,0,'Données projet'!$E$11+1,1))-AVERAGE(OFFSET($H$3,0,0,'Données projet'!$E$11+1,1))</f>
        <v>472.83070477639035</v>
      </c>
      <c r="BJ74" s="62">
        <f t="shared" si="92"/>
        <v>297.32483725004136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2.929560996486579</v>
      </c>
      <c r="BR74" s="23">
        <f>EXP(-LN(2)/2)*BR73+(1-EXP(-LN(2)/2))/(LN(2)/2)*BL74*BO74*VLOOKUP('Données projet'!$B$11,Paramètres!$A$1:$I$89,3,0)*0.475*44/12</f>
        <v>1.0054400212411848E-5</v>
      </c>
      <c r="BS74" s="24">
        <f t="shared" si="63"/>
        <v>2.9295710508867914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-1.7053025658242404E-13</v>
      </c>
      <c r="BZ74" s="14">
        <f>BY74*VLOOKUP('Données projet'!$B$12,Paramètres!$A$1:$I$89,3,0)*VLOOKUP('Données projet'!$B$12,Paramètres!$A$1:$I$89,5,0)</f>
        <v>-9.3109520094003535E-14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262.64209686767367</v>
      </c>
      <c r="CE74" s="62">
        <f t="shared" si="94"/>
        <v>381.0342365342517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2.5811963213763103</v>
      </c>
      <c r="CL74" s="23">
        <f>EXP(-LN(2)/25)*CL73+(1-EXP(-LN(2)/25))/(LN(2)/25)*Calculateur!CG74*Calculateur!CI74*VLOOKUP('Données projet'!$B$12,Paramètres!$A$1:$I$89,3,0)*0.475*44/12</f>
        <v>4.1835891874203055</v>
      </c>
      <c r="CM74" s="23">
        <f>EXP(-LN(2)/2)*CM73+(1-EXP(-LN(2)/2))/(LN(2)/2)*CG74*CJ74*VLOOKUP('Données projet'!$B$12,Paramètres!$A$1:$I$89,3,0)*0.475*44/12</f>
        <v>8.343062671663882E-6</v>
      </c>
      <c r="CN74" s="24">
        <f t="shared" si="66"/>
        <v>6.7647938518592872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2.6</v>
      </c>
      <c r="CT74" s="13">
        <f>IF('Données projet'!$A$140&gt;35,CT73+CS74-DB73,IF(A74&lt;'Données projet'!$A$140,$CQ$205^A74,IF(A74='Données projet'!$A$140,'Données projet'!$B$140,CT73+CS74-DB73)))</f>
        <v>204.59999999999997</v>
      </c>
      <c r="CU74" s="18">
        <f>CT74*VLOOKUP('Données projet'!$B$13,Paramètres!$A$1:$I$89,3,0)*VLOOKUP('Données projet'!$B$13,Paramètres!$A$1:$I$89,5,0)</f>
        <v>150.01271999999997</v>
      </c>
      <c r="CV74" s="14">
        <f t="shared" si="95"/>
        <v>38.581476272231662</v>
      </c>
      <c r="CW74" s="22">
        <f t="shared" si="67"/>
        <v>328.46822517413676</v>
      </c>
      <c r="CX74" s="62">
        <f t="shared" si="68"/>
        <v>595.34090625218471</v>
      </c>
      <c r="CY74" s="62">
        <f ca="1">AVERAGE(OFFSET($CX$3,0,0,'Données projet'!$E$13+1,1))-AVERAGE(OFFSET($H$3,0,0,'Données projet'!$E$13+1,1))</f>
        <v>250.11765444522138</v>
      </c>
      <c r="CZ74" s="62">
        <f t="shared" si="96"/>
        <v>241.42920565698913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3.1239446011674823</v>
      </c>
      <c r="DH74" s="23">
        <f>EXP(-LN(2)/2)*DH73+(1-EXP(-LN(2)/2))/(LN(2)/2)*DB74*DE74*VLOOKUP('Données projet'!$B$13,Paramètres!$A$1:$I$89,3,0)*0.475*44/12</f>
        <v>3.3819984894753043E-5</v>
      </c>
      <c r="DI74" s="24">
        <f t="shared" si="69"/>
        <v>3.1239784211523771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419.0448820879102</v>
      </c>
      <c r="T75" s="62">
        <f t="shared" si="88"/>
        <v>553.33038335026379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6.5598800211488522</v>
      </c>
      <c r="AA75" s="23">
        <f>EXP(-LN(2)/25)*AA74+(1-EXP(-LN(2)/25))/(LN(2)/25)*Calculateur!V75*Calculateur!X75*VLOOKUP('Données projet'!$B$9,Paramètres!$A$1:$I$89,3,0)*0.475*44/12</f>
        <v>7.3267541669331306</v>
      </c>
      <c r="AB75" s="23">
        <f>EXP(-LN(2)/2)*AB74+(1-EXP(-LN(2)/2))/(LN(2)/2)*V75*Y75*VLOOKUP('Données projet'!$B$9,Paramètres!$A$1:$I$89,3,0)*0.475*44/12</f>
        <v>8.5473084463599854E-6</v>
      </c>
      <c r="AC75" s="24">
        <f t="shared" si="57"/>
        <v>13.88664273539043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1.9895196601282805E-13</v>
      </c>
      <c r="AJ75" s="14">
        <f>AI75*VLOOKUP('Données projet'!$B$10,Paramètres!$A$1:$I$89,3,0)*VLOOKUP('Données projet'!$B$10,Paramètres!$A$1:$I$89,5,0)</f>
        <v>1.738044375088066E-13</v>
      </c>
      <c r="AK75" s="14">
        <f t="shared" si="89"/>
        <v>2.4483293633950478E-12</v>
      </c>
      <c r="AL75" s="22">
        <f t="shared" si="58"/>
        <v>4.566883036574213E-12</v>
      </c>
      <c r="AM75" s="62">
        <f t="shared" si="59"/>
        <v>267.33171423752566</v>
      </c>
      <c r="AN75" s="62">
        <f ca="1">AVERAGE(OFFSET($AM$3,0,0,'Données projet'!$E$10+1,1))-AVERAGE(OFFSET($H$3,0,0,'Données projet'!$E$10+1,1))</f>
        <v>341.62910675299065</v>
      </c>
      <c r="AO75" s="62">
        <f t="shared" si="90"/>
        <v>407.15938341104709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7.9835585817998789</v>
      </c>
      <c r="AW75" s="23">
        <f>EXP(-LN(2)/2)*AW74+(1-EXP(-LN(2)/2))/(LN(2)/2)*AQ75*AT75*VLOOKUP('Données projet'!$B$10,Paramètres!$A$1:$I$89,3,0)*0.475*44/12</f>
        <v>8.7101498044272143E-6</v>
      </c>
      <c r="AX75" s="23">
        <f t="shared" si="60"/>
        <v>7.983567291949683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832.93097979380696</v>
      </c>
      <c r="BI75" s="62">
        <f ca="1">AVERAGE(OFFSET($BH$3,0,0,'Données projet'!$E$11+1,1))-AVERAGE(OFFSET($H$3,0,0,'Données projet'!$E$11+1,1))</f>
        <v>472.83070477639035</v>
      </c>
      <c r="BJ75" s="62">
        <f t="shared" si="92"/>
        <v>297.32483725004136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2.8494519969787362</v>
      </c>
      <c r="BR75" s="23">
        <f>EXP(-LN(2)/2)*BR74+(1-EXP(-LN(2)/2))/(LN(2)/2)*BL75*BO75*VLOOKUP('Données projet'!$B$11,Paramètres!$A$1:$I$89,3,0)*0.475*44/12</f>
        <v>7.1095345709598816E-6</v>
      </c>
      <c r="BS75" s="24">
        <f t="shared" si="63"/>
        <v>2.849459106513307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-1.7053025658242404E-13</v>
      </c>
      <c r="BZ75" s="14">
        <f>BY75*VLOOKUP('Données projet'!$B$12,Paramètres!$A$1:$I$89,3,0)*VLOOKUP('Données projet'!$B$12,Paramètres!$A$1:$I$89,5,0)</f>
        <v>-9.3109520094003535E-14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262.64209686767367</v>
      </c>
      <c r="CE75" s="62">
        <f t="shared" si="94"/>
        <v>381.0342365342517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2.5305806358884202</v>
      </c>
      <c r="CL75" s="23">
        <f>EXP(-LN(2)/25)*CL74+(1-EXP(-LN(2)/25))/(LN(2)/25)*Calculateur!CG75*Calculateur!CI75*VLOOKUP('Données projet'!$B$12,Paramètres!$A$1:$I$89,3,0)*0.475*44/12</f>
        <v>4.0691887210849034</v>
      </c>
      <c r="CM75" s="23">
        <f>EXP(-LN(2)/2)*CM74+(1-EXP(-LN(2)/2))/(LN(2)/2)*CG75*CJ75*VLOOKUP('Données projet'!$B$12,Paramètres!$A$1:$I$89,3,0)*0.475*44/12</f>
        <v>5.8994361909978853E-6</v>
      </c>
      <c r="CN75" s="24">
        <f t="shared" si="66"/>
        <v>6.5997752564095151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2.6</v>
      </c>
      <c r="CT75" s="13">
        <f>IF('Données projet'!$A$140&gt;35,CT74+CS75-DB74,IF(A75&lt;'Données projet'!$A$140,$CQ$205^A75,IF(A75='Données projet'!$A$140,'Données projet'!$B$140,CT74+CS75-DB74)))</f>
        <v>207.19999999999996</v>
      </c>
      <c r="CU75" s="18">
        <f>CT75*VLOOKUP('Données projet'!$B$13,Paramètres!$A$1:$I$89,3,0)*VLOOKUP('Données projet'!$B$13,Paramètres!$A$1:$I$89,5,0)</f>
        <v>151.91903999999997</v>
      </c>
      <c r="CV75" s="14">
        <f t="shared" si="95"/>
        <v>39.014371161543409</v>
      </c>
      <c r="CW75" s="22">
        <f t="shared" si="67"/>
        <v>332.54235777302137</v>
      </c>
      <c r="CX75" s="62">
        <f t="shared" si="68"/>
        <v>599.87407201054248</v>
      </c>
      <c r="CY75" s="62">
        <f ca="1">AVERAGE(OFFSET($CX$3,0,0,'Données projet'!$E$13+1,1))-AVERAGE(OFFSET($H$3,0,0,'Données projet'!$E$13+1,1))</f>
        <v>250.11765444522138</v>
      </c>
      <c r="CZ75" s="62">
        <f t="shared" si="96"/>
        <v>241.42920565698913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3.0385201717674506</v>
      </c>
      <c r="DH75" s="23">
        <f>EXP(-LN(2)/2)*DH74+(1-EXP(-LN(2)/2))/(LN(2)/2)*DB75*DE75*VLOOKUP('Données projet'!$B$13,Paramètres!$A$1:$I$89,3,0)*0.475*44/12</f>
        <v>2.3914340658706483E-5</v>
      </c>
      <c r="DI75" s="24">
        <f t="shared" si="69"/>
        <v>3.0385440861081094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419.0448820879102</v>
      </c>
      <c r="T76" s="62">
        <f t="shared" si="88"/>
        <v>553.33038335026379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6.4312447750658572</v>
      </c>
      <c r="AA76" s="23">
        <f>EXP(-LN(2)/25)*AA75+(1-EXP(-LN(2)/25))/(LN(2)/25)*Calculateur!V76*Calculateur!X76*VLOOKUP('Données projet'!$B$9,Paramètres!$A$1:$I$89,3,0)*0.475*44/12</f>
        <v>7.126403688941088</v>
      </c>
      <c r="AB76" s="23">
        <f>EXP(-LN(2)/2)*AB75+(1-EXP(-LN(2)/2))/(LN(2)/2)*V76*Y76*VLOOKUP('Données projet'!$B$9,Paramètres!$A$1:$I$89,3,0)*0.475*44/12</f>
        <v>6.0438597633141998E-6</v>
      </c>
      <c r="AC76" s="24">
        <f t="shared" si="57"/>
        <v>13.557654507866708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1.9895196601282805E-13</v>
      </c>
      <c r="AJ76" s="14">
        <f>AI76*VLOOKUP('Données projet'!$B$10,Paramètres!$A$1:$I$89,3,0)*VLOOKUP('Données projet'!$B$10,Paramètres!$A$1:$I$89,5,0)</f>
        <v>1.738044375088066E-13</v>
      </c>
      <c r="AK76" s="14">
        <f t="shared" si="89"/>
        <v>2.4483293633950478E-12</v>
      </c>
      <c r="AL76" s="22">
        <f t="shared" si="58"/>
        <v>4.566883036574213E-12</v>
      </c>
      <c r="AM76" s="62">
        <f t="shared" si="59"/>
        <v>267.78278419792633</v>
      </c>
      <c r="AN76" s="62">
        <f ca="1">AVERAGE(OFFSET($AM$3,0,0,'Données projet'!$E$10+1,1))-AVERAGE(OFFSET($H$3,0,0,'Données projet'!$E$10+1,1))</f>
        <v>341.62910675299065</v>
      </c>
      <c r="AO76" s="62">
        <f t="shared" si="90"/>
        <v>407.15938341104709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7.7652477525434618</v>
      </c>
      <c r="AW76" s="23">
        <f>EXP(-LN(2)/2)*AW75+(1-EXP(-LN(2)/2))/(LN(2)/2)*AQ76*AT76*VLOOKUP('Données projet'!$B$10,Paramètres!$A$1:$I$89,3,0)*0.475*44/12</f>
        <v>6.1590059918611641E-6</v>
      </c>
      <c r="AX76" s="23">
        <f t="shared" si="60"/>
        <v>7.7652539115494532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847.90573543037658</v>
      </c>
      <c r="BI76" s="62">
        <f ca="1">AVERAGE(OFFSET($BH$3,0,0,'Données projet'!$E$11+1,1))-AVERAGE(OFFSET($H$3,0,0,'Données projet'!$E$11+1,1))</f>
        <v>472.83070477639035</v>
      </c>
      <c r="BJ76" s="62">
        <f t="shared" si="92"/>
        <v>297.32483725004136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2.7715335822751848</v>
      </c>
      <c r="BR76" s="23">
        <f>EXP(-LN(2)/2)*BR75+(1-EXP(-LN(2)/2))/(LN(2)/2)*BL76*BO76*VLOOKUP('Données projet'!$B$11,Paramètres!$A$1:$I$89,3,0)*0.475*44/12</f>
        <v>5.027200106205924E-6</v>
      </c>
      <c r="BS76" s="24">
        <f t="shared" si="63"/>
        <v>2.7715386094752912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-1.7053025658242404E-13</v>
      </c>
      <c r="BZ76" s="14">
        <f>BY76*VLOOKUP('Données projet'!$B$12,Paramètres!$A$1:$I$89,3,0)*VLOOKUP('Données projet'!$B$12,Paramètres!$A$1:$I$89,5,0)</f>
        <v>-9.3109520094003535E-14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262.64209686767367</v>
      </c>
      <c r="CE76" s="62">
        <f t="shared" si="94"/>
        <v>381.0342365342517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2.4809574931204281</v>
      </c>
      <c r="CL76" s="23">
        <f>EXP(-LN(2)/25)*CL75+(1-EXP(-LN(2)/25))/(LN(2)/25)*Calculateur!CG76*Calculateur!CI76*VLOOKUP('Données projet'!$B$12,Paramètres!$A$1:$I$89,3,0)*0.475*44/12</f>
        <v>3.9579165415175019</v>
      </c>
      <c r="CM76" s="23">
        <f>EXP(-LN(2)/2)*CM75+(1-EXP(-LN(2)/2))/(LN(2)/2)*CG76*CJ76*VLOOKUP('Données projet'!$B$12,Paramètres!$A$1:$I$89,3,0)*0.475*44/12</f>
        <v>4.171531335831941E-6</v>
      </c>
      <c r="CN76" s="24">
        <f t="shared" si="66"/>
        <v>6.4388782061692655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2.6</v>
      </c>
      <c r="CT76" s="13">
        <f>IF('Données projet'!$A$140&gt;35,CT75+CS76-DB75,IF(A76&lt;'Données projet'!$A$140,$CQ$205^A76,IF(A76='Données projet'!$A$140,'Données projet'!$B$140,CT75+CS76-DB75)))</f>
        <v>209.79999999999995</v>
      </c>
      <c r="CU76" s="18">
        <f>CT76*VLOOKUP('Données projet'!$B$13,Paramètres!$A$1:$I$89,3,0)*VLOOKUP('Données projet'!$B$13,Paramètres!$A$1:$I$89,5,0)</f>
        <v>153.82535999999996</v>
      </c>
      <c r="CV76" s="14">
        <f t="shared" si="95"/>
        <v>39.446634200901897</v>
      </c>
      <c r="CW76" s="22">
        <f t="shared" si="67"/>
        <v>336.61538989990407</v>
      </c>
      <c r="CX76" s="62">
        <f t="shared" si="68"/>
        <v>604.39817409782586</v>
      </c>
      <c r="CY76" s="62">
        <f ca="1">AVERAGE(OFFSET($CX$3,0,0,'Données projet'!$E$13+1,1))-AVERAGE(OFFSET($H$3,0,0,'Données projet'!$E$13+1,1))</f>
        <v>250.11765444522138</v>
      </c>
      <c r="CZ76" s="62">
        <f t="shared" si="96"/>
        <v>241.42920565698913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2.9554316778816383</v>
      </c>
      <c r="DH76" s="23">
        <f>EXP(-LN(2)/2)*DH75+(1-EXP(-LN(2)/2))/(LN(2)/2)*DB76*DE76*VLOOKUP('Données projet'!$B$13,Paramètres!$A$1:$I$89,3,0)*0.475*44/12</f>
        <v>1.6909992447376522E-5</v>
      </c>
      <c r="DI76" s="24">
        <f t="shared" si="69"/>
        <v>2.9554485878740855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419.0448820879102</v>
      </c>
      <c r="T77" s="62">
        <f t="shared" si="88"/>
        <v>553.33038335026379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6.3051319876987968</v>
      </c>
      <c r="AA77" s="23">
        <f>EXP(-LN(2)/25)*AA76+(1-EXP(-LN(2)/25))/(LN(2)/25)*Calculateur!V77*Calculateur!X77*VLOOKUP('Données projet'!$B$9,Paramètres!$A$1:$I$89,3,0)*0.475*44/12</f>
        <v>6.9315318053057116</v>
      </c>
      <c r="AB77" s="23">
        <f>EXP(-LN(2)/2)*AB76+(1-EXP(-LN(2)/2))/(LN(2)/2)*V77*Y77*VLOOKUP('Données projet'!$B$9,Paramètres!$A$1:$I$89,3,0)*0.475*44/12</f>
        <v>4.2736542231799927E-6</v>
      </c>
      <c r="AC77" s="24">
        <f t="shared" si="57"/>
        <v>13.236668066658732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1.9895196601282805E-13</v>
      </c>
      <c r="AJ77" s="14">
        <f>AI77*VLOOKUP('Données projet'!$B$10,Paramètres!$A$1:$I$89,3,0)*VLOOKUP('Données projet'!$B$10,Paramètres!$A$1:$I$89,5,0)</f>
        <v>1.738044375088066E-13</v>
      </c>
      <c r="AK77" s="14">
        <f t="shared" si="89"/>
        <v>2.4483293633950478E-12</v>
      </c>
      <c r="AL77" s="22">
        <f t="shared" si="58"/>
        <v>4.566883036574213E-12</v>
      </c>
      <c r="AM77" s="62">
        <f t="shared" si="59"/>
        <v>268.22602910295541</v>
      </c>
      <c r="AN77" s="62">
        <f ca="1">AVERAGE(OFFSET($AM$3,0,0,'Données projet'!$E$10+1,1))-AVERAGE(OFFSET($H$3,0,0,'Données projet'!$E$10+1,1))</f>
        <v>341.62910675299065</v>
      </c>
      <c r="AO77" s="62">
        <f t="shared" si="90"/>
        <v>407.15938341104709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7.5529066443935289</v>
      </c>
      <c r="AW77" s="23">
        <f>EXP(-LN(2)/2)*AW76+(1-EXP(-LN(2)/2))/(LN(2)/2)*AQ77*AT77*VLOOKUP('Données projet'!$B$10,Paramètres!$A$1:$I$89,3,0)*0.475*44/12</f>
        <v>4.3550749022136071E-6</v>
      </c>
      <c r="AX77" s="23">
        <f t="shared" si="60"/>
        <v>7.5529109994684314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862.86508442263937</v>
      </c>
      <c r="BI77" s="62">
        <f ca="1">AVERAGE(OFFSET($BH$3,0,0,'Données projet'!$E$11+1,1))-AVERAGE(OFFSET($H$3,0,0,'Données projet'!$E$11+1,1))</f>
        <v>472.83070477639035</v>
      </c>
      <c r="BJ77" s="62">
        <f t="shared" si="92"/>
        <v>297.32483725004136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2.6957458507192533</v>
      </c>
      <c r="BR77" s="23">
        <f>EXP(-LN(2)/2)*BR76+(1-EXP(-LN(2)/2))/(LN(2)/2)*BL77*BO77*VLOOKUP('Données projet'!$B$11,Paramètres!$A$1:$I$89,3,0)*0.475*44/12</f>
        <v>3.5547672854799408E-6</v>
      </c>
      <c r="BS77" s="24">
        <f t="shared" si="63"/>
        <v>2.6957494054865387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-1.7053025658242404E-13</v>
      </c>
      <c r="BZ77" s="14">
        <f>BY77*VLOOKUP('Données projet'!$B$12,Paramètres!$A$1:$I$89,3,0)*VLOOKUP('Données projet'!$B$12,Paramètres!$A$1:$I$89,5,0)</f>
        <v>-9.3109520094003535E-14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262.64209686767367</v>
      </c>
      <c r="CE77" s="62">
        <f t="shared" si="94"/>
        <v>381.0342365342517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2.4323074299149878</v>
      </c>
      <c r="CL77" s="23">
        <f>EXP(-LN(2)/25)*CL76+(1-EXP(-LN(2)/25))/(LN(2)/25)*Calculateur!CG77*Calculateur!CI77*VLOOKUP('Données projet'!$B$12,Paramètres!$A$1:$I$89,3,0)*0.475*44/12</f>
        <v>3.8496871055519208</v>
      </c>
      <c r="CM77" s="23">
        <f>EXP(-LN(2)/2)*CM76+(1-EXP(-LN(2)/2))/(LN(2)/2)*CG77*CJ77*VLOOKUP('Données projet'!$B$12,Paramètres!$A$1:$I$89,3,0)*0.475*44/12</f>
        <v>2.9497180954989426E-6</v>
      </c>
      <c r="CN77" s="24">
        <f t="shared" si="66"/>
        <v>6.2819974851850047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2.6</v>
      </c>
      <c r="CT77" s="13">
        <f>IF('Données projet'!$A$140&gt;35,CT76+CS77-DB76,IF(A77&lt;'Données projet'!$A$140,$CQ$205^A77,IF(A77='Données projet'!$A$140,'Données projet'!$B$140,CT76+CS77-DB76)))</f>
        <v>212.39999999999995</v>
      </c>
      <c r="CU77" s="18">
        <f>CT77*VLOOKUP('Données projet'!$B$13,Paramètres!$A$1:$I$89,3,0)*VLOOKUP('Données projet'!$B$13,Paramètres!$A$1:$I$89,5,0)</f>
        <v>155.73167999999995</v>
      </c>
      <c r="CV77" s="14">
        <f t="shared" si="95"/>
        <v>39.878274126270469</v>
      </c>
      <c r="CW77" s="22">
        <f t="shared" si="67"/>
        <v>340.68733676992099</v>
      </c>
      <c r="CX77" s="62">
        <f t="shared" si="68"/>
        <v>608.91336587287185</v>
      </c>
      <c r="CY77" s="62">
        <f ca="1">AVERAGE(OFFSET($CX$3,0,0,'Données projet'!$E$13+1,1))-AVERAGE(OFFSET($H$3,0,0,'Données projet'!$E$13+1,1))</f>
        <v>250.11765444522138</v>
      </c>
      <c r="CZ77" s="62">
        <f t="shared" si="96"/>
        <v>241.42920565698913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2.8746152432305676</v>
      </c>
      <c r="DH77" s="23">
        <f>EXP(-LN(2)/2)*DH76+(1-EXP(-LN(2)/2))/(LN(2)/2)*DB77*DE77*VLOOKUP('Données projet'!$B$13,Paramètres!$A$1:$I$89,3,0)*0.475*44/12</f>
        <v>1.1957170329353241E-5</v>
      </c>
      <c r="DI77" s="24">
        <f t="shared" si="69"/>
        <v>2.874627200400897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419.0448820879102</v>
      </c>
      <c r="T78" s="62">
        <f t="shared" si="88"/>
        <v>553.33038335026379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6.1814921951708</v>
      </c>
      <c r="AA78" s="23">
        <f>EXP(-LN(2)/25)*AA77+(1-EXP(-LN(2)/25))/(LN(2)/25)*Calculateur!V78*Calculateur!X78*VLOOKUP('Données projet'!$B$9,Paramètres!$A$1:$I$89,3,0)*0.475*44/12</f>
        <v>6.7419887035762116</v>
      </c>
      <c r="AB78" s="23">
        <f>EXP(-LN(2)/2)*AB77+(1-EXP(-LN(2)/2))/(LN(2)/2)*V78*Y78*VLOOKUP('Données projet'!$B$9,Paramètres!$A$1:$I$89,3,0)*0.475*44/12</f>
        <v>3.0219298816570999E-6</v>
      </c>
      <c r="AC78" s="24">
        <f t="shared" si="57"/>
        <v>12.923483920676894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1.9895196601282805E-13</v>
      </c>
      <c r="AJ78" s="14">
        <f>AI78*VLOOKUP('Données projet'!$B$10,Paramètres!$A$1:$I$89,3,0)*VLOOKUP('Données projet'!$B$10,Paramètres!$A$1:$I$89,5,0)</f>
        <v>1.738044375088066E-13</v>
      </c>
      <c r="AK78" s="14">
        <f t="shared" si="89"/>
        <v>2.4483293633950478E-12</v>
      </c>
      <c r="AL78" s="22">
        <f t="shared" si="58"/>
        <v>4.566883036574213E-12</v>
      </c>
      <c r="AM78" s="62">
        <f t="shared" si="59"/>
        <v>268.66158469982935</v>
      </c>
      <c r="AN78" s="62">
        <f ca="1">AVERAGE(OFFSET($AM$3,0,0,'Données projet'!$E$10+1,1))-AVERAGE(OFFSET($H$3,0,0,'Données projet'!$E$10+1,1))</f>
        <v>341.62910675299065</v>
      </c>
      <c r="AO78" s="62">
        <f t="shared" si="90"/>
        <v>407.15938341104709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7.3463720150124896</v>
      </c>
      <c r="AW78" s="23">
        <f>EXP(-LN(2)/2)*AW77+(1-EXP(-LN(2)/2))/(LN(2)/2)*AQ78*AT78*VLOOKUP('Données projet'!$B$10,Paramètres!$A$1:$I$89,3,0)*0.475*44/12</f>
        <v>3.079502995930582E-6</v>
      </c>
      <c r="AX78" s="23">
        <f t="shared" si="60"/>
        <v>7.3463750945154853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877.80937357948528</v>
      </c>
      <c r="BI78" s="62">
        <f ca="1">AVERAGE(OFFSET($BH$3,0,0,'Données projet'!$E$11+1,1))-AVERAGE(OFFSET($H$3,0,0,'Données projet'!$E$11+1,1))</f>
        <v>472.83070477639035</v>
      </c>
      <c r="BJ78" s="62">
        <f t="shared" si="92"/>
        <v>297.32483725004136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2.6220305386682221</v>
      </c>
      <c r="BR78" s="23">
        <f>EXP(-LN(2)/2)*BR77+(1-EXP(-LN(2)/2))/(LN(2)/2)*BL78*BO78*VLOOKUP('Données projet'!$B$11,Paramètres!$A$1:$I$89,3,0)*0.475*44/12</f>
        <v>2.513600053102962E-6</v>
      </c>
      <c r="BS78" s="24">
        <f t="shared" si="63"/>
        <v>2.6220330522682751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-1.7053025658242404E-13</v>
      </c>
      <c r="BZ78" s="14">
        <f>BY78*VLOOKUP('Données projet'!$B$12,Paramètres!$A$1:$I$89,3,0)*VLOOKUP('Données projet'!$B$12,Paramètres!$A$1:$I$89,5,0)</f>
        <v>-9.3109520094003535E-14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262.64209686767367</v>
      </c>
      <c r="CE78" s="62">
        <f t="shared" si="94"/>
        <v>381.0342365342517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2.3846113647753975</v>
      </c>
      <c r="CL78" s="23">
        <f>EXP(-LN(2)/25)*CL77+(1-EXP(-LN(2)/25))/(LN(2)/25)*Calculateur!CG78*Calculateur!CI78*VLOOKUP('Données projet'!$B$12,Paramètres!$A$1:$I$89,3,0)*0.475*44/12</f>
        <v>3.7444172092043573</v>
      </c>
      <c r="CM78" s="23">
        <f>EXP(-LN(2)/2)*CM77+(1-EXP(-LN(2)/2))/(LN(2)/2)*CG78*CJ78*VLOOKUP('Données projet'!$B$12,Paramètres!$A$1:$I$89,3,0)*0.475*44/12</f>
        <v>2.0857656679159705E-6</v>
      </c>
      <c r="CN78" s="24">
        <f t="shared" si="66"/>
        <v>6.129030659745422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215</v>
      </c>
      <c r="CR78" s="13">
        <f>VLOOKUP(A78,'Données projet'!$A$139:$I$159,9,0)</f>
        <v>2.6</v>
      </c>
      <c r="CS78" s="13">
        <f t="array" ref="CS78">INDEX(CR:CR,MIN(IF(ISNUMBER(CR78:CR274),ROW(CR78:CR274),"")))</f>
        <v>2.6</v>
      </c>
      <c r="CT78" s="13">
        <f>IF('Données projet'!$A$140&gt;35,CT77+CS78-DB77,IF(A78&lt;'Données projet'!$A$140,$CQ$205^A78,IF(A78='Données projet'!$A$140,'Données projet'!$B$140,CT77+CS78-DB77)))</f>
        <v>214.99999999999994</v>
      </c>
      <c r="CU78" s="18">
        <f>CT78*VLOOKUP('Données projet'!$B$13,Paramètres!$A$1:$I$89,3,0)*VLOOKUP('Données projet'!$B$13,Paramètres!$A$1:$I$89,5,0)</f>
        <v>157.63799999999995</v>
      </c>
      <c r="CV78" s="14">
        <f t="shared" si="95"/>
        <v>40.309299447434604</v>
      </c>
      <c r="CW78" s="22">
        <f t="shared" si="67"/>
        <v>344.75821320428184</v>
      </c>
      <c r="CX78" s="62">
        <f t="shared" si="68"/>
        <v>613.41979790410664</v>
      </c>
      <c r="CY78" s="62">
        <f ca="1">AVERAGE(OFFSET($CX$3,0,0,'Données projet'!$E$13+1,1))-AVERAGE(OFFSET($H$3,0,0,'Données projet'!$E$13+1,1))</f>
        <v>250.11765444522138</v>
      </c>
      <c r="CZ78" s="62">
        <f t="shared" si="96"/>
        <v>241.42920565698913</v>
      </c>
      <c r="DA78" s="16">
        <f>IF(ISNA(VLOOKUP(A78,'Données projet'!$A$139:$I$159,3,0)),0,VLOOKUP(A78,'Données projet'!$A$139:$I$159,3,0))</f>
        <v>13</v>
      </c>
      <c r="DB78" s="16">
        <f>IF(ISNA(VLOOKUP(A78,'Données projet'!$A$139:$I$159,4,0)),0,VLOOKUP(A78,'Données projet'!$A$139:$I$159,4,0))</f>
        <v>7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2.7960087382349821</v>
      </c>
      <c r="DH78" s="23">
        <f>EXP(-LN(2)/2)*DH77+(1-EXP(-LN(2)/2))/(LN(2)/2)*DB78*DE78*VLOOKUP('Données projet'!$B$13,Paramètres!$A$1:$I$89,3,0)*0.475*44/12</f>
        <v>8.4549962236882608E-6</v>
      </c>
      <c r="DI78" s="24">
        <f t="shared" si="69"/>
        <v>2.7960171932312057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419.0448820879102</v>
      </c>
      <c r="T79" s="62">
        <f t="shared" si="88"/>
        <v>553.33038335026379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6.0602769035614497</v>
      </c>
      <c r="AA79" s="23">
        <f>EXP(-LN(2)/25)*AA78+(1-EXP(-LN(2)/25))/(LN(2)/25)*Calculateur!V79*Calculateur!X79*VLOOKUP('Données projet'!$B$9,Paramètres!$A$1:$I$89,3,0)*0.475*44/12</f>
        <v>6.5576286679311435</v>
      </c>
      <c r="AB79" s="23">
        <f>EXP(-LN(2)/2)*AB78+(1-EXP(-LN(2)/2))/(LN(2)/2)*V79*Y79*VLOOKUP('Données projet'!$B$9,Paramètres!$A$1:$I$89,3,0)*0.475*44/12</f>
        <v>2.1368271115899964E-6</v>
      </c>
      <c r="AC79" s="24">
        <f t="shared" si="57"/>
        <v>12.617907708319704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1.9895196601282805E-13</v>
      </c>
      <c r="AJ79" s="14">
        <f>AI79*VLOOKUP('Données projet'!$B$10,Paramètres!$A$1:$I$89,3,0)*VLOOKUP('Données projet'!$B$10,Paramètres!$A$1:$I$89,5,0)</f>
        <v>1.738044375088066E-13</v>
      </c>
      <c r="AK79" s="14">
        <f t="shared" si="89"/>
        <v>2.4483293633950478E-12</v>
      </c>
      <c r="AL79" s="22">
        <f t="shared" si="58"/>
        <v>4.566883036574213E-12</v>
      </c>
      <c r="AM79" s="62">
        <f t="shared" si="59"/>
        <v>269.08958438085398</v>
      </c>
      <c r="AN79" s="62">
        <f ca="1">AVERAGE(OFFSET($AM$3,0,0,'Données projet'!$E$10+1,1))-AVERAGE(OFFSET($H$3,0,0,'Données projet'!$E$10+1,1))</f>
        <v>341.62910675299065</v>
      </c>
      <c r="AO79" s="62">
        <f t="shared" si="90"/>
        <v>407.15938341104709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7.1454850859330588</v>
      </c>
      <c r="AW79" s="23">
        <f>EXP(-LN(2)/2)*AW78+(1-EXP(-LN(2)/2))/(LN(2)/2)*AQ79*AT79*VLOOKUP('Données projet'!$B$10,Paramètres!$A$1:$I$89,3,0)*0.475*44/12</f>
        <v>2.1775374511068036E-6</v>
      </c>
      <c r="AX79" s="23">
        <f t="shared" si="60"/>
        <v>7.1454872634705096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838.51161983006114</v>
      </c>
      <c r="BI79" s="62">
        <f ca="1">AVERAGE(OFFSET($BH$3,0,0,'Données projet'!$E$11+1,1))-AVERAGE(OFFSET($H$3,0,0,'Données projet'!$E$11+1,1))</f>
        <v>472.83070477639035</v>
      </c>
      <c r="BJ79" s="62">
        <f t="shared" si="92"/>
        <v>297.32483725004136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2.5503309757017463</v>
      </c>
      <c r="BR79" s="23">
        <f>EXP(-LN(2)/2)*BR78+(1-EXP(-LN(2)/2))/(LN(2)/2)*BL79*BO79*VLOOKUP('Données projet'!$B$11,Paramètres!$A$1:$I$89,3,0)*0.475*44/12</f>
        <v>1.7773836427399704E-6</v>
      </c>
      <c r="BS79" s="24">
        <f t="shared" si="63"/>
        <v>2.5503327530853892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-1.7053025658242404E-13</v>
      </c>
      <c r="BZ79" s="14">
        <f>BY79*VLOOKUP('Données projet'!$B$12,Paramètres!$A$1:$I$89,3,0)*VLOOKUP('Données projet'!$B$12,Paramètres!$A$1:$I$89,5,0)</f>
        <v>-9.3109520094003535E-14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262.64209686767367</v>
      </c>
      <c r="CE79" s="62">
        <f t="shared" si="94"/>
        <v>381.0342365342517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2.3378505903814677</v>
      </c>
      <c r="CL79" s="23">
        <f>EXP(-LN(2)/25)*CL78+(1-EXP(-LN(2)/25))/(LN(2)/25)*Calculateur!CG79*Calculateur!CI79*VLOOKUP('Données projet'!$B$12,Paramètres!$A$1:$I$89,3,0)*0.475*44/12</f>
        <v>3.6420259237083212</v>
      </c>
      <c r="CM79" s="23">
        <f>EXP(-LN(2)/2)*CM78+(1-EXP(-LN(2)/2))/(LN(2)/2)*CG79*CJ79*VLOOKUP('Données projet'!$B$12,Paramètres!$A$1:$I$89,3,0)*0.475*44/12</f>
        <v>1.4748590477494713E-6</v>
      </c>
      <c r="CN79" s="24">
        <f t="shared" si="66"/>
        <v>5.9798779889488358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2.2000000000000002</v>
      </c>
      <c r="CT79" s="13">
        <f>IF('Données projet'!$A$140&gt;35,CT78+CS79-DB78,IF(A79&lt;'Données projet'!$A$140,$CQ$205^A79,IF(A79='Données projet'!$A$140,'Données projet'!$B$140,CT78+CS79-DB78)))</f>
        <v>210.19999999999993</v>
      </c>
      <c r="CU79" s="18">
        <f>CT79*VLOOKUP('Données projet'!$B$13,Paramètres!$A$1:$I$89,3,0)*VLOOKUP('Données projet'!$B$13,Paramètres!$A$1:$I$89,5,0)</f>
        <v>154.11863999999994</v>
      </c>
      <c r="CV79" s="14">
        <f t="shared" si="95"/>
        <v>39.513080685376558</v>
      </c>
      <c r="CW79" s="22">
        <f t="shared" si="67"/>
        <v>337.2419135270307</v>
      </c>
      <c r="CX79" s="62">
        <f t="shared" si="68"/>
        <v>606.33149790788013</v>
      </c>
      <c r="CY79" s="62">
        <f ca="1">AVERAGE(OFFSET($CX$3,0,0,'Données projet'!$E$13+1,1))-AVERAGE(OFFSET($H$3,0,0,'Données projet'!$E$13+1,1))</f>
        <v>250.11765444522138</v>
      </c>
      <c r="CZ79" s="62">
        <f t="shared" si="96"/>
        <v>241.42920565698913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2.7195517322522371</v>
      </c>
      <c r="DH79" s="23">
        <f>EXP(-LN(2)/2)*DH78+(1-EXP(-LN(2)/2))/(LN(2)/2)*DB79*DE79*VLOOKUP('Données projet'!$B$13,Paramètres!$A$1:$I$89,3,0)*0.475*44/12</f>
        <v>5.9785851646766207E-6</v>
      </c>
      <c r="DI79" s="24">
        <f t="shared" si="69"/>
        <v>2.7195577108374018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419.0448820879102</v>
      </c>
      <c r="T80" s="62">
        <f t="shared" si="88"/>
        <v>553.33038335026379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5.9414385698865315</v>
      </c>
      <c r="AA80" s="23">
        <f>EXP(-LN(2)/25)*AA79+(1-EXP(-LN(2)/25))/(LN(2)/25)*Calculateur!V80*Calculateur!X80*VLOOKUP('Données projet'!$B$9,Paramètres!$A$1:$I$89,3,0)*0.475*44/12</f>
        <v>6.3783099671558627</v>
      </c>
      <c r="AB80" s="23">
        <f>EXP(-LN(2)/2)*AB79+(1-EXP(-LN(2)/2))/(LN(2)/2)*V80*Y80*VLOOKUP('Données projet'!$B$9,Paramètres!$A$1:$I$89,3,0)*0.475*44/12</f>
        <v>1.5109649408285499E-6</v>
      </c>
      <c r="AC80" s="24">
        <f t="shared" si="57"/>
        <v>12.319750048007334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1.9895196601282805E-13</v>
      </c>
      <c r="AJ80" s="14">
        <f>AI80*VLOOKUP('Données projet'!$B$10,Paramètres!$A$1:$I$89,3,0)*VLOOKUP('Données projet'!$B$10,Paramètres!$A$1:$I$89,5,0)</f>
        <v>1.738044375088066E-13</v>
      </c>
      <c r="AK80" s="14">
        <f t="shared" si="89"/>
        <v>2.4483293633950478E-12</v>
      </c>
      <c r="AL80" s="22">
        <f t="shared" si="58"/>
        <v>4.566883036574213E-12</v>
      </c>
      <c r="AM80" s="62">
        <f t="shared" si="59"/>
        <v>269.51015922427683</v>
      </c>
      <c r="AN80" s="62">
        <f ca="1">AVERAGE(OFFSET($AM$3,0,0,'Données projet'!$E$10+1,1))-AVERAGE(OFFSET($H$3,0,0,'Données projet'!$E$10+1,1))</f>
        <v>341.62910675299065</v>
      </c>
      <c r="AO80" s="62">
        <f t="shared" si="90"/>
        <v>407.15938341104709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6.9500914204934894</v>
      </c>
      <c r="AW80" s="23">
        <f>EXP(-LN(2)/2)*AW79+(1-EXP(-LN(2)/2))/(LN(2)/2)*AQ80*AT80*VLOOKUP('Données projet'!$B$10,Paramètres!$A$1:$I$89,3,0)*0.475*44/12</f>
        <v>1.539751497965291E-6</v>
      </c>
      <c r="AX80" s="23">
        <f t="shared" si="60"/>
        <v>6.9500929602449872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852.68975517110448</v>
      </c>
      <c r="BI80" s="62">
        <f ca="1">AVERAGE(OFFSET($BH$3,0,0,'Données projet'!$E$11+1,1))-AVERAGE(OFFSET($H$3,0,0,'Données projet'!$E$11+1,1))</f>
        <v>472.83070477639035</v>
      </c>
      <c r="BJ80" s="62">
        <f t="shared" si="92"/>
        <v>297.32483725004136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2.4805920410551048</v>
      </c>
      <c r="BR80" s="23">
        <f>EXP(-LN(2)/2)*BR79+(1-EXP(-LN(2)/2))/(LN(2)/2)*BL80*BO80*VLOOKUP('Données projet'!$B$11,Paramètres!$A$1:$I$89,3,0)*0.475*44/12</f>
        <v>1.256800026551481E-6</v>
      </c>
      <c r="BS80" s="24">
        <f t="shared" si="63"/>
        <v>2.4805932978551315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-1.7053025658242404E-13</v>
      </c>
      <c r="BZ80" s="14">
        <f>BY80*VLOOKUP('Données projet'!$B$12,Paramètres!$A$1:$I$89,3,0)*VLOOKUP('Données projet'!$B$12,Paramètres!$A$1:$I$89,5,0)</f>
        <v>-9.3109520094003535E-14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262.64209686767367</v>
      </c>
      <c r="CE80" s="62">
        <f t="shared" si="94"/>
        <v>381.0342365342517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2.2920067662521464</v>
      </c>
      <c r="CL80" s="23">
        <f>EXP(-LN(2)/25)*CL79+(1-EXP(-LN(2)/25))/(LN(2)/25)*Calculateur!CG80*Calculateur!CI80*VLOOKUP('Données projet'!$B$12,Paramètres!$A$1:$I$89,3,0)*0.475*44/12</f>
        <v>3.5424345332986977</v>
      </c>
      <c r="CM80" s="23">
        <f>EXP(-LN(2)/2)*CM79+(1-EXP(-LN(2)/2))/(LN(2)/2)*CG80*CJ80*VLOOKUP('Données projet'!$B$12,Paramètres!$A$1:$I$89,3,0)*0.475*44/12</f>
        <v>1.0428828339579852E-6</v>
      </c>
      <c r="CN80" s="24">
        <f t="shared" si="66"/>
        <v>5.8344423424336789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2.2000000000000002</v>
      </c>
      <c r="CT80" s="13">
        <f>IF('Données projet'!$A$140&gt;35,CT79+CS80-DB79,IF(A80&lt;'Données projet'!$A$140,$CQ$205^A80,IF(A80='Données projet'!$A$140,'Données projet'!$B$140,CT79+CS80-DB79)))</f>
        <v>212.39999999999992</v>
      </c>
      <c r="CU80" s="18">
        <f>CT80*VLOOKUP('Données projet'!$B$13,Paramètres!$A$1:$I$89,3,0)*VLOOKUP('Données projet'!$B$13,Paramètres!$A$1:$I$89,5,0)</f>
        <v>155.73167999999995</v>
      </c>
      <c r="CV80" s="14">
        <f t="shared" si="95"/>
        <v>39.878274126270469</v>
      </c>
      <c r="CW80" s="22">
        <f t="shared" si="67"/>
        <v>340.68733676992099</v>
      </c>
      <c r="CX80" s="62">
        <f t="shared" si="68"/>
        <v>610.19749599419333</v>
      </c>
      <c r="CY80" s="62">
        <f ca="1">AVERAGE(OFFSET($CX$3,0,0,'Données projet'!$E$13+1,1))-AVERAGE(OFFSET($H$3,0,0,'Données projet'!$E$13+1,1))</f>
        <v>250.11765444522138</v>
      </c>
      <c r="CZ80" s="62">
        <f t="shared" si="96"/>
        <v>241.42920565698913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2.6451854471187897</v>
      </c>
      <c r="DH80" s="23">
        <f>EXP(-LN(2)/2)*DH79+(1-EXP(-LN(2)/2))/(LN(2)/2)*DB80*DE80*VLOOKUP('Données projet'!$B$13,Paramètres!$A$1:$I$89,3,0)*0.475*44/12</f>
        <v>4.2274981118441304E-6</v>
      </c>
      <c r="DI80" s="24">
        <f t="shared" si="69"/>
        <v>2.6451896746169017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419.0448820879102</v>
      </c>
      <c r="T81" s="62">
        <f t="shared" si="88"/>
        <v>553.33038335026379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5.8249305834507519</v>
      </c>
      <c r="AA81" s="23">
        <f>EXP(-LN(2)/25)*AA80+(1-EXP(-LN(2)/25))/(LN(2)/25)*Calculateur!V81*Calculateur!X81*VLOOKUP('Données projet'!$B$9,Paramètres!$A$1:$I$89,3,0)*0.475*44/12</f>
        <v>6.2038947456832423</v>
      </c>
      <c r="AB81" s="23">
        <f>EXP(-LN(2)/2)*AB80+(1-EXP(-LN(2)/2))/(LN(2)/2)*V81*Y81*VLOOKUP('Données projet'!$B$9,Paramètres!$A$1:$I$89,3,0)*0.475*44/12</f>
        <v>1.0684135557949982E-6</v>
      </c>
      <c r="AC81" s="24">
        <f t="shared" si="57"/>
        <v>12.028826397547549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1.9895196601282805E-13</v>
      </c>
      <c r="AJ81" s="14">
        <f>AI81*VLOOKUP('Données projet'!$B$10,Paramètres!$A$1:$I$89,3,0)*VLOOKUP('Données projet'!$B$10,Paramètres!$A$1:$I$89,5,0)</f>
        <v>1.738044375088066E-13</v>
      </c>
      <c r="AK81" s="14">
        <f t="shared" si="89"/>
        <v>2.4483293633950478E-12</v>
      </c>
      <c r="AL81" s="22">
        <f t="shared" si="58"/>
        <v>4.566883036574213E-12</v>
      </c>
      <c r="AM81" s="62">
        <f t="shared" si="59"/>
        <v>269.92343803443077</v>
      </c>
      <c r="AN81" s="62">
        <f ca="1">AVERAGE(OFFSET($AM$3,0,0,'Données projet'!$E$10+1,1))-AVERAGE(OFFSET($H$3,0,0,'Données projet'!$E$10+1,1))</f>
        <v>341.62910675299065</v>
      </c>
      <c r="AO81" s="62">
        <f t="shared" si="90"/>
        <v>407.15938341104709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6.7600408051106715</v>
      </c>
      <c r="AW81" s="23">
        <f>EXP(-LN(2)/2)*AW80+(1-EXP(-LN(2)/2))/(LN(2)/2)*AQ81*AT81*VLOOKUP('Données projet'!$B$10,Paramètres!$A$1:$I$89,3,0)*0.475*44/12</f>
        <v>1.0887687255534018E-6</v>
      </c>
      <c r="AX81" s="23">
        <f t="shared" si="60"/>
        <v>6.7600418938793974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866.8538307678042</v>
      </c>
      <c r="BI81" s="62">
        <f ca="1">AVERAGE(OFFSET($BH$3,0,0,'Données projet'!$E$11+1,1))-AVERAGE(OFFSET($H$3,0,0,'Données projet'!$E$11+1,1))</f>
        <v>472.83070477639035</v>
      </c>
      <c r="BJ81" s="62">
        <f t="shared" si="92"/>
        <v>297.32483725004136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2.412760121243787</v>
      </c>
      <c r="BR81" s="23">
        <f>EXP(-LN(2)/2)*BR80+(1-EXP(-LN(2)/2))/(LN(2)/2)*BL81*BO81*VLOOKUP('Données projet'!$B$11,Paramètres!$A$1:$I$89,3,0)*0.475*44/12</f>
        <v>8.886918213699852E-7</v>
      </c>
      <c r="BS81" s="24">
        <f t="shared" si="63"/>
        <v>2.4127610099356085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-1.7053025658242404E-13</v>
      </c>
      <c r="BZ81" s="14">
        <f>BY81*VLOOKUP('Données projet'!$B$12,Paramètres!$A$1:$I$89,3,0)*VLOOKUP('Données projet'!$B$12,Paramètres!$A$1:$I$89,5,0)</f>
        <v>-9.3109520094003535E-14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262.64209686767367</v>
      </c>
      <c r="CE81" s="62">
        <f t="shared" si="94"/>
        <v>381.0342365342517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2.2470619115520294</v>
      </c>
      <c r="CL81" s="23">
        <f>EXP(-LN(2)/25)*CL80+(1-EXP(-LN(2)/25))/(LN(2)/25)*Calculateur!CG81*Calculateur!CI81*VLOOKUP('Données projet'!$B$12,Paramètres!$A$1:$I$89,3,0)*0.475*44/12</f>
        <v>3.4455664746971091</v>
      </c>
      <c r="CM81" s="23">
        <f>EXP(-LN(2)/2)*CM80+(1-EXP(-LN(2)/2))/(LN(2)/2)*CG81*CJ81*VLOOKUP('Données projet'!$B$12,Paramètres!$A$1:$I$89,3,0)*0.475*44/12</f>
        <v>7.3742952387473566E-7</v>
      </c>
      <c r="CN81" s="24">
        <f t="shared" si="66"/>
        <v>5.6926291236786621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2.2000000000000002</v>
      </c>
      <c r="CT81" s="13">
        <f>IF('Données projet'!$A$140&gt;35,CT80+CS81-DB80,IF(A81&lt;'Données projet'!$A$140,$CQ$205^A81,IF(A81='Données projet'!$A$140,'Données projet'!$B$140,CT80+CS81-DB80)))</f>
        <v>214.59999999999991</v>
      </c>
      <c r="CU81" s="18">
        <f>CT81*VLOOKUP('Données projet'!$B$13,Paramètres!$A$1:$I$89,3,0)*VLOOKUP('Données projet'!$B$13,Paramètres!$A$1:$I$89,5,0)</f>
        <v>157.34471999999994</v>
      </c>
      <c r="CV81" s="14">
        <f t="shared" si="95"/>
        <v>40.243027528788531</v>
      </c>
      <c r="CW81" s="22">
        <f t="shared" si="67"/>
        <v>344.13199361263992</v>
      </c>
      <c r="CX81" s="62">
        <f t="shared" si="68"/>
        <v>614.05543164706614</v>
      </c>
      <c r="CY81" s="62">
        <f ca="1">AVERAGE(OFFSET($CX$3,0,0,'Données projet'!$E$13+1,1))-AVERAGE(OFFSET($H$3,0,0,'Données projet'!$E$13+1,1))</f>
        <v>250.11765444522138</v>
      </c>
      <c r="CZ81" s="62">
        <f t="shared" si="96"/>
        <v>241.42920565698913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2.5728527119630695</v>
      </c>
      <c r="DH81" s="23">
        <f>EXP(-LN(2)/2)*DH80+(1-EXP(-LN(2)/2))/(LN(2)/2)*DB81*DE81*VLOOKUP('Données projet'!$B$13,Paramètres!$A$1:$I$89,3,0)*0.475*44/12</f>
        <v>2.9892925823383104E-6</v>
      </c>
      <c r="DI81" s="24">
        <f t="shared" si="69"/>
        <v>2.5728557012556519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419.0448820879102</v>
      </c>
      <c r="T82" s="62">
        <f t="shared" si="88"/>
        <v>553.33038335026379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5.7107072475661234</v>
      </c>
      <c r="AA82" s="23">
        <f>EXP(-LN(2)/25)*AA81+(1-EXP(-LN(2)/25))/(LN(2)/25)*Calculateur!V82*Calculateur!X82*VLOOKUP('Données projet'!$B$9,Paramètres!$A$1:$I$89,3,0)*0.475*44/12</f>
        <v>6.0342489176138887</v>
      </c>
      <c r="AB82" s="23">
        <f>EXP(-LN(2)/2)*AB81+(1-EXP(-LN(2)/2))/(LN(2)/2)*V82*Y82*VLOOKUP('Données projet'!$B$9,Paramètres!$A$1:$I$89,3,0)*0.475*44/12</f>
        <v>7.5548247041427497E-7</v>
      </c>
      <c r="AC82" s="24">
        <f t="shared" si="57"/>
        <v>11.744956920662483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1.9895196601282805E-13</v>
      </c>
      <c r="AJ82" s="14">
        <f>AI82*VLOOKUP('Données projet'!$B$10,Paramètres!$A$1:$I$89,3,0)*VLOOKUP('Données projet'!$B$10,Paramètres!$A$1:$I$89,5,0)</f>
        <v>1.738044375088066E-13</v>
      </c>
      <c r="AK82" s="14">
        <f t="shared" si="89"/>
        <v>2.4483293633950478E-12</v>
      </c>
      <c r="AL82" s="22">
        <f t="shared" si="58"/>
        <v>4.566883036574213E-12</v>
      </c>
      <c r="AM82" s="62">
        <f t="shared" si="59"/>
        <v>270.3295473811815</v>
      </c>
      <c r="AN82" s="62">
        <f ca="1">AVERAGE(OFFSET($AM$3,0,0,'Données projet'!$E$10+1,1))-AVERAGE(OFFSET($H$3,0,0,'Données projet'!$E$10+1,1))</f>
        <v>341.62910675299065</v>
      </c>
      <c r="AO82" s="62">
        <f t="shared" si="90"/>
        <v>407.15938341104709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6.5751871337998242</v>
      </c>
      <c r="AW82" s="23">
        <f>EXP(-LN(2)/2)*AW81+(1-EXP(-LN(2)/2))/(LN(2)/2)*AQ82*AT82*VLOOKUP('Données projet'!$B$10,Paramètres!$A$1:$I$89,3,0)*0.475*44/12</f>
        <v>7.6987574898264551E-7</v>
      </c>
      <c r="AX82" s="23">
        <f t="shared" si="60"/>
        <v>6.5751879036755732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881.00415088284853</v>
      </c>
      <c r="BI82" s="62">
        <f ca="1">AVERAGE(OFFSET($BH$3,0,0,'Données projet'!$E$11+1,1))-AVERAGE(OFFSET($H$3,0,0,'Données projet'!$E$11+1,1))</f>
        <v>472.83070477639035</v>
      </c>
      <c r="BJ82" s="62">
        <f t="shared" si="92"/>
        <v>297.32483725004136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2.3467830688468352</v>
      </c>
      <c r="BR82" s="23">
        <f>EXP(-LN(2)/2)*BR81+(1-EXP(-LN(2)/2))/(LN(2)/2)*BL82*BO82*VLOOKUP('Données projet'!$B$11,Paramètres!$A$1:$I$89,3,0)*0.475*44/12</f>
        <v>6.2840001327574049E-7</v>
      </c>
      <c r="BS82" s="24">
        <f t="shared" si="63"/>
        <v>2.3467836972468485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-1.7053025658242404E-13</v>
      </c>
      <c r="BZ82" s="14">
        <f>BY82*VLOOKUP('Données projet'!$B$12,Paramètres!$A$1:$I$89,3,0)*VLOOKUP('Données projet'!$B$12,Paramètres!$A$1:$I$89,5,0)</f>
        <v>-9.3109520094003535E-14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262.64209686767367</v>
      </c>
      <c r="CE82" s="62">
        <f t="shared" si="94"/>
        <v>381.0342365342517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2.2029983980389272</v>
      </c>
      <c r="CL82" s="23">
        <f>EXP(-LN(2)/25)*CL81+(1-EXP(-LN(2)/25))/(LN(2)/25)*Calculateur!CG82*Calculateur!CI82*VLOOKUP('Données projet'!$B$12,Paramètres!$A$1:$I$89,3,0)*0.475*44/12</f>
        <v>3.3513472782520508</v>
      </c>
      <c r="CM82" s="23">
        <f>EXP(-LN(2)/2)*CM81+(1-EXP(-LN(2)/2))/(LN(2)/2)*CG82*CJ82*VLOOKUP('Données projet'!$B$12,Paramètres!$A$1:$I$89,3,0)*0.475*44/12</f>
        <v>5.2144141697899262E-7</v>
      </c>
      <c r="CN82" s="24">
        <f t="shared" si="66"/>
        <v>5.5543461977323956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2.2000000000000002</v>
      </c>
      <c r="CT82" s="13">
        <f>IF('Données projet'!$A$140&gt;35,CT81+CS82-DB81,IF(A82&lt;'Données projet'!$A$140,$CQ$205^A82,IF(A82='Données projet'!$A$140,'Données projet'!$B$140,CT81+CS82-DB81)))</f>
        <v>216.7999999999999</v>
      </c>
      <c r="CU82" s="18">
        <f>CT82*VLOOKUP('Données projet'!$B$13,Paramètres!$A$1:$I$89,3,0)*VLOOKUP('Données projet'!$B$13,Paramètres!$A$1:$I$89,5,0)</f>
        <v>158.95775999999992</v>
      </c>
      <c r="CV82" s="14">
        <f t="shared" si="95"/>
        <v>40.607345926308611</v>
      </c>
      <c r="CW82" s="22">
        <f t="shared" si="67"/>
        <v>347.57589282165401</v>
      </c>
      <c r="CX82" s="62">
        <f t="shared" si="68"/>
        <v>617.90544020283096</v>
      </c>
      <c r="CY82" s="62">
        <f ca="1">AVERAGE(OFFSET($CX$3,0,0,'Données projet'!$E$13+1,1))-AVERAGE(OFFSET($H$3,0,0,'Données projet'!$E$13+1,1))</f>
        <v>250.11765444522138</v>
      </c>
      <c r="CZ82" s="62">
        <f t="shared" si="96"/>
        <v>241.42920565698913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2.5024979192539956</v>
      </c>
      <c r="DH82" s="23">
        <f>EXP(-LN(2)/2)*DH81+(1-EXP(-LN(2)/2))/(LN(2)/2)*DB82*DE82*VLOOKUP('Données projet'!$B$13,Paramètres!$A$1:$I$89,3,0)*0.475*44/12</f>
        <v>2.1137490559220652E-6</v>
      </c>
      <c r="DI82" s="24">
        <f t="shared" si="69"/>
        <v>2.5025000330030513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419.0448820879102</v>
      </c>
      <c r="T83" s="62">
        <f t="shared" si="88"/>
        <v>553.33038335026379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5.5987237616288361</v>
      </c>
      <c r="AA83" s="23">
        <f>EXP(-LN(2)/25)*AA82+(1-EXP(-LN(2)/25))/(LN(2)/25)*Calculateur!V83*Calculateur!X83*VLOOKUP('Données projet'!$B$9,Paramètres!$A$1:$I$89,3,0)*0.475*44/12</f>
        <v>5.8692420636343776</v>
      </c>
      <c r="AB83" s="23">
        <f>EXP(-LN(2)/2)*AB82+(1-EXP(-LN(2)/2))/(LN(2)/2)*V83*Y83*VLOOKUP('Données projet'!$B$9,Paramètres!$A$1:$I$89,3,0)*0.475*44/12</f>
        <v>5.3420677789749909E-7</v>
      </c>
      <c r="AC83" s="24">
        <f t="shared" si="57"/>
        <v>11.467966359469992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1.9895196601282805E-13</v>
      </c>
      <c r="AJ83" s="14">
        <f>AI83*VLOOKUP('Données projet'!$B$10,Paramètres!$A$1:$I$89,3,0)*VLOOKUP('Données projet'!$B$10,Paramètres!$A$1:$I$89,5,0)</f>
        <v>1.738044375088066E-13</v>
      </c>
      <c r="AK83" s="14">
        <f t="shared" si="89"/>
        <v>2.4483293633950478E-12</v>
      </c>
      <c r="AL83" s="22">
        <f t="shared" si="58"/>
        <v>4.566883036574213E-12</v>
      </c>
      <c r="AM83" s="62">
        <f t="shared" si="59"/>
        <v>270.72861163869067</v>
      </c>
      <c r="AN83" s="62">
        <f ca="1">AVERAGE(OFFSET($AM$3,0,0,'Données projet'!$E$10+1,1))-AVERAGE(OFFSET($H$3,0,0,'Données projet'!$E$10+1,1))</f>
        <v>341.62910675299065</v>
      </c>
      <c r="AO83" s="62">
        <f t="shared" si="90"/>
        <v>407.15938341104709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6.3953882958520047</v>
      </c>
      <c r="AW83" s="23">
        <f>EXP(-LN(2)/2)*AW82+(1-EXP(-LN(2)/2))/(LN(2)/2)*AQ83*AT83*VLOOKUP('Données projet'!$B$10,Paramètres!$A$1:$I$89,3,0)*0.475*44/12</f>
        <v>5.4438436277670089E-7</v>
      </c>
      <c r="AX83" s="23">
        <f t="shared" si="60"/>
        <v>6.3953888402363672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895.14100893618843</v>
      </c>
      <c r="BI83" s="62">
        <f ca="1">AVERAGE(OFFSET($BH$3,0,0,'Données projet'!$E$11+1,1))-AVERAGE(OFFSET($H$3,0,0,'Données projet'!$E$11+1,1))</f>
        <v>472.83070477639035</v>
      </c>
      <c r="BJ83" s="62">
        <f t="shared" si="92"/>
        <v>297.32483725004136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2.2826101624172606</v>
      </c>
      <c r="BR83" s="23">
        <f>EXP(-LN(2)/2)*BR82+(1-EXP(-LN(2)/2))/(LN(2)/2)*BL83*BO83*VLOOKUP('Données projet'!$B$11,Paramètres!$A$1:$I$89,3,0)*0.475*44/12</f>
        <v>4.443459106849926E-7</v>
      </c>
      <c r="BS83" s="24">
        <f t="shared" si="63"/>
        <v>2.2826106067631713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-1.7053025658242404E-13</v>
      </c>
      <c r="BZ83" s="14">
        <f>BY83*VLOOKUP('Données projet'!$B$12,Paramètres!$A$1:$I$89,3,0)*VLOOKUP('Données projet'!$B$12,Paramètres!$A$1:$I$89,5,0)</f>
        <v>-9.3109520094003535E-14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262.64209686767367</v>
      </c>
      <c r="CE83" s="62">
        <f t="shared" si="94"/>
        <v>381.0342365342517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2.1597989431497275</v>
      </c>
      <c r="CL83" s="23">
        <f>EXP(-LN(2)/25)*CL82+(1-EXP(-LN(2)/25))/(LN(2)/25)*Calculateur!CG83*Calculateur!CI83*VLOOKUP('Données projet'!$B$12,Paramètres!$A$1:$I$89,3,0)*0.475*44/12</f>
        <v>3.2597045106885547</v>
      </c>
      <c r="CM83" s="23">
        <f>EXP(-LN(2)/2)*CM82+(1-EXP(-LN(2)/2))/(LN(2)/2)*CG83*CJ83*VLOOKUP('Données projet'!$B$12,Paramètres!$A$1:$I$89,3,0)*0.475*44/12</f>
        <v>3.6871476193736783E-7</v>
      </c>
      <c r="CN83" s="24">
        <f t="shared" si="66"/>
        <v>5.4195038225530441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219</v>
      </c>
      <c r="CR83" s="13">
        <f>VLOOKUP(A83,'Données projet'!$A$139:$I$159,9,0)</f>
        <v>2.2000000000000002</v>
      </c>
      <c r="CS83" s="13">
        <f t="array" ref="CS83">INDEX(CR:CR,MIN(IF(ISNUMBER(CR83:CR279),ROW(CR83:CR279),"")))</f>
        <v>2.2000000000000002</v>
      </c>
      <c r="CT83" s="13">
        <f>IF('Données projet'!$A$140&gt;35,CT82+CS83-DB82,IF(A83&lt;'Données projet'!$A$140,$CQ$205^A83,IF(A83='Données projet'!$A$140,'Données projet'!$B$140,CT82+CS83-DB82)))</f>
        <v>218.99999999999989</v>
      </c>
      <c r="CU83" s="18">
        <f>CT83*VLOOKUP('Données projet'!$B$13,Paramètres!$A$1:$I$89,3,0)*VLOOKUP('Données projet'!$B$13,Paramètres!$A$1:$I$89,5,0)</f>
        <v>160.57079999999991</v>
      </c>
      <c r="CV83" s="14">
        <f t="shared" si="95"/>
        <v>40.97123424416818</v>
      </c>
      <c r="CW83" s="22">
        <f t="shared" si="67"/>
        <v>351.01904297525942</v>
      </c>
      <c r="CX83" s="62">
        <f t="shared" si="68"/>
        <v>621.74765461394554</v>
      </c>
      <c r="CY83" s="62">
        <f ca="1">AVERAGE(OFFSET($CX$3,0,0,'Données projet'!$E$13+1,1))-AVERAGE(OFFSET($H$3,0,0,'Données projet'!$E$13+1,1))</f>
        <v>250.11765444522138</v>
      </c>
      <c r="CZ83" s="62">
        <f t="shared" si="96"/>
        <v>241.42920565698913</v>
      </c>
      <c r="DA83" s="16">
        <f>IF(ISNA(VLOOKUP(A83,'Données projet'!$A$139:$I$159,3,0)),0,VLOOKUP(A83,'Données projet'!$A$139:$I$159,3,0))</f>
        <v>14</v>
      </c>
      <c r="DB83" s="16">
        <f>IF(ISNA(VLOOKUP(A83,'Données projet'!$A$139:$I$159,4,0)),0,VLOOKUP(A83,'Données projet'!$A$139:$I$159,4,0))</f>
        <v>219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2.4340669820513492</v>
      </c>
      <c r="DH83" s="23">
        <f>EXP(-LN(2)/2)*DH82+(1-EXP(-LN(2)/2))/(LN(2)/2)*DB83*DE83*VLOOKUP('Données projet'!$B$13,Paramètres!$A$1:$I$89,3,0)*0.475*44/12</f>
        <v>1.4946462911691552E-6</v>
      </c>
      <c r="DI83" s="24">
        <f t="shared" si="69"/>
        <v>2.4340684766976404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419.0448820879102</v>
      </c>
      <c r="T84" s="62">
        <f t="shared" si="88"/>
        <v>553.33038335026379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5.4889362035475973</v>
      </c>
      <c r="AA84" s="23">
        <f>EXP(-LN(2)/25)*AA83+(1-EXP(-LN(2)/25))/(LN(2)/25)*Calculateur!V84*Calculateur!X84*VLOOKUP('Données projet'!$B$9,Paramètres!$A$1:$I$89,3,0)*0.475*44/12</f>
        <v>5.70874733075427</v>
      </c>
      <c r="AB84" s="23">
        <f>EXP(-LN(2)/2)*AB83+(1-EXP(-LN(2)/2))/(LN(2)/2)*V84*Y84*VLOOKUP('Données projet'!$B$9,Paramètres!$A$1:$I$89,3,0)*0.475*44/12</f>
        <v>3.7774123520713749E-7</v>
      </c>
      <c r="AC84" s="24">
        <f t="shared" si="57"/>
        <v>11.197683912043102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1.9895196601282805E-13</v>
      </c>
      <c r="AJ84" s="14">
        <f>AI84*VLOOKUP('Données projet'!$B$10,Paramètres!$A$1:$I$89,3,0)*VLOOKUP('Données projet'!$B$10,Paramètres!$A$1:$I$89,5,0)</f>
        <v>1.738044375088066E-13</v>
      </c>
      <c r="AK84" s="14">
        <f t="shared" si="89"/>
        <v>2.4483293633950478E-12</v>
      </c>
      <c r="AL84" s="22">
        <f t="shared" si="58"/>
        <v>4.566883036574213E-12</v>
      </c>
      <c r="AM84" s="62">
        <f t="shared" si="59"/>
        <v>271.12075302350598</v>
      </c>
      <c r="AN84" s="62">
        <f ca="1">AVERAGE(OFFSET($AM$3,0,0,'Données projet'!$E$10+1,1))-AVERAGE(OFFSET($H$3,0,0,'Données projet'!$E$10+1,1))</f>
        <v>341.62910675299065</v>
      </c>
      <c r="AO84" s="62">
        <f t="shared" si="90"/>
        <v>407.15938341104709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6.220506066583078</v>
      </c>
      <c r="AW84" s="23">
        <f>EXP(-LN(2)/2)*AW83+(1-EXP(-LN(2)/2))/(LN(2)/2)*AQ84*AT84*VLOOKUP('Données projet'!$B$10,Paramètres!$A$1:$I$89,3,0)*0.475*44/12</f>
        <v>3.8493787449132275E-7</v>
      </c>
      <c r="AX84" s="23">
        <f t="shared" si="60"/>
        <v>6.2205064515209525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855.06445788744873</v>
      </c>
      <c r="BI84" s="62">
        <f ca="1">AVERAGE(OFFSET($BH$3,0,0,'Données projet'!$E$11+1,1))-AVERAGE(OFFSET($H$3,0,0,'Données projet'!$E$11+1,1))</f>
        <v>472.83070477639035</v>
      </c>
      <c r="BJ84" s="62">
        <f t="shared" si="92"/>
        <v>297.32483725004136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2.2201920674887092</v>
      </c>
      <c r="BR84" s="23">
        <f>EXP(-LN(2)/2)*BR83+(1-EXP(-LN(2)/2))/(LN(2)/2)*BL84*BO84*VLOOKUP('Données projet'!$B$11,Paramètres!$A$1:$I$89,3,0)*0.475*44/12</f>
        <v>3.1420000663787025E-7</v>
      </c>
      <c r="BS84" s="24">
        <f t="shared" si="63"/>
        <v>2.2201923816887157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-1.7053025658242404E-13</v>
      </c>
      <c r="BZ84" s="14">
        <f>BY84*VLOOKUP('Données projet'!$B$12,Paramètres!$A$1:$I$89,3,0)*VLOOKUP('Données projet'!$B$12,Paramètres!$A$1:$I$89,5,0)</f>
        <v>-9.3109520094003535E-14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262.64209686767367</v>
      </c>
      <c r="CE84" s="62">
        <f t="shared" si="94"/>
        <v>381.0342365342517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2.1174466032218393</v>
      </c>
      <c r="CL84" s="23">
        <f>EXP(-LN(2)/25)*CL83+(1-EXP(-LN(2)/25))/(LN(2)/25)*Calculateur!CG84*Calculateur!CI84*VLOOKUP('Données projet'!$B$12,Paramètres!$A$1:$I$89,3,0)*0.475*44/12</f>
        <v>3.1705677194233659</v>
      </c>
      <c r="CM84" s="23">
        <f>EXP(-LN(2)/2)*CM83+(1-EXP(-LN(2)/2))/(LN(2)/2)*CG84*CJ84*VLOOKUP('Données projet'!$B$12,Paramètres!$A$1:$I$89,3,0)*0.475*44/12</f>
        <v>2.6072070848949631E-7</v>
      </c>
      <c r="CN84" s="24">
        <f t="shared" si="66"/>
        <v>5.2880145833659133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-1.1368683772161603E-13</v>
      </c>
      <c r="CU84" s="18">
        <f>CT84*VLOOKUP('Données projet'!$B$13,Paramètres!$A$1:$I$89,3,0)*VLOOKUP('Données projet'!$B$13,Paramètres!$A$1:$I$89,5,0)</f>
        <v>-8.3355189417488869E-14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250.11765444522138</v>
      </c>
      <c r="CZ84" s="62">
        <f t="shared" si="96"/>
        <v>241.42920565698913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2.3675072924251355</v>
      </c>
      <c r="DH84" s="23">
        <f>EXP(-LN(2)/2)*DH83+(1-EXP(-LN(2)/2))/(LN(2)/2)*DB84*DE84*VLOOKUP('Données projet'!$B$13,Paramètres!$A$1:$I$89,3,0)*0.475*44/12</f>
        <v>1.0568745279610326E-6</v>
      </c>
      <c r="DI84" s="24">
        <f t="shared" si="69"/>
        <v>2.3675083492996634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419.0448820879102</v>
      </c>
      <c r="T85" s="62">
        <f t="shared" si="88"/>
        <v>553.33038335026379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5.3813015125165338</v>
      </c>
      <c r="AA85" s="23">
        <f>EXP(-LN(2)/25)*AA84+(1-EXP(-LN(2)/25))/(LN(2)/25)*Calculateur!V85*Calculateur!X85*VLOOKUP('Données projet'!$B$9,Paramètres!$A$1:$I$89,3,0)*0.475*44/12</f>
        <v>5.5526413347848198</v>
      </c>
      <c r="AB85" s="23">
        <f>EXP(-LN(2)/2)*AB84+(1-EXP(-LN(2)/2))/(LN(2)/2)*V85*Y85*VLOOKUP('Données projet'!$B$9,Paramètres!$A$1:$I$89,3,0)*0.475*44/12</f>
        <v>2.6710338894874954E-7</v>
      </c>
      <c r="AC85" s="24">
        <f t="shared" si="57"/>
        <v>10.933943114404741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1.9895196601282805E-13</v>
      </c>
      <c r="AJ85" s="14">
        <f>AI85*VLOOKUP('Données projet'!$B$10,Paramètres!$A$1:$I$89,3,0)*VLOOKUP('Données projet'!$B$10,Paramètres!$A$1:$I$89,5,0)</f>
        <v>1.738044375088066E-13</v>
      </c>
      <c r="AK85" s="14">
        <f t="shared" si="89"/>
        <v>2.4483293633950478E-12</v>
      </c>
      <c r="AL85" s="22">
        <f t="shared" si="58"/>
        <v>4.566883036574213E-12</v>
      </c>
      <c r="AM85" s="62">
        <f t="shared" si="59"/>
        <v>271.50609163199158</v>
      </c>
      <c r="AN85" s="62">
        <f ca="1">AVERAGE(OFFSET($AM$3,0,0,'Données projet'!$E$10+1,1))-AVERAGE(OFFSET($H$3,0,0,'Données projet'!$E$10+1,1))</f>
        <v>341.62910675299065</v>
      </c>
      <c r="AO85" s="62">
        <f t="shared" si="90"/>
        <v>407.15938341104709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6.0504060010701668</v>
      </c>
      <c r="AW85" s="23">
        <f>EXP(-LN(2)/2)*AW84+(1-EXP(-LN(2)/2))/(LN(2)/2)*AQ85*AT85*VLOOKUP('Données projet'!$B$10,Paramètres!$A$1:$I$89,3,0)*0.475*44/12</f>
        <v>2.7219218138835045E-7</v>
      </c>
      <c r="AX85" s="23">
        <f t="shared" si="60"/>
        <v>6.0504062732623485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868.436484365365</v>
      </c>
      <c r="BI85" s="62">
        <f ca="1">AVERAGE(OFFSET($BH$3,0,0,'Données projet'!$E$11+1,1))-AVERAGE(OFFSET($H$3,0,0,'Données projet'!$E$11+1,1))</f>
        <v>472.83070477639035</v>
      </c>
      <c r="BJ85" s="62">
        <f t="shared" si="92"/>
        <v>297.32483725004136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2.1594807986484041</v>
      </c>
      <c r="BR85" s="23">
        <f>EXP(-LN(2)/2)*BR84+(1-EXP(-LN(2)/2))/(LN(2)/2)*BL85*BO85*VLOOKUP('Données projet'!$B$11,Paramètres!$A$1:$I$89,3,0)*0.475*44/12</f>
        <v>2.221729553424963E-7</v>
      </c>
      <c r="BS85" s="24">
        <f t="shared" si="63"/>
        <v>2.1594810208213593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-1.7053025658242404E-13</v>
      </c>
      <c r="BZ85" s="14">
        <f>BY85*VLOOKUP('Données projet'!$B$12,Paramètres!$A$1:$I$89,3,0)*VLOOKUP('Données projet'!$B$12,Paramètres!$A$1:$I$89,5,0)</f>
        <v>-9.3109520094003535E-14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262.64209686767367</v>
      </c>
      <c r="CE85" s="62">
        <f t="shared" si="94"/>
        <v>381.0342365342517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2.0759247668475607</v>
      </c>
      <c r="CL85" s="23">
        <f>EXP(-LN(2)/25)*CL84+(1-EXP(-LN(2)/25))/(LN(2)/25)*Calculateur!CG85*Calculateur!CI85*VLOOKUP('Données projet'!$B$12,Paramètres!$A$1:$I$89,3,0)*0.475*44/12</f>
        <v>3.083868378402824</v>
      </c>
      <c r="CM85" s="23">
        <f>EXP(-LN(2)/2)*CM84+(1-EXP(-LN(2)/2))/(LN(2)/2)*CG85*CJ85*VLOOKUP('Données projet'!$B$12,Paramètres!$A$1:$I$89,3,0)*0.475*44/12</f>
        <v>1.8435738096868391E-7</v>
      </c>
      <c r="CN85" s="24">
        <f t="shared" si="66"/>
        <v>5.1597933296077656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-1.1368683772161603E-13</v>
      </c>
      <c r="CU85" s="18">
        <f>CT85*VLOOKUP('Données projet'!$B$13,Paramètres!$A$1:$I$89,3,0)*VLOOKUP('Données projet'!$B$13,Paramètres!$A$1:$I$89,5,0)</f>
        <v>-8.3355189417488869E-14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250.11765444522138</v>
      </c>
      <c r="CZ85" s="62">
        <f t="shared" si="96"/>
        <v>241.42920565698913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2.3027676810119728</v>
      </c>
      <c r="DH85" s="23">
        <f>EXP(-LN(2)/2)*DH84+(1-EXP(-LN(2)/2))/(LN(2)/2)*DB85*DE85*VLOOKUP('Données projet'!$B$13,Paramètres!$A$1:$I$89,3,0)*0.475*44/12</f>
        <v>7.4732314558457759E-7</v>
      </c>
      <c r="DI85" s="24">
        <f t="shared" si="69"/>
        <v>2.3027684283351184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419.0448820879102</v>
      </c>
      <c r="T86" s="62">
        <f t="shared" si="88"/>
        <v>553.33038335026379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5.2757774721259096</v>
      </c>
      <c r="AA86" s="23">
        <f>EXP(-LN(2)/25)*AA85+(1-EXP(-LN(2)/25))/(LN(2)/25)*Calculateur!V86*Calculateur!X86*VLOOKUP('Données projet'!$B$9,Paramètres!$A$1:$I$89,3,0)*0.475*44/12</f>
        <v>5.4008040654844116</v>
      </c>
      <c r="AB86" s="23">
        <f>EXP(-LN(2)/2)*AB85+(1-EXP(-LN(2)/2))/(LN(2)/2)*V86*Y86*VLOOKUP('Données projet'!$B$9,Paramètres!$A$1:$I$89,3,0)*0.475*44/12</f>
        <v>1.8887061760356874E-7</v>
      </c>
      <c r="AC86" s="24">
        <f t="shared" si="57"/>
        <v>10.676581726480938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1.9895196601282805E-13</v>
      </c>
      <c r="AJ86" s="14">
        <f>AI86*VLOOKUP('Données projet'!$B$10,Paramètres!$A$1:$I$89,3,0)*VLOOKUP('Données projet'!$B$10,Paramètres!$A$1:$I$89,5,0)</f>
        <v>1.738044375088066E-13</v>
      </c>
      <c r="AK86" s="14">
        <f t="shared" si="89"/>
        <v>2.4483293633950478E-12</v>
      </c>
      <c r="AL86" s="22">
        <f t="shared" si="58"/>
        <v>4.566883036574213E-12</v>
      </c>
      <c r="AM86" s="62">
        <f t="shared" si="59"/>
        <v>271.88474547710803</v>
      </c>
      <c r="AN86" s="62">
        <f ca="1">AVERAGE(OFFSET($AM$3,0,0,'Données projet'!$E$10+1,1))-AVERAGE(OFFSET($H$3,0,0,'Données projet'!$E$10+1,1))</f>
        <v>341.62910675299065</v>
      </c>
      <c r="AO86" s="62">
        <f t="shared" si="90"/>
        <v>407.15938341104709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5.8849573307938803</v>
      </c>
      <c r="AW86" s="23">
        <f>EXP(-LN(2)/2)*AW85+(1-EXP(-LN(2)/2))/(LN(2)/2)*AQ86*AT86*VLOOKUP('Données projet'!$B$10,Paramètres!$A$1:$I$89,3,0)*0.475*44/12</f>
        <v>1.9246893724566138E-7</v>
      </c>
      <c r="AX86" s="23">
        <f t="shared" si="60"/>
        <v>5.884957523262818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881.79595158362997</v>
      </c>
      <c r="BI86" s="62">
        <f ca="1">AVERAGE(OFFSET($BH$3,0,0,'Données projet'!$E$11+1,1))-AVERAGE(OFFSET($H$3,0,0,'Données projet'!$E$11+1,1))</f>
        <v>472.83070477639035</v>
      </c>
      <c r="BJ86" s="62">
        <f t="shared" si="92"/>
        <v>297.32483725004136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2.1004296826472038</v>
      </c>
      <c r="BR86" s="23">
        <f>EXP(-LN(2)/2)*BR85+(1-EXP(-LN(2)/2))/(LN(2)/2)*BL86*BO86*VLOOKUP('Données projet'!$B$11,Paramètres!$A$1:$I$89,3,0)*0.475*44/12</f>
        <v>1.5710000331893512E-7</v>
      </c>
      <c r="BS86" s="24">
        <f t="shared" si="63"/>
        <v>2.100429839747207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-1.7053025658242404E-13</v>
      </c>
      <c r="BZ86" s="14">
        <f>BY86*VLOOKUP('Données projet'!$B$12,Paramètres!$A$1:$I$89,3,0)*VLOOKUP('Données projet'!$B$12,Paramètres!$A$1:$I$89,5,0)</f>
        <v>-9.3109520094003535E-14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262.64209686767367</v>
      </c>
      <c r="CE86" s="62">
        <f t="shared" si="94"/>
        <v>381.0342365342517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2.035217148358762</v>
      </c>
      <c r="CL86" s="23">
        <f>EXP(-LN(2)/25)*CL85+(1-EXP(-LN(2)/25))/(LN(2)/25)*Calculateur!CG86*Calculateur!CI86*VLOOKUP('Données projet'!$B$12,Paramètres!$A$1:$I$89,3,0)*0.475*44/12</f>
        <v>2.999539835421809</v>
      </c>
      <c r="CM86" s="23">
        <f>EXP(-LN(2)/2)*CM85+(1-EXP(-LN(2)/2))/(LN(2)/2)*CG86*CJ86*VLOOKUP('Données projet'!$B$12,Paramètres!$A$1:$I$89,3,0)*0.475*44/12</f>
        <v>1.3036035424474816E-7</v>
      </c>
      <c r="CN86" s="24">
        <f t="shared" si="66"/>
        <v>5.034757114140926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-1.1368683772161603E-13</v>
      </c>
      <c r="CU86" s="18">
        <f>CT86*VLOOKUP('Données projet'!$B$13,Paramètres!$A$1:$I$89,3,0)*VLOOKUP('Données projet'!$B$13,Paramètres!$A$1:$I$89,5,0)</f>
        <v>-8.3355189417488869E-14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250.11765444522138</v>
      </c>
      <c r="CZ86" s="62">
        <f t="shared" si="96"/>
        <v>241.42920565698913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2.2397983776774111</v>
      </c>
      <c r="DH86" s="23">
        <f>EXP(-LN(2)/2)*DH85+(1-EXP(-LN(2)/2))/(LN(2)/2)*DB86*DE86*VLOOKUP('Données projet'!$B$13,Paramètres!$A$1:$I$89,3,0)*0.475*44/12</f>
        <v>5.284372639805163E-7</v>
      </c>
      <c r="DI86" s="24">
        <f t="shared" si="69"/>
        <v>2.2397989061146752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419.0448820879102</v>
      </c>
      <c r="T87" s="62">
        <f t="shared" si="88"/>
        <v>553.33038335026379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5.1723226938040368</v>
      </c>
      <c r="AA87" s="23">
        <f>EXP(-LN(2)/25)*AA86+(1-EXP(-LN(2)/25))/(LN(2)/25)*Calculateur!V87*Calculateur!X87*VLOOKUP('Données projet'!$B$9,Paramètres!$A$1:$I$89,3,0)*0.475*44/12</f>
        <v>5.2531187942977979</v>
      </c>
      <c r="AB87" s="23">
        <f>EXP(-LN(2)/2)*AB86+(1-EXP(-LN(2)/2))/(LN(2)/2)*V87*Y87*VLOOKUP('Données projet'!$B$9,Paramètres!$A$1:$I$89,3,0)*0.475*44/12</f>
        <v>1.3355169447437477E-7</v>
      </c>
      <c r="AC87" s="24">
        <f t="shared" si="57"/>
        <v>10.42544162165353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1.9895196601282805E-13</v>
      </c>
      <c r="AJ87" s="14">
        <f>AI87*VLOOKUP('Données projet'!$B$10,Paramètres!$A$1:$I$89,3,0)*VLOOKUP('Données projet'!$B$10,Paramètres!$A$1:$I$89,5,0)</f>
        <v>1.738044375088066E-13</v>
      </c>
      <c r="AK87" s="14">
        <f t="shared" si="89"/>
        <v>2.4483293633950478E-12</v>
      </c>
      <c r="AL87" s="22">
        <f t="shared" si="58"/>
        <v>4.566883036574213E-12</v>
      </c>
      <c r="AM87" s="62">
        <f t="shared" si="59"/>
        <v>272.25683052455486</v>
      </c>
      <c r="AN87" s="62">
        <f ca="1">AVERAGE(OFFSET($AM$3,0,0,'Données projet'!$E$10+1,1))-AVERAGE(OFFSET($H$3,0,0,'Données projet'!$E$10+1,1))</f>
        <v>341.62910675299065</v>
      </c>
      <c r="AO87" s="62">
        <f t="shared" si="90"/>
        <v>407.15938341104709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5.7240328631068662</v>
      </c>
      <c r="AW87" s="23">
        <f>EXP(-LN(2)/2)*AW86+(1-EXP(-LN(2)/2))/(LN(2)/2)*AQ87*AT87*VLOOKUP('Données projet'!$B$10,Paramètres!$A$1:$I$89,3,0)*0.475*44/12</f>
        <v>1.3609609069417522E-7</v>
      </c>
      <c r="AX87" s="23">
        <f t="shared" si="60"/>
        <v>5.7240329992029571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895.14311810401523</v>
      </c>
      <c r="BI87" s="62">
        <f ca="1">AVERAGE(OFFSET($BH$3,0,0,'Données projet'!$E$11+1,1))-AVERAGE(OFFSET($H$3,0,0,'Données projet'!$E$11+1,1))</f>
        <v>472.83070477639035</v>
      </c>
      <c r="BJ87" s="62">
        <f t="shared" si="92"/>
        <v>297.32483725004136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2.0429933225184196</v>
      </c>
      <c r="BR87" s="23">
        <f>EXP(-LN(2)/2)*BR86+(1-EXP(-LN(2)/2))/(LN(2)/2)*BL87*BO87*VLOOKUP('Données projet'!$B$11,Paramètres!$A$1:$I$89,3,0)*0.475*44/12</f>
        <v>1.1108647767124815E-7</v>
      </c>
      <c r="BS87" s="24">
        <f t="shared" si="63"/>
        <v>2.0429934336048974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-1.7053025658242404E-13</v>
      </c>
      <c r="BZ87" s="14">
        <f>BY87*VLOOKUP('Données projet'!$B$12,Paramètres!$A$1:$I$89,3,0)*VLOOKUP('Données projet'!$B$12,Paramètres!$A$1:$I$89,5,0)</f>
        <v>-9.3109520094003535E-14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262.64209686767367</v>
      </c>
      <c r="CE87" s="62">
        <f t="shared" si="94"/>
        <v>381.0342365342517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1.995307781439333</v>
      </c>
      <c r="CL87" s="23">
        <f>EXP(-LN(2)/25)*CL86+(1-EXP(-LN(2)/25))/(LN(2)/25)*Calculateur!CG87*Calculateur!CI87*VLOOKUP('Données projet'!$B$12,Paramètres!$A$1:$I$89,3,0)*0.475*44/12</f>
        <v>2.9175172608832551</v>
      </c>
      <c r="CM87" s="23">
        <f>EXP(-LN(2)/2)*CM86+(1-EXP(-LN(2)/2))/(LN(2)/2)*CG87*CJ87*VLOOKUP('Données projet'!$B$12,Paramètres!$A$1:$I$89,3,0)*0.475*44/12</f>
        <v>9.2178690484341957E-8</v>
      </c>
      <c r="CN87" s="24">
        <f t="shared" si="66"/>
        <v>4.9128251345012783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-1.1368683772161603E-13</v>
      </c>
      <c r="CU87" s="18">
        <f>CT87*VLOOKUP('Données projet'!$B$13,Paramètres!$A$1:$I$89,3,0)*VLOOKUP('Données projet'!$B$13,Paramètres!$A$1:$I$89,5,0)</f>
        <v>-8.3355189417488869E-14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250.11765444522138</v>
      </c>
      <c r="CZ87" s="62">
        <f t="shared" si="96"/>
        <v>241.42920565698913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2.1785509732539445</v>
      </c>
      <c r="DH87" s="23">
        <f>EXP(-LN(2)/2)*DH86+(1-EXP(-LN(2)/2))/(LN(2)/2)*DB87*DE87*VLOOKUP('Données projet'!$B$13,Paramètres!$A$1:$I$89,3,0)*0.475*44/12</f>
        <v>3.7366157279228879E-7</v>
      </c>
      <c r="DI87" s="24">
        <f t="shared" si="69"/>
        <v>2.1785513469155173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419.0448820879102</v>
      </c>
      <c r="T88" s="62">
        <f t="shared" si="88"/>
        <v>553.33038335026379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5.0708966005838718</v>
      </c>
      <c r="AA88" s="23">
        <f>EXP(-LN(2)/25)*AA87+(1-EXP(-LN(2)/25))/(LN(2)/25)*Calculateur!V88*Calculateur!X88*VLOOKUP('Données projet'!$B$9,Paramètres!$A$1:$I$89,3,0)*0.475*44/12</f>
        <v>5.1094719846182137</v>
      </c>
      <c r="AB88" s="23">
        <f>EXP(-LN(2)/2)*AB87+(1-EXP(-LN(2)/2))/(LN(2)/2)*V88*Y88*VLOOKUP('Données projet'!$B$9,Paramètres!$A$1:$I$89,3,0)*0.475*44/12</f>
        <v>9.4435308801784372E-8</v>
      </c>
      <c r="AC88" s="24">
        <f t="shared" si="57"/>
        <v>10.180368679637395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1.9895196601282805E-13</v>
      </c>
      <c r="AJ88" s="14">
        <f>AI88*VLOOKUP('Données projet'!$B$10,Paramètres!$A$1:$I$89,3,0)*VLOOKUP('Données projet'!$B$10,Paramètres!$A$1:$I$89,5,0)</f>
        <v>1.738044375088066E-13</v>
      </c>
      <c r="AK88" s="14">
        <f t="shared" si="89"/>
        <v>2.4483293633950478E-12</v>
      </c>
      <c r="AL88" s="22">
        <f t="shared" si="58"/>
        <v>4.566883036574213E-12</v>
      </c>
      <c r="AM88" s="62">
        <f t="shared" si="59"/>
        <v>272.62246072828606</v>
      </c>
      <c r="AN88" s="62">
        <f ca="1">AVERAGE(OFFSET($AM$3,0,0,'Données projet'!$E$10+1,1))-AVERAGE(OFFSET($H$3,0,0,'Données projet'!$E$10+1,1))</f>
        <v>341.62910675299065</v>
      </c>
      <c r="AO88" s="62">
        <f t="shared" si="90"/>
        <v>407.15938341104709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5.5675088834514028</v>
      </c>
      <c r="AW88" s="23">
        <f>EXP(-LN(2)/2)*AW87+(1-EXP(-LN(2)/2))/(LN(2)/2)*AQ88*AT88*VLOOKUP('Données projet'!$B$10,Paramètres!$A$1:$I$89,3,0)*0.475*44/12</f>
        <v>9.6234468622830688E-8</v>
      </c>
      <c r="AX88" s="23">
        <f t="shared" si="60"/>
        <v>5.5675089796858712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908.47823405393478</v>
      </c>
      <c r="BI88" s="62">
        <f ca="1">AVERAGE(OFFSET($BH$3,0,0,'Données projet'!$E$11+1,1))-AVERAGE(OFFSET($H$3,0,0,'Données projet'!$E$11+1,1))</f>
        <v>472.83070477639035</v>
      </c>
      <c r="BJ88" s="62">
        <f t="shared" si="92"/>
        <v>297.32483725004136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1.987127562677804</v>
      </c>
      <c r="BR88" s="23">
        <f>EXP(-LN(2)/2)*BR87+(1-EXP(-LN(2)/2))/(LN(2)/2)*BL88*BO88*VLOOKUP('Données projet'!$B$11,Paramètres!$A$1:$I$89,3,0)*0.475*44/12</f>
        <v>7.8550001659467562E-8</v>
      </c>
      <c r="BS88" s="24">
        <f t="shared" si="63"/>
        <v>1.9871276412278056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-1.7053025658242404E-13</v>
      </c>
      <c r="BZ88" s="14">
        <f>BY88*VLOOKUP('Données projet'!$B$12,Paramètres!$A$1:$I$89,3,0)*VLOOKUP('Données projet'!$B$12,Paramètres!$A$1:$I$89,5,0)</f>
        <v>-9.3109520094003535E-14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262.64209686767367</v>
      </c>
      <c r="CE88" s="62">
        <f t="shared" si="94"/>
        <v>381.0342365342517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1.9561810128628838</v>
      </c>
      <c r="CL88" s="23">
        <f>EXP(-LN(2)/25)*CL87+(1-EXP(-LN(2)/25))/(LN(2)/25)*Calculateur!CG88*Calculateur!CI88*VLOOKUP('Données projet'!$B$12,Paramètres!$A$1:$I$89,3,0)*0.475*44/12</f>
        <v>2.8377375979588377</v>
      </c>
      <c r="CM88" s="23">
        <f>EXP(-LN(2)/2)*CM87+(1-EXP(-LN(2)/2))/(LN(2)/2)*CG88*CJ88*VLOOKUP('Données projet'!$B$12,Paramètres!$A$1:$I$89,3,0)*0.475*44/12</f>
        <v>6.5180177122374078E-8</v>
      </c>
      <c r="CN88" s="24">
        <f t="shared" si="66"/>
        <v>4.7939186760018986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-1.1368683772161603E-13</v>
      </c>
      <c r="CU88" s="18">
        <f>CT88*VLOOKUP('Données projet'!$B$13,Paramètres!$A$1:$I$89,3,0)*VLOOKUP('Données projet'!$B$13,Paramètres!$A$1:$I$89,5,0)</f>
        <v>-8.3355189417488869E-14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250.11765444522138</v>
      </c>
      <c r="CZ88" s="62">
        <f t="shared" si="96"/>
        <v>241.42920565698913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2.1189783823252988</v>
      </c>
      <c r="DH88" s="23">
        <f>EXP(-LN(2)/2)*DH87+(1-EXP(-LN(2)/2))/(LN(2)/2)*DB88*DE88*VLOOKUP('Données projet'!$B$13,Paramètres!$A$1:$I$89,3,0)*0.475*44/12</f>
        <v>2.6421863199025815E-7</v>
      </c>
      <c r="DI88" s="24">
        <f t="shared" si="69"/>
        <v>2.1189786465439306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419.0448820879102</v>
      </c>
      <c r="T89" s="62">
        <f t="shared" si="88"/>
        <v>553.33038335026379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4.9714594111879462</v>
      </c>
      <c r="AA89" s="23">
        <f>EXP(-LN(2)/25)*AA88+(1-EXP(-LN(2)/25))/(LN(2)/25)*Calculateur!V89*Calculateur!X89*VLOOKUP('Données projet'!$B$9,Paramètres!$A$1:$I$89,3,0)*0.475*44/12</f>
        <v>4.969753204503375</v>
      </c>
      <c r="AB89" s="23">
        <f>EXP(-LN(2)/2)*AB88+(1-EXP(-LN(2)/2))/(LN(2)/2)*V89*Y89*VLOOKUP('Données projet'!$B$9,Paramètres!$A$1:$I$89,3,0)*0.475*44/12</f>
        <v>6.6775847237187386E-8</v>
      </c>
      <c r="AC89" s="24">
        <f t="shared" si="57"/>
        <v>9.9412126824671674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1.9895196601282805E-13</v>
      </c>
      <c r="AJ89" s="14">
        <f>AI89*VLOOKUP('Données projet'!$B$10,Paramètres!$A$1:$I$89,3,0)*VLOOKUP('Données projet'!$B$10,Paramètres!$A$1:$I$89,5,0)</f>
        <v>1.738044375088066E-13</v>
      </c>
      <c r="AK89" s="14">
        <f t="shared" si="89"/>
        <v>2.4483293633950478E-12</v>
      </c>
      <c r="AL89" s="22">
        <f t="shared" si="58"/>
        <v>4.566883036574213E-12</v>
      </c>
      <c r="AM89" s="62">
        <f t="shared" si="59"/>
        <v>272.98174806540925</v>
      </c>
      <c r="AN89" s="62">
        <f ca="1">AVERAGE(OFFSET($AM$3,0,0,'Données projet'!$E$10+1,1))-AVERAGE(OFFSET($H$3,0,0,'Données projet'!$E$10+1,1))</f>
        <v>341.62910675299065</v>
      </c>
      <c r="AO89" s="62">
        <f t="shared" si="90"/>
        <v>407.15938341104709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5.4152650602508565</v>
      </c>
      <c r="AW89" s="23">
        <f>EXP(-LN(2)/2)*AW88+(1-EXP(-LN(2)/2))/(LN(2)/2)*AQ89*AT89*VLOOKUP('Données projet'!$B$10,Paramètres!$A$1:$I$89,3,0)*0.475*44/12</f>
        <v>6.8048045347087612E-8</v>
      </c>
      <c r="AX89" s="23">
        <f t="shared" si="60"/>
        <v>5.4152651282989019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867.62080338509327</v>
      </c>
      <c r="BI89" s="62">
        <f ca="1">AVERAGE(OFFSET($BH$3,0,0,'Données projet'!$E$11+1,1))-AVERAGE(OFFSET($H$3,0,0,'Données projet'!$E$11+1,1))</f>
        <v>472.83070477639035</v>
      </c>
      <c r="BJ89" s="62">
        <f t="shared" si="92"/>
        <v>297.32483725004136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1.9327894549778826</v>
      </c>
      <c r="BR89" s="23">
        <f>EXP(-LN(2)/2)*BR88+(1-EXP(-LN(2)/2))/(LN(2)/2)*BL89*BO89*VLOOKUP('Données projet'!$B$11,Paramètres!$A$1:$I$89,3,0)*0.475*44/12</f>
        <v>5.5543238835624075E-8</v>
      </c>
      <c r="BS89" s="24">
        <f t="shared" si="63"/>
        <v>1.9327895105211215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-1.7053025658242404E-13</v>
      </c>
      <c r="BZ89" s="14">
        <f>BY89*VLOOKUP('Données projet'!$B$12,Paramètres!$A$1:$I$89,3,0)*VLOOKUP('Données projet'!$B$12,Paramètres!$A$1:$I$89,5,0)</f>
        <v>-9.3109520094003535E-14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262.64209686767367</v>
      </c>
      <c r="CE89" s="62">
        <f t="shared" si="94"/>
        <v>381.0342365342517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1.9178214963532465</v>
      </c>
      <c r="CL89" s="23">
        <f>EXP(-LN(2)/25)*CL88+(1-EXP(-LN(2)/25))/(LN(2)/25)*Calculateur!CG89*Calculateur!CI89*VLOOKUP('Données projet'!$B$12,Paramètres!$A$1:$I$89,3,0)*0.475*44/12</f>
        <v>2.7601395141125189</v>
      </c>
      <c r="CM89" s="23">
        <f>EXP(-LN(2)/2)*CM88+(1-EXP(-LN(2)/2))/(LN(2)/2)*CG89*CJ89*VLOOKUP('Données projet'!$B$12,Paramètres!$A$1:$I$89,3,0)*0.475*44/12</f>
        <v>4.6089345242170979E-8</v>
      </c>
      <c r="CN89" s="24">
        <f t="shared" si="66"/>
        <v>4.6779610565551106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-1.1368683772161603E-13</v>
      </c>
      <c r="CU89" s="18">
        <f>CT89*VLOOKUP('Données projet'!$B$13,Paramètres!$A$1:$I$89,3,0)*VLOOKUP('Données projet'!$B$13,Paramètres!$A$1:$I$89,5,0)</f>
        <v>-8.3355189417488869E-14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250.11765444522138</v>
      </c>
      <c r="CZ89" s="62">
        <f t="shared" si="96"/>
        <v>241.42920565698913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2.0610348070283835</v>
      </c>
      <c r="DH89" s="23">
        <f>EXP(-LN(2)/2)*DH88+(1-EXP(-LN(2)/2))/(LN(2)/2)*DB89*DE89*VLOOKUP('Données projet'!$B$13,Paramètres!$A$1:$I$89,3,0)*0.475*44/12</f>
        <v>1.868307863961444E-7</v>
      </c>
      <c r="DI89" s="24">
        <f t="shared" si="69"/>
        <v>2.0610349938591699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419.0448820879102</v>
      </c>
      <c r="T90" s="62">
        <f t="shared" si="88"/>
        <v>553.33038335026379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4.8739721244253777</v>
      </c>
      <c r="AA90" s="23">
        <f>EXP(-LN(2)/25)*AA89+(1-EXP(-LN(2)/25))/(LN(2)/25)*Calculateur!V90*Calculateur!X90*VLOOKUP('Données projet'!$B$9,Paramètres!$A$1:$I$89,3,0)*0.475*44/12</f>
        <v>4.8338550417782677</v>
      </c>
      <c r="AB90" s="23">
        <f>EXP(-LN(2)/2)*AB89+(1-EXP(-LN(2)/2))/(LN(2)/2)*V90*Y90*VLOOKUP('Données projet'!$B$9,Paramètres!$A$1:$I$89,3,0)*0.475*44/12</f>
        <v>4.7217654400892186E-8</v>
      </c>
      <c r="AC90" s="24">
        <f t="shared" si="57"/>
        <v>9.7078272134213002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1.9895196601282805E-13</v>
      </c>
      <c r="AJ90" s="14">
        <f>AI90*VLOOKUP('Données projet'!$B$10,Paramètres!$A$1:$I$89,3,0)*VLOOKUP('Données projet'!$B$10,Paramètres!$A$1:$I$89,5,0)</f>
        <v>1.738044375088066E-13</v>
      </c>
      <c r="AK90" s="14">
        <f t="shared" si="89"/>
        <v>2.4483293633950478E-12</v>
      </c>
      <c r="AL90" s="22">
        <f t="shared" si="58"/>
        <v>4.566883036574213E-12</v>
      </c>
      <c r="AM90" s="62">
        <f t="shared" si="59"/>
        <v>273.33480257047938</v>
      </c>
      <c r="AN90" s="62">
        <f ca="1">AVERAGE(OFFSET($AM$3,0,0,'Données projet'!$E$10+1,1))-AVERAGE(OFFSET($H$3,0,0,'Données projet'!$E$10+1,1))</f>
        <v>341.62910675299065</v>
      </c>
      <c r="AO90" s="62">
        <f t="shared" si="90"/>
        <v>407.15938341104709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5.267184352401884</v>
      </c>
      <c r="AW90" s="23">
        <f>EXP(-LN(2)/2)*AW89+(1-EXP(-LN(2)/2))/(LN(2)/2)*AQ90*AT90*VLOOKUP('Données projet'!$B$10,Paramètres!$A$1:$I$89,3,0)*0.475*44/12</f>
        <v>4.8117234311415344E-8</v>
      </c>
      <c r="AX90" s="23">
        <f t="shared" si="60"/>
        <v>5.2671844005191186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880.19222049495841</v>
      </c>
      <c r="BI90" s="62">
        <f ca="1">AVERAGE(OFFSET($BH$3,0,0,'Données projet'!$E$11+1,1))-AVERAGE(OFFSET($H$3,0,0,'Données projet'!$E$11+1,1))</f>
        <v>472.83070477639035</v>
      </c>
      <c r="BJ90" s="62">
        <f t="shared" si="92"/>
        <v>297.32483725004136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1.8799372256905325</v>
      </c>
      <c r="BR90" s="23">
        <f>EXP(-LN(2)/2)*BR89+(1-EXP(-LN(2)/2))/(LN(2)/2)*BL90*BO90*VLOOKUP('Données projet'!$B$11,Paramètres!$A$1:$I$89,3,0)*0.475*44/12</f>
        <v>3.9275000829733781E-8</v>
      </c>
      <c r="BS90" s="24">
        <f t="shared" si="63"/>
        <v>1.8799372649655333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-1.7053025658242404E-13</v>
      </c>
      <c r="BZ90" s="14">
        <f>BY90*VLOOKUP('Données projet'!$B$12,Paramètres!$A$1:$I$89,3,0)*VLOOKUP('Données projet'!$B$12,Paramètres!$A$1:$I$89,5,0)</f>
        <v>-9.3109520094003535E-14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262.64209686767367</v>
      </c>
      <c r="CE90" s="62">
        <f t="shared" si="94"/>
        <v>381.0342365342517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1.8802141865653683</v>
      </c>
      <c r="CL90" s="23">
        <f>EXP(-LN(2)/25)*CL89+(1-EXP(-LN(2)/25))/(LN(2)/25)*Calculateur!CG90*Calculateur!CI90*VLOOKUP('Données projet'!$B$12,Paramètres!$A$1:$I$89,3,0)*0.475*44/12</f>
        <v>2.6846633539496834</v>
      </c>
      <c r="CM90" s="23">
        <f>EXP(-LN(2)/2)*CM89+(1-EXP(-LN(2)/2))/(LN(2)/2)*CG90*CJ90*VLOOKUP('Données projet'!$B$12,Paramètres!$A$1:$I$89,3,0)*0.475*44/12</f>
        <v>3.2590088561187039E-8</v>
      </c>
      <c r="CN90" s="24">
        <f t="shared" si="66"/>
        <v>4.5648775731051403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-1.1368683772161603E-13</v>
      </c>
      <c r="CU90" s="18">
        <f>CT90*VLOOKUP('Données projet'!$B$13,Paramètres!$A$1:$I$89,3,0)*VLOOKUP('Données projet'!$B$13,Paramètres!$A$1:$I$89,5,0)</f>
        <v>-8.3355189417488869E-14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250.11765444522138</v>
      </c>
      <c r="CZ90" s="62">
        <f t="shared" si="96"/>
        <v>241.42920565698913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2.0046757018450823</v>
      </c>
      <c r="DH90" s="23">
        <f>EXP(-LN(2)/2)*DH89+(1-EXP(-LN(2)/2))/(LN(2)/2)*DB90*DE90*VLOOKUP('Données projet'!$B$13,Paramètres!$A$1:$I$89,3,0)*0.475*44/12</f>
        <v>1.3210931599512907E-7</v>
      </c>
      <c r="DI90" s="24">
        <f t="shared" si="69"/>
        <v>2.0046758339543982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419.0448820879102</v>
      </c>
      <c r="T91" s="62">
        <f t="shared" si="88"/>
        <v>553.33038335026379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4.7783965038948493</v>
      </c>
      <c r="AA91" s="23">
        <f>EXP(-LN(2)/25)*AA90+(1-EXP(-LN(2)/25))/(LN(2)/25)*Calculateur!V91*Calculateur!X91*VLOOKUP('Données projet'!$B$9,Paramètres!$A$1:$I$89,3,0)*0.475*44/12</f>
        <v>4.7016730214594524</v>
      </c>
      <c r="AB91" s="23">
        <f>EXP(-LN(2)/2)*AB90+(1-EXP(-LN(2)/2))/(LN(2)/2)*V91*Y91*VLOOKUP('Données projet'!$B$9,Paramètres!$A$1:$I$89,3,0)*0.475*44/12</f>
        <v>3.3387923618593693E-8</v>
      </c>
      <c r="AC91" s="24">
        <f t="shared" si="57"/>
        <v>9.4800695587422261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1.9895196601282805E-13</v>
      </c>
      <c r="AJ91" s="14">
        <f>AI91*VLOOKUP('Données projet'!$B$10,Paramètres!$A$1:$I$89,3,0)*VLOOKUP('Données projet'!$B$10,Paramètres!$A$1:$I$89,5,0)</f>
        <v>1.738044375088066E-13</v>
      </c>
      <c r="AK91" s="14">
        <f t="shared" si="89"/>
        <v>2.4483293633950478E-12</v>
      </c>
      <c r="AL91" s="22">
        <f t="shared" si="58"/>
        <v>4.566883036574213E-12</v>
      </c>
      <c r="AM91" s="62">
        <f t="shared" si="59"/>
        <v>273.68173236919824</v>
      </c>
      <c r="AN91" s="62">
        <f ca="1">AVERAGE(OFFSET($AM$3,0,0,'Données projet'!$E$10+1,1))-AVERAGE(OFFSET($H$3,0,0,'Données projet'!$E$10+1,1))</f>
        <v>341.62910675299065</v>
      </c>
      <c r="AO91" s="62">
        <f t="shared" si="90"/>
        <v>407.15938341104709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5.1231529192962677</v>
      </c>
      <c r="AW91" s="23">
        <f>EXP(-LN(2)/2)*AW90+(1-EXP(-LN(2)/2))/(LN(2)/2)*AQ91*AT91*VLOOKUP('Données projet'!$B$10,Paramètres!$A$1:$I$89,3,0)*0.475*44/12</f>
        <v>3.4024022673543806E-8</v>
      </c>
      <c r="AX91" s="23">
        <f t="shared" si="60"/>
        <v>5.1231529533202904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892.75240636626665</v>
      </c>
      <c r="BI91" s="62">
        <f ca="1">AVERAGE(OFFSET($BH$3,0,0,'Données projet'!$E$11+1,1))-AVERAGE(OFFSET($H$3,0,0,'Données projet'!$E$11+1,1))</f>
        <v>472.83070477639035</v>
      </c>
      <c r="BJ91" s="62">
        <f t="shared" si="92"/>
        <v>297.32483725004136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1.8285302433924229</v>
      </c>
      <c r="BR91" s="23">
        <f>EXP(-LN(2)/2)*BR90+(1-EXP(-LN(2)/2))/(LN(2)/2)*BL91*BO91*VLOOKUP('Données projet'!$B$11,Paramètres!$A$1:$I$89,3,0)*0.475*44/12</f>
        <v>2.7771619417812037E-8</v>
      </c>
      <c r="BS91" s="24">
        <f t="shared" si="63"/>
        <v>1.8285302711640423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-1.7053025658242404E-13</v>
      </c>
      <c r="BZ91" s="14">
        <f>BY91*VLOOKUP('Données projet'!$B$12,Paramètres!$A$1:$I$89,3,0)*VLOOKUP('Données projet'!$B$12,Paramètres!$A$1:$I$89,5,0)</f>
        <v>-9.3109520094003535E-14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262.64209686767367</v>
      </c>
      <c r="CE91" s="62">
        <f t="shared" si="94"/>
        <v>381.0342365342517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1.8433443331842365</v>
      </c>
      <c r="CL91" s="23">
        <f>EXP(-LN(2)/25)*CL90+(1-EXP(-LN(2)/25))/(LN(2)/25)*Calculateur!CG91*Calculateur!CI91*VLOOKUP('Données projet'!$B$12,Paramètres!$A$1:$I$89,3,0)*0.475*44/12</f>
        <v>2.6112510933556194</v>
      </c>
      <c r="CM91" s="23">
        <f>EXP(-LN(2)/2)*CM90+(1-EXP(-LN(2)/2))/(LN(2)/2)*CG91*CJ91*VLOOKUP('Données projet'!$B$12,Paramètres!$A$1:$I$89,3,0)*0.475*44/12</f>
        <v>2.3044672621085489E-8</v>
      </c>
      <c r="CN91" s="24">
        <f t="shared" si="66"/>
        <v>4.454595449584529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-1.1368683772161603E-13</v>
      </c>
      <c r="CU91" s="18">
        <f>CT91*VLOOKUP('Données projet'!$B$13,Paramètres!$A$1:$I$89,3,0)*VLOOKUP('Données projet'!$B$13,Paramètres!$A$1:$I$89,5,0)</f>
        <v>-8.3355189417488869E-14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250.11765444522138</v>
      </c>
      <c r="CZ91" s="62">
        <f t="shared" si="96"/>
        <v>241.42920565698913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1.9498577393568151</v>
      </c>
      <c r="DH91" s="23">
        <f>EXP(-LN(2)/2)*DH90+(1-EXP(-LN(2)/2))/(LN(2)/2)*DB91*DE91*VLOOKUP('Données projet'!$B$13,Paramètres!$A$1:$I$89,3,0)*0.475*44/12</f>
        <v>9.3415393198072199E-8</v>
      </c>
      <c r="DI91" s="24">
        <f t="shared" si="69"/>
        <v>1.9498578327722083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419.0448820879102</v>
      </c>
      <c r="T92" s="62">
        <f t="shared" si="88"/>
        <v>553.33038335026379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4.6846950629875526</v>
      </c>
      <c r="AA92" s="23">
        <f>EXP(-LN(2)/25)*AA91+(1-EXP(-LN(2)/25))/(LN(2)/25)*Calculateur!V92*Calculateur!X92*VLOOKUP('Données projet'!$B$9,Paramètres!$A$1:$I$89,3,0)*0.475*44/12</f>
        <v>4.5731055254374056</v>
      </c>
      <c r="AB92" s="23">
        <f>EXP(-LN(2)/2)*AB91+(1-EXP(-LN(2)/2))/(LN(2)/2)*V92*Y92*VLOOKUP('Données projet'!$B$9,Paramètres!$A$1:$I$89,3,0)*0.475*44/12</f>
        <v>2.3608827200446093E-8</v>
      </c>
      <c r="AC92" s="24">
        <f t="shared" si="57"/>
        <v>9.257800612033785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1.9895196601282805E-13</v>
      </c>
      <c r="AJ92" s="14">
        <f>AI92*VLOOKUP('Données projet'!$B$10,Paramètres!$A$1:$I$89,3,0)*VLOOKUP('Données projet'!$B$10,Paramètres!$A$1:$I$89,5,0)</f>
        <v>1.738044375088066E-13</v>
      </c>
      <c r="AK92" s="14">
        <f t="shared" si="89"/>
        <v>2.4483293633950478E-12</v>
      </c>
      <c r="AL92" s="22">
        <f t="shared" si="58"/>
        <v>4.566883036574213E-12</v>
      </c>
      <c r="AM92" s="62">
        <f t="shared" si="59"/>
        <v>274.02264371152813</v>
      </c>
      <c r="AN92" s="62">
        <f ca="1">AVERAGE(OFFSET($AM$3,0,0,'Données projet'!$E$10+1,1))-AVERAGE(OFFSET($H$3,0,0,'Données projet'!$E$10+1,1))</f>
        <v>341.62910675299065</v>
      </c>
      <c r="AO92" s="62">
        <f t="shared" si="90"/>
        <v>407.15938341104709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4.9830600333032082</v>
      </c>
      <c r="AW92" s="23">
        <f>EXP(-LN(2)/2)*AW91+(1-EXP(-LN(2)/2))/(LN(2)/2)*AQ92*AT92*VLOOKUP('Données projet'!$B$10,Paramètres!$A$1:$I$89,3,0)*0.475*44/12</f>
        <v>2.4058617155707672E-8</v>
      </c>
      <c r="AX92" s="23">
        <f t="shared" si="60"/>
        <v>4.9830600573618256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905.30158215487222</v>
      </c>
      <c r="BI92" s="62">
        <f ca="1">AVERAGE(OFFSET($BH$3,0,0,'Données projet'!$E$11+1,1))-AVERAGE(OFFSET($H$3,0,0,'Données projet'!$E$11+1,1))</f>
        <v>472.83070477639035</v>
      </c>
      <c r="BJ92" s="62">
        <f t="shared" si="92"/>
        <v>297.32483725004136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1.7785289877286308</v>
      </c>
      <c r="BR92" s="23">
        <f>EXP(-LN(2)/2)*BR91+(1-EXP(-LN(2)/2))/(LN(2)/2)*BL92*BO92*VLOOKUP('Données projet'!$B$11,Paramètres!$A$1:$I$89,3,0)*0.475*44/12</f>
        <v>1.963750041486689E-8</v>
      </c>
      <c r="BS92" s="24">
        <f t="shared" si="63"/>
        <v>1.7785290073661313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-1.7053025658242404E-13</v>
      </c>
      <c r="BZ92" s="14">
        <f>BY92*VLOOKUP('Données projet'!$B$12,Paramètres!$A$1:$I$89,3,0)*VLOOKUP('Données projet'!$B$12,Paramètres!$A$1:$I$89,5,0)</f>
        <v>-9.3109520094003535E-14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262.64209686767367</v>
      </c>
      <c r="CE92" s="62">
        <f t="shared" si="94"/>
        <v>381.0342365342517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1.8071974751395186</v>
      </c>
      <c r="CL92" s="23">
        <f>EXP(-LN(2)/25)*CL91+(1-EXP(-LN(2)/25))/(LN(2)/25)*Calculateur!CG92*Calculateur!CI92*VLOOKUP('Données projet'!$B$12,Paramètres!$A$1:$I$89,3,0)*0.475*44/12</f>
        <v>2.5398462948880831</v>
      </c>
      <c r="CM92" s="23">
        <f>EXP(-LN(2)/2)*CM91+(1-EXP(-LN(2)/2))/(LN(2)/2)*CG92*CJ92*VLOOKUP('Données projet'!$B$12,Paramètres!$A$1:$I$89,3,0)*0.475*44/12</f>
        <v>1.629504428059352E-8</v>
      </c>
      <c r="CN92" s="24">
        <f t="shared" si="66"/>
        <v>4.3470437863226463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-1.1368683772161603E-13</v>
      </c>
      <c r="CU92" s="18">
        <f>CT92*VLOOKUP('Données projet'!$B$13,Paramètres!$A$1:$I$89,3,0)*VLOOKUP('Données projet'!$B$13,Paramètres!$A$1:$I$89,5,0)</f>
        <v>-8.3355189417488869E-14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250.11765444522138</v>
      </c>
      <c r="CZ92" s="62">
        <f t="shared" si="96"/>
        <v>241.42920565698913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1.8965387769355408</v>
      </c>
      <c r="DH92" s="23">
        <f>EXP(-LN(2)/2)*DH91+(1-EXP(-LN(2)/2))/(LN(2)/2)*DB92*DE92*VLOOKUP('Données projet'!$B$13,Paramètres!$A$1:$I$89,3,0)*0.475*44/12</f>
        <v>6.6054657997564537E-8</v>
      </c>
      <c r="DI92" s="24">
        <f t="shared" si="69"/>
        <v>1.8965388429901988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419.0448820879102</v>
      </c>
      <c r="T93" s="62">
        <f t="shared" si="88"/>
        <v>553.33038335026379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4.5928310501842118</v>
      </c>
      <c r="AA93" s="23">
        <f>EXP(-LN(2)/25)*AA92+(1-EXP(-LN(2)/25))/(LN(2)/25)*Calculateur!V93*Calculateur!X93*VLOOKUP('Données projet'!$B$9,Paramètres!$A$1:$I$89,3,0)*0.475*44/12</f>
        <v>4.4480537143551517</v>
      </c>
      <c r="AB93" s="23">
        <f>EXP(-LN(2)/2)*AB92+(1-EXP(-LN(2)/2))/(LN(2)/2)*V93*Y93*VLOOKUP('Données projet'!$B$9,Paramètres!$A$1:$I$89,3,0)*0.475*44/12</f>
        <v>1.6693961809296847E-8</v>
      </c>
      <c r="AC93" s="24">
        <f t="shared" si="57"/>
        <v>9.0408847812333253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1.9895196601282805E-13</v>
      </c>
      <c r="AJ93" s="14">
        <f>AI93*VLOOKUP('Données projet'!$B$10,Paramètres!$A$1:$I$89,3,0)*VLOOKUP('Données projet'!$B$10,Paramètres!$A$1:$I$89,5,0)</f>
        <v>1.738044375088066E-13</v>
      </c>
      <c r="AK93" s="14">
        <f t="shared" si="89"/>
        <v>2.4483293633950478E-12</v>
      </c>
      <c r="AL93" s="22">
        <f t="shared" si="58"/>
        <v>4.566883036574213E-12</v>
      </c>
      <c r="AM93" s="62">
        <f t="shared" si="59"/>
        <v>274.35764100423222</v>
      </c>
      <c r="AN93" s="62">
        <f ca="1">AVERAGE(OFFSET($AM$3,0,0,'Données projet'!$E$10+1,1))-AVERAGE(OFFSET($H$3,0,0,'Données projet'!$E$10+1,1))</f>
        <v>341.62910675299065</v>
      </c>
      <c r="AO93" s="62">
        <f t="shared" si="90"/>
        <v>407.15938341104709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4.8467979946447937</v>
      </c>
      <c r="AW93" s="23">
        <f>EXP(-LN(2)/2)*AW92+(1-EXP(-LN(2)/2))/(LN(2)/2)*AQ93*AT93*VLOOKUP('Données projet'!$B$10,Paramètres!$A$1:$I$89,3,0)*0.475*44/12</f>
        <v>1.7012011336771903E-8</v>
      </c>
      <c r="AX93" s="23">
        <f t="shared" si="60"/>
        <v>4.846798011656805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917.83996236839425</v>
      </c>
      <c r="BI93" s="62">
        <f ca="1">AVERAGE(OFFSET($BH$3,0,0,'Données projet'!$E$11+1,1))-AVERAGE(OFFSET($H$3,0,0,'Données projet'!$E$11+1,1))</f>
        <v>472.83070477639035</v>
      </c>
      <c r="BJ93" s="62">
        <f t="shared" si="92"/>
        <v>297.32483725004136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1.7298950190304168</v>
      </c>
      <c r="BR93" s="23">
        <f>EXP(-LN(2)/2)*BR92+(1-EXP(-LN(2)/2))/(LN(2)/2)*BL93*BO93*VLOOKUP('Données projet'!$B$11,Paramètres!$A$1:$I$89,3,0)*0.475*44/12</f>
        <v>1.3885809708906019E-8</v>
      </c>
      <c r="BS93" s="24">
        <f t="shared" si="63"/>
        <v>1.7298950329162264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-1.7053025658242404E-13</v>
      </c>
      <c r="BZ93" s="14">
        <f>BY93*VLOOKUP('Données projet'!$B$12,Paramètres!$A$1:$I$89,3,0)*VLOOKUP('Données projet'!$B$12,Paramètres!$A$1:$I$89,5,0)</f>
        <v>-9.3109520094003535E-14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262.64209686767367</v>
      </c>
      <c r="CE93" s="62">
        <f t="shared" si="94"/>
        <v>381.0342365342517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1.7717594349336512</v>
      </c>
      <c r="CL93" s="23">
        <f>EXP(-LN(2)/25)*CL92+(1-EXP(-LN(2)/25))/(LN(2)/25)*Calculateur!CG93*Calculateur!CI93*VLOOKUP('Données projet'!$B$12,Paramètres!$A$1:$I$89,3,0)*0.475*44/12</f>
        <v>2.4703940643896569</v>
      </c>
      <c r="CM93" s="23">
        <f>EXP(-LN(2)/2)*CM92+(1-EXP(-LN(2)/2))/(LN(2)/2)*CG93*CJ93*VLOOKUP('Données projet'!$B$12,Paramètres!$A$1:$I$89,3,0)*0.475*44/12</f>
        <v>1.1522336310542745E-8</v>
      </c>
      <c r="CN93" s="24">
        <f t="shared" si="66"/>
        <v>4.2421535108456441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-1.1368683772161603E-13</v>
      </c>
      <c r="CU93" s="18">
        <f>CT93*VLOOKUP('Données projet'!$B$13,Paramètres!$A$1:$I$89,3,0)*VLOOKUP('Données projet'!$B$13,Paramètres!$A$1:$I$89,5,0)</f>
        <v>-8.3355189417488869E-14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250.11765444522138</v>
      </c>
      <c r="CZ93" s="62">
        <f t="shared" si="96"/>
        <v>241.42920565698913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1.8446778243455988</v>
      </c>
      <c r="DH93" s="23">
        <f>EXP(-LN(2)/2)*DH92+(1-EXP(-LN(2)/2))/(LN(2)/2)*DB93*DE93*VLOOKUP('Données projet'!$B$13,Paramètres!$A$1:$I$89,3,0)*0.475*44/12</f>
        <v>4.6707696599036099E-8</v>
      </c>
      <c r="DI93" s="24">
        <f t="shared" si="69"/>
        <v>1.8446778710532954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419.0448820879102</v>
      </c>
      <c r="T94" s="62">
        <f t="shared" si="88"/>
        <v>553.33038335026379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4.50276843464043</v>
      </c>
      <c r="AA94" s="23">
        <f>EXP(-LN(2)/25)*AA93+(1-EXP(-LN(2)/25))/(LN(2)/25)*Calculateur!V94*Calculateur!X94*VLOOKUP('Données projet'!$B$9,Paramètres!$A$1:$I$89,3,0)*0.475*44/12</f>
        <v>4.3264214516231316</v>
      </c>
      <c r="AB94" s="23">
        <f>EXP(-LN(2)/2)*AB93+(1-EXP(-LN(2)/2))/(LN(2)/2)*V94*Y94*VLOOKUP('Données projet'!$B$9,Paramètres!$A$1:$I$89,3,0)*0.475*44/12</f>
        <v>1.1804413600223046E-8</v>
      </c>
      <c r="AC94" s="24">
        <f t="shared" si="57"/>
        <v>8.8291898980679751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1.9895196601282805E-13</v>
      </c>
      <c r="AJ94" s="14">
        <f>AI94*VLOOKUP('Données projet'!$B$10,Paramètres!$A$1:$I$89,3,0)*VLOOKUP('Données projet'!$B$10,Paramètres!$A$1:$I$89,5,0)</f>
        <v>1.738044375088066E-13</v>
      </c>
      <c r="AK94" s="14">
        <f t="shared" si="89"/>
        <v>2.4483293633950478E-12</v>
      </c>
      <c r="AL94" s="22">
        <f t="shared" si="58"/>
        <v>4.566883036574213E-12</v>
      </c>
      <c r="AM94" s="62">
        <f t="shared" si="59"/>
        <v>274.6868268428496</v>
      </c>
      <c r="AN94" s="62">
        <f ca="1">AVERAGE(OFFSET($AM$3,0,0,'Données projet'!$E$10+1,1))-AVERAGE(OFFSET($H$3,0,0,'Données projet'!$E$10+1,1))</f>
        <v>341.62910675299065</v>
      </c>
      <c r="AO94" s="62">
        <f t="shared" si="90"/>
        <v>407.15938341104709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4.7142620485992026</v>
      </c>
      <c r="AW94" s="23">
        <f>EXP(-LN(2)/2)*AW93+(1-EXP(-LN(2)/2))/(LN(2)/2)*AQ94*AT94*VLOOKUP('Données projet'!$B$10,Paramètres!$A$1:$I$89,3,0)*0.475*44/12</f>
        <v>1.2029308577853836E-8</v>
      </c>
      <c r="AX94" s="23">
        <f t="shared" si="60"/>
        <v>4.7142620606285108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278.67839999999995</v>
      </c>
      <c r="BF94" s="14">
        <f t="shared" si="91"/>
        <v>66.687639951856809</v>
      </c>
      <c r="BG94" s="22">
        <f t="shared" si="61"/>
        <v>601.51251958281716</v>
      </c>
      <c r="BH94" s="62">
        <f t="shared" si="62"/>
        <v>876.19934642566227</v>
      </c>
      <c r="BI94" s="62">
        <f ca="1">AVERAGE(OFFSET($BH$3,0,0,'Données projet'!$E$11+1,1))-AVERAGE(OFFSET($H$3,0,0,'Données projet'!$E$11+1,1))</f>
        <v>472.83070477639035</v>
      </c>
      <c r="BJ94" s="62">
        <f t="shared" si="92"/>
        <v>297.32483725004136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1.6825909487638047</v>
      </c>
      <c r="BR94" s="23">
        <f>EXP(-LN(2)/2)*BR93+(1-EXP(-LN(2)/2))/(LN(2)/2)*BL94*BO94*VLOOKUP('Données projet'!$B$11,Paramètres!$A$1:$I$89,3,0)*0.475*44/12</f>
        <v>9.8187502074334452E-9</v>
      </c>
      <c r="BS94" s="24">
        <f t="shared" si="63"/>
        <v>1.6825909585825549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-1.7053025658242404E-13</v>
      </c>
      <c r="BZ94" s="14">
        <f>BY94*VLOOKUP('Données projet'!$B$12,Paramètres!$A$1:$I$89,3,0)*VLOOKUP('Données projet'!$B$12,Paramètres!$A$1:$I$89,5,0)</f>
        <v>-9.3109520094003535E-14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262.64209686767367</v>
      </c>
      <c r="CE94" s="62">
        <f t="shared" si="94"/>
        <v>381.0342365342517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1.7370163130811507</v>
      </c>
      <c r="CL94" s="23">
        <f>EXP(-LN(2)/25)*CL93+(1-EXP(-LN(2)/25))/(LN(2)/25)*Calculateur!CG94*Calculateur!CI94*VLOOKUP('Données projet'!$B$12,Paramètres!$A$1:$I$89,3,0)*0.475*44/12</f>
        <v>2.4028410087865439</v>
      </c>
      <c r="CM94" s="23">
        <f>EXP(-LN(2)/2)*CM93+(1-EXP(-LN(2)/2))/(LN(2)/2)*CG94*CJ94*VLOOKUP('Données projet'!$B$12,Paramètres!$A$1:$I$89,3,0)*0.475*44/12</f>
        <v>8.1475221402967598E-9</v>
      </c>
      <c r="CN94" s="24">
        <f t="shared" si="66"/>
        <v>4.1398573300152162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projet'!$B$13,Paramètres!$A$1:$I$89,3,0)*VLOOKUP('Données projet'!$B$13,Paramètres!$A$1:$I$89,5,0)</f>
        <v>-8.3355189417488869E-14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250.11765444522138</v>
      </c>
      <c r="CZ94" s="62">
        <f t="shared" si="96"/>
        <v>241.42920565698913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1.7942350122314776</v>
      </c>
      <c r="DH94" s="23">
        <f>EXP(-LN(2)/2)*DH93+(1-EXP(-LN(2)/2))/(LN(2)/2)*DB94*DE94*VLOOKUP('Données projet'!$B$13,Paramètres!$A$1:$I$89,3,0)*0.475*44/12</f>
        <v>3.3027328998782269E-8</v>
      </c>
      <c r="DI94" s="24">
        <f t="shared" si="69"/>
        <v>1.7942350452588067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419.0448820879102</v>
      </c>
      <c r="T95" s="62">
        <f t="shared" si="88"/>
        <v>553.33038335026379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4.4144718920546904</v>
      </c>
      <c r="AA95" s="23">
        <f>EXP(-LN(2)/25)*AA94+(1-EXP(-LN(2)/25))/(LN(2)/25)*Calculateur!V95*Calculateur!X95*VLOOKUP('Données projet'!$B$9,Paramètres!$A$1:$I$89,3,0)*0.475*44/12</f>
        <v>4.2081152295118809</v>
      </c>
      <c r="AB95" s="23">
        <f>EXP(-LN(2)/2)*AB94+(1-EXP(-LN(2)/2))/(LN(2)/2)*V95*Y95*VLOOKUP('Données projet'!$B$9,Paramètres!$A$1:$I$89,3,0)*0.475*44/12</f>
        <v>8.3469809046484233E-9</v>
      </c>
      <c r="AC95" s="24">
        <f t="shared" si="57"/>
        <v>8.622587129913553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1.9895196601282805E-13</v>
      </c>
      <c r="AJ95" s="14">
        <f>AI95*VLOOKUP('Données projet'!$B$10,Paramètres!$A$1:$I$89,3,0)*VLOOKUP('Données projet'!$B$10,Paramètres!$A$1:$I$89,5,0)</f>
        <v>1.738044375088066E-13</v>
      </c>
      <c r="AK95" s="14">
        <f t="shared" si="89"/>
        <v>2.4483293633950478E-12</v>
      </c>
      <c r="AL95" s="22">
        <f t="shared" si="58"/>
        <v>4.566883036574213E-12</v>
      </c>
      <c r="AM95" s="62">
        <f t="shared" si="59"/>
        <v>275.01030204311627</v>
      </c>
      <c r="AN95" s="62">
        <f ca="1">AVERAGE(OFFSET($AM$3,0,0,'Données projet'!$E$10+1,1))-AVERAGE(OFFSET($H$3,0,0,'Données projet'!$E$10+1,1))</f>
        <v>341.62910675299065</v>
      </c>
      <c r="AO95" s="62">
        <f t="shared" si="90"/>
        <v>407.15938341104709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4.5853503049679905</v>
      </c>
      <c r="AW95" s="23">
        <f>EXP(-LN(2)/2)*AW94+(1-EXP(-LN(2)/2))/(LN(2)/2)*AQ95*AT95*VLOOKUP('Données projet'!$B$10,Paramètres!$A$1:$I$89,3,0)*0.475*44/12</f>
        <v>8.5060056683859514E-9</v>
      </c>
      <c r="AX95" s="23">
        <f t="shared" si="60"/>
        <v>4.5853503134739961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284.10719999999992</v>
      </c>
      <c r="BF95" s="14">
        <f t="shared" si="91"/>
        <v>67.834241327943715</v>
      </c>
      <c r="BG95" s="22">
        <f t="shared" si="61"/>
        <v>612.96467697950186</v>
      </c>
      <c r="BH95" s="62">
        <f t="shared" si="62"/>
        <v>887.97497902261352</v>
      </c>
      <c r="BI95" s="62">
        <f ca="1">AVERAGE(OFFSET($BH$3,0,0,'Données projet'!$E$11+1,1))-AVERAGE(OFFSET($H$3,0,0,'Données projet'!$E$11+1,1))</f>
        <v>472.83070477639035</v>
      </c>
      <c r="BJ95" s="62">
        <f t="shared" si="92"/>
        <v>297.32483725004136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1.6365804107862461</v>
      </c>
      <c r="BR95" s="23">
        <f>EXP(-LN(2)/2)*BR94+(1-EXP(-LN(2)/2))/(LN(2)/2)*BL95*BO95*VLOOKUP('Données projet'!$B$11,Paramètres!$A$1:$I$89,3,0)*0.475*44/12</f>
        <v>6.9429048544530093E-9</v>
      </c>
      <c r="BS95" s="24">
        <f t="shared" si="63"/>
        <v>1.636580417729151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-1.7053025658242404E-13</v>
      </c>
      <c r="BZ95" s="14">
        <f>BY95*VLOOKUP('Données projet'!$B$12,Paramètres!$A$1:$I$89,3,0)*VLOOKUP('Données projet'!$B$12,Paramètres!$A$1:$I$89,5,0)</f>
        <v>-9.3109520094003535E-14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262.64209686767367</v>
      </c>
      <c r="CE95" s="62">
        <f t="shared" si="94"/>
        <v>381.0342365342517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1.7029544826569658</v>
      </c>
      <c r="CL95" s="23">
        <f>EXP(-LN(2)/25)*CL94+(1-EXP(-LN(2)/25))/(LN(2)/25)*Calculateur!CG95*Calculateur!CI95*VLOOKUP('Données projet'!$B$12,Paramètres!$A$1:$I$89,3,0)*0.475*44/12</f>
        <v>2.337135195041359</v>
      </c>
      <c r="CM95" s="23">
        <f>EXP(-LN(2)/2)*CM94+(1-EXP(-LN(2)/2))/(LN(2)/2)*CG95*CJ95*VLOOKUP('Données projet'!$B$12,Paramètres!$A$1:$I$89,3,0)*0.475*44/12</f>
        <v>5.7611681552713723E-9</v>
      </c>
      <c r="CN95" s="24">
        <f t="shared" si="66"/>
        <v>4.0400896834594935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projet'!$B$13,Paramètres!$A$1:$I$89,3,0)*VLOOKUP('Données projet'!$B$13,Paramètres!$A$1:$I$89,5,0)</f>
        <v>-8.3355189417488869E-14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250.11765444522138</v>
      </c>
      <c r="CZ95" s="62">
        <f t="shared" si="96"/>
        <v>241.42920565698913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1.7451715614672894</v>
      </c>
      <c r="DH95" s="23">
        <f>EXP(-LN(2)/2)*DH94+(1-EXP(-LN(2)/2))/(LN(2)/2)*DB95*DE95*VLOOKUP('Données projet'!$B$13,Paramètres!$A$1:$I$89,3,0)*0.475*44/12</f>
        <v>2.335384829951805E-8</v>
      </c>
      <c r="DI95" s="24">
        <f t="shared" si="69"/>
        <v>1.7451715848211375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419.0448820879102</v>
      </c>
      <c r="T96" s="62">
        <f t="shared" si="88"/>
        <v>553.33038335026379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4.3279067908134836</v>
      </c>
      <c r="AA96" s="23">
        <f>EXP(-LN(2)/25)*AA95+(1-EXP(-LN(2)/25))/(LN(2)/25)*Calculateur!V96*Calculateur!X96*VLOOKUP('Données projet'!$B$9,Paramètres!$A$1:$I$89,3,0)*0.475*44/12</f>
        <v>4.0930440972657163</v>
      </c>
      <c r="AB96" s="23">
        <f>EXP(-LN(2)/2)*AB95+(1-EXP(-LN(2)/2))/(LN(2)/2)*V96*Y96*VLOOKUP('Données projet'!$B$9,Paramètres!$A$1:$I$89,3,0)*0.475*44/12</f>
        <v>5.9022068001115232E-9</v>
      </c>
      <c r="AC96" s="24">
        <f t="shared" si="57"/>
        <v>8.4209508939814075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1.9895196601282805E-13</v>
      </c>
      <c r="AJ96" s="14">
        <f>AI96*VLOOKUP('Données projet'!$B$10,Paramètres!$A$1:$I$89,3,0)*VLOOKUP('Données projet'!$B$10,Paramètres!$A$1:$I$89,5,0)</f>
        <v>1.738044375088066E-13</v>
      </c>
      <c r="AK96" s="14">
        <f t="shared" si="89"/>
        <v>2.4483293633950478E-12</v>
      </c>
      <c r="AL96" s="22">
        <f t="shared" si="58"/>
        <v>4.566883036574213E-12</v>
      </c>
      <c r="AM96" s="62">
        <f t="shared" si="59"/>
        <v>275.32816567184051</v>
      </c>
      <c r="AN96" s="62">
        <f ca="1">AVERAGE(OFFSET($AM$3,0,0,'Données projet'!$E$10+1,1))-AVERAGE(OFFSET($H$3,0,0,'Données projet'!$E$10+1,1))</f>
        <v>341.62910675299065</v>
      </c>
      <c r="AO96" s="62">
        <f t="shared" si="90"/>
        <v>407.15938341104709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4.4599636597455481</v>
      </c>
      <c r="AW96" s="23">
        <f>EXP(-LN(2)/2)*AW95+(1-EXP(-LN(2)/2))/(LN(2)/2)*AQ96*AT96*VLOOKUP('Données projet'!$B$10,Paramètres!$A$1:$I$89,3,0)*0.475*44/12</f>
        <v>6.014654288926918E-9</v>
      </c>
      <c r="AX96" s="23">
        <f t="shared" si="60"/>
        <v>4.4599636657602026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289.53599999999994</v>
      </c>
      <c r="BF96" s="14">
        <f t="shared" si="91"/>
        <v>68.97829509904436</v>
      </c>
      <c r="BG96" s="22">
        <f t="shared" si="61"/>
        <v>624.41239729750214</v>
      </c>
      <c r="BH96" s="62">
        <f t="shared" si="62"/>
        <v>899.74056296933804</v>
      </c>
      <c r="BI96" s="62">
        <f ca="1">AVERAGE(OFFSET($BH$3,0,0,'Données projet'!$E$11+1,1))-AVERAGE(OFFSET($H$3,0,0,'Données projet'!$E$11+1,1))</f>
        <v>472.83070477639035</v>
      </c>
      <c r="BJ96" s="62">
        <f t="shared" si="92"/>
        <v>297.32483725004136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1.5918280333892727</v>
      </c>
      <c r="BR96" s="23">
        <f>EXP(-LN(2)/2)*BR95+(1-EXP(-LN(2)/2))/(LN(2)/2)*BL96*BO96*VLOOKUP('Données projet'!$B$11,Paramètres!$A$1:$I$89,3,0)*0.475*44/12</f>
        <v>4.9093751037167226E-9</v>
      </c>
      <c r="BS96" s="24">
        <f t="shared" si="63"/>
        <v>1.5918280382986478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-1.7053025658242404E-13</v>
      </c>
      <c r="BZ96" s="14">
        <f>BY96*VLOOKUP('Données projet'!$B$12,Paramètres!$A$1:$I$89,3,0)*VLOOKUP('Données projet'!$B$12,Paramètres!$A$1:$I$89,5,0)</f>
        <v>-9.3109520094003535E-14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262.64209686767367</v>
      </c>
      <c r="CE96" s="62">
        <f t="shared" si="94"/>
        <v>381.0342365342517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1.669560583951734</v>
      </c>
      <c r="CL96" s="23">
        <f>EXP(-LN(2)/25)*CL95+(1-EXP(-LN(2)/25))/(LN(2)/25)*Calculateur!CG96*Calculateur!CI96*VLOOKUP('Données projet'!$B$12,Paramètres!$A$1:$I$89,3,0)*0.475*44/12</f>
        <v>2.2732261102283546</v>
      </c>
      <c r="CM96" s="23">
        <f>EXP(-LN(2)/2)*CM95+(1-EXP(-LN(2)/2))/(LN(2)/2)*CG96*CJ96*VLOOKUP('Données projet'!$B$12,Paramètres!$A$1:$I$89,3,0)*0.475*44/12</f>
        <v>4.0737610701483799E-9</v>
      </c>
      <c r="CN96" s="24">
        <f t="shared" si="66"/>
        <v>3.9427866982538493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projet'!$B$13,Paramètres!$A$1:$I$89,3,0)*VLOOKUP('Données projet'!$B$13,Paramètres!$A$1:$I$89,5,0)</f>
        <v>-8.3355189417488869E-14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250.11765444522138</v>
      </c>
      <c r="CZ96" s="62">
        <f t="shared" si="96"/>
        <v>241.42920565698913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1.6974497533443826</v>
      </c>
      <c r="DH96" s="23">
        <f>EXP(-LN(2)/2)*DH95+(1-EXP(-LN(2)/2))/(LN(2)/2)*DB96*DE96*VLOOKUP('Données projet'!$B$13,Paramètres!$A$1:$I$89,3,0)*0.475*44/12</f>
        <v>1.6513664499391134E-8</v>
      </c>
      <c r="DI96" s="24">
        <f t="shared" si="69"/>
        <v>1.6974497698580471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419.0448820879102</v>
      </c>
      <c r="T97" s="62">
        <f t="shared" si="88"/>
        <v>553.33038335026379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4.2430391784081189</v>
      </c>
      <c r="AA97" s="23">
        <f>EXP(-LN(2)/25)*AA96+(1-EXP(-LN(2)/25))/(LN(2)/25)*Calculateur!V97*Calculateur!X97*VLOOKUP('Données projet'!$B$9,Paramètres!$A$1:$I$89,3,0)*0.475*44/12</f>
        <v>3.9811195911821509</v>
      </c>
      <c r="AB97" s="23">
        <f>EXP(-LN(2)/2)*AB96+(1-EXP(-LN(2)/2))/(LN(2)/2)*V97*Y97*VLOOKUP('Données projet'!$B$9,Paramètres!$A$1:$I$89,3,0)*0.475*44/12</f>
        <v>4.1734904523242116E-9</v>
      </c>
      <c r="AC97" s="24">
        <f t="shared" si="57"/>
        <v>8.2241587737637598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1.9895196601282805E-13</v>
      </c>
      <c r="AJ97" s="14">
        <f>AI97*VLOOKUP('Données projet'!$B$10,Paramètres!$A$1:$I$89,3,0)*VLOOKUP('Données projet'!$B$10,Paramètres!$A$1:$I$89,5,0)</f>
        <v>1.738044375088066E-13</v>
      </c>
      <c r="AK97" s="14">
        <f t="shared" si="89"/>
        <v>2.4483293633950478E-12</v>
      </c>
      <c r="AL97" s="22">
        <f t="shared" si="58"/>
        <v>4.566883036574213E-12</v>
      </c>
      <c r="AM97" s="62">
        <f t="shared" si="59"/>
        <v>275.64051507724304</v>
      </c>
      <c r="AN97" s="62">
        <f ca="1">AVERAGE(OFFSET($AM$3,0,0,'Données projet'!$E$10+1,1))-AVERAGE(OFFSET($H$3,0,0,'Données projet'!$E$10+1,1))</f>
        <v>341.62910675299065</v>
      </c>
      <c r="AO97" s="62">
        <f t="shared" si="90"/>
        <v>407.15938341104709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4.3380057189305106</v>
      </c>
      <c r="AW97" s="23">
        <f>EXP(-LN(2)/2)*AW96+(1-EXP(-LN(2)/2))/(LN(2)/2)*AQ97*AT97*VLOOKUP('Données projet'!$B$10,Paramètres!$A$1:$I$89,3,0)*0.475*44/12</f>
        <v>4.2530028341929757E-9</v>
      </c>
      <c r="AX97" s="23">
        <f t="shared" si="60"/>
        <v>4.338005723183513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294.96479999999997</v>
      </c>
      <c r="BF97" s="14">
        <f t="shared" si="91"/>
        <v>70.119854541045001</v>
      </c>
      <c r="BG97" s="22">
        <f t="shared" si="61"/>
        <v>635.85577332565333</v>
      </c>
      <c r="BH97" s="62">
        <f t="shared" si="62"/>
        <v>911.49628840289188</v>
      </c>
      <c r="BI97" s="62">
        <f ca="1">AVERAGE(OFFSET($BH$3,0,0,'Données projet'!$E$11+1,1))-AVERAGE(OFFSET($H$3,0,0,'Données projet'!$E$11+1,1))</f>
        <v>472.83070477639035</v>
      </c>
      <c r="BJ97" s="62">
        <f t="shared" si="92"/>
        <v>297.32483725004136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1.548299412105645</v>
      </c>
      <c r="BR97" s="23">
        <f>EXP(-LN(2)/2)*BR96+(1-EXP(-LN(2)/2))/(LN(2)/2)*BL97*BO97*VLOOKUP('Données projet'!$B$11,Paramètres!$A$1:$I$89,3,0)*0.475*44/12</f>
        <v>3.4714524272265047E-9</v>
      </c>
      <c r="BS97" s="24">
        <f t="shared" si="63"/>
        <v>1.5482994155770975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-1.7053025658242404E-13</v>
      </c>
      <c r="BZ97" s="14">
        <f>BY97*VLOOKUP('Données projet'!$B$12,Paramètres!$A$1:$I$89,3,0)*VLOOKUP('Données projet'!$B$12,Paramètres!$A$1:$I$89,5,0)</f>
        <v>-9.3109520094003535E-14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262.64209686767367</v>
      </c>
      <c r="CE97" s="62">
        <f t="shared" si="94"/>
        <v>381.0342365342517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1.6368215192318449</v>
      </c>
      <c r="CL97" s="23">
        <f>EXP(-LN(2)/25)*CL96+(1-EXP(-LN(2)/25))/(LN(2)/25)*Calculateur!CG97*Calculateur!CI97*VLOOKUP('Données projet'!$B$12,Paramètres!$A$1:$I$89,3,0)*0.475*44/12</f>
        <v>2.2110646227003947</v>
      </c>
      <c r="CM97" s="23">
        <f>EXP(-LN(2)/2)*CM96+(1-EXP(-LN(2)/2))/(LN(2)/2)*CG97*CJ97*VLOOKUP('Données projet'!$B$12,Paramètres!$A$1:$I$89,3,0)*0.475*44/12</f>
        <v>2.8805840776356862E-9</v>
      </c>
      <c r="CN97" s="24">
        <f t="shared" si="66"/>
        <v>3.8478861448128239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projet'!$B$13,Paramètres!$A$1:$I$89,3,0)*VLOOKUP('Données projet'!$B$13,Paramètres!$A$1:$I$89,5,0)</f>
        <v>-8.3355189417488869E-14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250.11765444522138</v>
      </c>
      <c r="CZ97" s="62">
        <f t="shared" si="96"/>
        <v>241.42920565698913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1.6510329005741775</v>
      </c>
      <c r="DH97" s="23">
        <f>EXP(-LN(2)/2)*DH96+(1-EXP(-LN(2)/2))/(LN(2)/2)*DB97*DE97*VLOOKUP('Données projet'!$B$13,Paramètres!$A$1:$I$89,3,0)*0.475*44/12</f>
        <v>1.1676924149759025E-8</v>
      </c>
      <c r="DI97" s="24">
        <f t="shared" si="69"/>
        <v>1.6510329122511016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419.0448820879102</v>
      </c>
      <c r="T98" s="62">
        <f t="shared" si="88"/>
        <v>553.33038335026379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4.1598357681178912</v>
      </c>
      <c r="AA98" s="23">
        <f>EXP(-LN(2)/25)*AA97+(1-EXP(-LN(2)/25))/(LN(2)/25)*Calculateur!V98*Calculateur!X98*VLOOKUP('Données projet'!$B$9,Paramètres!$A$1:$I$89,3,0)*0.475*44/12</f>
        <v>3.8722556666032948</v>
      </c>
      <c r="AB98" s="23">
        <f>EXP(-LN(2)/2)*AB97+(1-EXP(-LN(2)/2))/(LN(2)/2)*V98*Y98*VLOOKUP('Données projet'!$B$9,Paramètres!$A$1:$I$89,3,0)*0.475*44/12</f>
        <v>2.9511034000557616E-9</v>
      </c>
      <c r="AC98" s="24">
        <f t="shared" si="57"/>
        <v>8.0320914376722907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1.9895196601282805E-13</v>
      </c>
      <c r="AJ98" s="14">
        <f>AI98*VLOOKUP('Données projet'!$B$10,Paramètres!$A$1:$I$89,3,0)*VLOOKUP('Données projet'!$B$10,Paramètres!$A$1:$I$89,5,0)</f>
        <v>1.738044375088066E-13</v>
      </c>
      <c r="AK98" s="14">
        <f t="shared" si="89"/>
        <v>2.4483293633950478E-12</v>
      </c>
      <c r="AL98" s="22">
        <f t="shared" si="58"/>
        <v>4.566883036574213E-12</v>
      </c>
      <c r="AM98" s="62">
        <f t="shared" si="59"/>
        <v>275.94744591877048</v>
      </c>
      <c r="AN98" s="62">
        <f ca="1">AVERAGE(OFFSET($AM$3,0,0,'Données projet'!$E$10+1,1))-AVERAGE(OFFSET($H$3,0,0,'Données projet'!$E$10+1,1))</f>
        <v>341.62910675299065</v>
      </c>
      <c r="AO98" s="62">
        <f t="shared" si="90"/>
        <v>407.15938341104709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4.2193827244205497</v>
      </c>
      <c r="AW98" s="23">
        <f>EXP(-LN(2)/2)*AW97+(1-EXP(-LN(2)/2))/(LN(2)/2)*AQ98*AT98*VLOOKUP('Données projet'!$B$10,Paramètres!$A$1:$I$89,3,0)*0.475*44/12</f>
        <v>3.007327144463459E-9</v>
      </c>
      <c r="AX98" s="23">
        <f t="shared" si="60"/>
        <v>4.2193827274278766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300.39359999999994</v>
      </c>
      <c r="BF98" s="14">
        <f t="shared" si="91"/>
        <v>71.258970856492667</v>
      </c>
      <c r="BG98" s="22">
        <f t="shared" si="61"/>
        <v>647.29489424172459</v>
      </c>
      <c r="BH98" s="62">
        <f t="shared" si="62"/>
        <v>923.24234016049058</v>
      </c>
      <c r="BI98" s="62">
        <f ca="1">AVERAGE(OFFSET($BH$3,0,0,'Données projet'!$E$11+1,1))-AVERAGE(OFFSET($H$3,0,0,'Données projet'!$E$11+1,1))</f>
        <v>472.83070477639035</v>
      </c>
      <c r="BJ98" s="62">
        <f t="shared" si="92"/>
        <v>297.32483725004136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1.5059610832600887</v>
      </c>
      <c r="BR98" s="23">
        <f>EXP(-LN(2)/2)*BR97+(1-EXP(-LN(2)/2))/(LN(2)/2)*BL98*BO98*VLOOKUP('Données projet'!$B$11,Paramètres!$A$1:$I$89,3,0)*0.475*44/12</f>
        <v>2.4546875518583613E-9</v>
      </c>
      <c r="BS98" s="24">
        <f t="shared" si="63"/>
        <v>1.5059610857147763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-1.7053025658242404E-13</v>
      </c>
      <c r="BZ98" s="14">
        <f>BY98*VLOOKUP('Données projet'!$B$12,Paramètres!$A$1:$I$89,3,0)*VLOOKUP('Données projet'!$B$12,Paramètres!$A$1:$I$89,5,0)</f>
        <v>-9.3109520094003535E-14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262.64209686767367</v>
      </c>
      <c r="CE98" s="62">
        <f t="shared" si="94"/>
        <v>381.0342365342517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1.6047244476022551</v>
      </c>
      <c r="CL98" s="23">
        <f>EXP(-LN(2)/25)*CL97+(1-EXP(-LN(2)/25))/(LN(2)/25)*Calculateur!CG98*Calculateur!CI98*VLOOKUP('Données projet'!$B$12,Paramètres!$A$1:$I$89,3,0)*0.475*44/12</f>
        <v>2.1506029443178174</v>
      </c>
      <c r="CM98" s="23">
        <f>EXP(-LN(2)/2)*CM97+(1-EXP(-LN(2)/2))/(LN(2)/2)*CG98*CJ98*VLOOKUP('Données projet'!$B$12,Paramètres!$A$1:$I$89,3,0)*0.475*44/12</f>
        <v>2.0368805350741899E-9</v>
      </c>
      <c r="CN98" s="24">
        <f t="shared" si="66"/>
        <v>3.7553273939569531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projet'!$B$13,Paramètres!$A$1:$I$89,3,0)*VLOOKUP('Données projet'!$B$13,Paramètres!$A$1:$I$89,5,0)</f>
        <v>-8.3355189417488869E-14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250.11765444522138</v>
      </c>
      <c r="CZ98" s="62">
        <f t="shared" si="96"/>
        <v>241.42920565698913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1.60588531908393</v>
      </c>
      <c r="DH98" s="23">
        <f>EXP(-LN(2)/2)*DH97+(1-EXP(-LN(2)/2))/(LN(2)/2)*DB98*DE98*VLOOKUP('Données projet'!$B$13,Paramètres!$A$1:$I$89,3,0)*0.475*44/12</f>
        <v>8.2568322496955671E-9</v>
      </c>
      <c r="DI98" s="24">
        <f t="shared" si="69"/>
        <v>1.6058853273407623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419.0448820879102</v>
      </c>
      <c r="T99" s="62">
        <f t="shared" si="88"/>
        <v>553.33038335026379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4.0782639259543858</v>
      </c>
      <c r="AA99" s="23">
        <f>EXP(-LN(2)/25)*AA98+(1-EXP(-LN(2)/25))/(LN(2)/25)*Calculateur!V99*Calculateur!X99*VLOOKUP('Données projet'!$B$9,Paramètres!$A$1:$I$89,3,0)*0.475*44/12</f>
        <v>3.7663686317669525</v>
      </c>
      <c r="AB99" s="23">
        <f>EXP(-LN(2)/2)*AB98+(1-EXP(-LN(2)/2))/(LN(2)/2)*V99*Y99*VLOOKUP('Données projet'!$B$9,Paramètres!$A$1:$I$89,3,0)*0.475*44/12</f>
        <v>2.0867452261621058E-9</v>
      </c>
      <c r="AC99" s="24">
        <f t="shared" si="57"/>
        <v>7.8446325598080833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1.9895196601282805E-13</v>
      </c>
      <c r="AJ99" s="14">
        <f>AI99*VLOOKUP('Données projet'!$B$10,Paramètres!$A$1:$I$89,3,0)*VLOOKUP('Données projet'!$B$10,Paramètres!$A$1:$I$89,5,0)</f>
        <v>1.738044375088066E-13</v>
      </c>
      <c r="AK99" s="14">
        <f t="shared" si="89"/>
        <v>2.4483293633950478E-12</v>
      </c>
      <c r="AL99" s="22">
        <f t="shared" si="58"/>
        <v>4.566883036574213E-12</v>
      </c>
      <c r="AM99" s="62">
        <f t="shared" si="59"/>
        <v>276.24905219639197</v>
      </c>
      <c r="AN99" s="62">
        <f ca="1">AVERAGE(OFFSET($AM$3,0,0,'Données projet'!$E$10+1,1))-AVERAGE(OFFSET($H$3,0,0,'Données projet'!$E$10+1,1))</f>
        <v>341.62910675299065</v>
      </c>
      <c r="AO99" s="62">
        <f t="shared" si="90"/>
        <v>407.15938341104709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4.1040034819335762</v>
      </c>
      <c r="AW99" s="23">
        <f>EXP(-LN(2)/2)*AW98+(1-EXP(-LN(2)/2))/(LN(2)/2)*AQ99*AT99*VLOOKUP('Données projet'!$B$10,Paramètres!$A$1:$I$89,3,0)*0.475*44/12</f>
        <v>2.1265014170964879E-9</v>
      </c>
      <c r="AX99" s="23">
        <f t="shared" si="60"/>
        <v>4.1040034840600779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280.30703999999997</v>
      </c>
      <c r="BF99" s="14">
        <f t="shared" si="91"/>
        <v>67.03189112007388</v>
      </c>
      <c r="BG99" s="22">
        <f t="shared" si="61"/>
        <v>604.94863836746197</v>
      </c>
      <c r="BH99" s="62">
        <f t="shared" si="62"/>
        <v>881.19769056384939</v>
      </c>
      <c r="BI99" s="62">
        <f ca="1">AVERAGE(OFFSET($BH$3,0,0,'Données projet'!$E$11+1,1))-AVERAGE(OFFSET($H$3,0,0,'Données projet'!$E$11+1,1))</f>
        <v>472.83070477639035</v>
      </c>
      <c r="BJ99" s="62">
        <f t="shared" si="92"/>
        <v>297.32483725004136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1.4647804982432902</v>
      </c>
      <c r="BR99" s="23">
        <f>EXP(-LN(2)/2)*BR98+(1-EXP(-LN(2)/2))/(LN(2)/2)*BL99*BO99*VLOOKUP('Données projet'!$B$11,Paramètres!$A$1:$I$89,3,0)*0.475*44/12</f>
        <v>1.7357262136132523E-9</v>
      </c>
      <c r="BS99" s="24">
        <f t="shared" si="63"/>
        <v>1.4647804999790164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-1.7053025658242404E-13</v>
      </c>
      <c r="BZ99" s="14">
        <f>BY99*VLOOKUP('Données projet'!$B$12,Paramètres!$A$1:$I$89,3,0)*VLOOKUP('Données projet'!$B$12,Paramètres!$A$1:$I$89,5,0)</f>
        <v>-9.3109520094003535E-14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262.64209686767367</v>
      </c>
      <c r="CE99" s="62">
        <f t="shared" si="94"/>
        <v>381.0342365342517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1.5732567799700408</v>
      </c>
      <c r="CL99" s="23">
        <f>EXP(-LN(2)/25)*CL98+(1-EXP(-LN(2)/25))/(LN(2)/25)*Calculateur!CG99*Calculateur!CI99*VLOOKUP('Données projet'!$B$12,Paramètres!$A$1:$I$89,3,0)*0.475*44/12</f>
        <v>2.0917945937101532</v>
      </c>
      <c r="CM99" s="23">
        <f>EXP(-LN(2)/2)*CM98+(1-EXP(-LN(2)/2))/(LN(2)/2)*CG99*CJ99*VLOOKUP('Données projet'!$B$12,Paramètres!$A$1:$I$89,3,0)*0.475*44/12</f>
        <v>1.4402920388178431E-9</v>
      </c>
      <c r="CN99" s="24">
        <f t="shared" si="66"/>
        <v>3.6650513751204858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projet'!$B$13,Paramètres!$A$1:$I$89,3,0)*VLOOKUP('Données projet'!$B$13,Paramètres!$A$1:$I$89,5,0)</f>
        <v>-8.3355189417488869E-14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250.11765444522138</v>
      </c>
      <c r="CZ99" s="62">
        <f t="shared" si="96"/>
        <v>241.42920565698913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1.5619723005837411</v>
      </c>
      <c r="DH99" s="23">
        <f>EXP(-LN(2)/2)*DH98+(1-EXP(-LN(2)/2))/(LN(2)/2)*DB99*DE99*VLOOKUP('Données projet'!$B$13,Paramètres!$A$1:$I$89,3,0)*0.475*44/12</f>
        <v>5.8384620748795124E-9</v>
      </c>
      <c r="DI99" s="24">
        <f t="shared" si="69"/>
        <v>1.5619723064222033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419.0448820879102</v>
      </c>
      <c r="T100" s="62">
        <f t="shared" si="88"/>
        <v>553.33038335026379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3.9982916578617953</v>
      </c>
      <c r="AA100" s="23">
        <f>EXP(-LN(2)/25)*AA99+(1-EXP(-LN(2)/25))/(LN(2)/25)*Calculateur!V100*Calculateur!X100*VLOOKUP('Données projet'!$B$9,Paramètres!$A$1:$I$89,3,0)*0.475*44/12</f>
        <v>3.6633770834665671</v>
      </c>
      <c r="AB100" s="23">
        <f>EXP(-LN(2)/2)*AB99+(1-EXP(-LN(2)/2))/(LN(2)/2)*V100*Y100*VLOOKUP('Données projet'!$B$9,Paramètres!$A$1:$I$89,3,0)*0.475*44/12</f>
        <v>1.4755517000278808E-9</v>
      </c>
      <c r="AC100" s="24">
        <f t="shared" si="57"/>
        <v>7.661668742803915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1.9895196601282805E-13</v>
      </c>
      <c r="AJ100" s="14">
        <f>AI100*VLOOKUP('Données projet'!$B$10,Paramètres!$A$1:$I$89,3,0)*VLOOKUP('Données projet'!$B$10,Paramètres!$A$1:$I$89,5,0)</f>
        <v>1.738044375088066E-13</v>
      </c>
      <c r="AK100" s="14">
        <f t="shared" si="89"/>
        <v>2.4483293633950478E-12</v>
      </c>
      <c r="AL100" s="22">
        <f t="shared" si="58"/>
        <v>4.566883036574213E-12</v>
      </c>
      <c r="AM100" s="62">
        <f t="shared" si="59"/>
        <v>276.54542627938736</v>
      </c>
      <c r="AN100" s="62">
        <f ca="1">AVERAGE(OFFSET($AM$3,0,0,'Données projet'!$E$10+1,1))-AVERAGE(OFFSET($H$3,0,0,'Données projet'!$E$10+1,1))</f>
        <v>341.62910675299065</v>
      </c>
      <c r="AO100" s="62">
        <f t="shared" si="90"/>
        <v>407.15938341104709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3.9917792908999394</v>
      </c>
      <c r="AW100" s="23">
        <f>EXP(-LN(2)/2)*AW99+(1-EXP(-LN(2)/2))/(LN(2)/2)*AQ100*AT100*VLOOKUP('Données projet'!$B$10,Paramètres!$A$1:$I$89,3,0)*0.475*44/12</f>
        <v>1.5036635722317295E-9</v>
      </c>
      <c r="AX100" s="23">
        <f t="shared" si="60"/>
        <v>3.9917792924036029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285.55487999999997</v>
      </c>
      <c r="BF100" s="14">
        <f t="shared" si="91"/>
        <v>68.139569194998018</v>
      </c>
      <c r="BG100" s="22">
        <f t="shared" si="61"/>
        <v>616.01783234795482</v>
      </c>
      <c r="BH100" s="62">
        <f t="shared" si="62"/>
        <v>892.56325862733763</v>
      </c>
      <c r="BI100" s="62">
        <f ca="1">AVERAGE(OFFSET($BH$3,0,0,'Données projet'!$E$11+1,1))-AVERAGE(OFFSET($H$3,0,0,'Données projet'!$E$11+1,1))</f>
        <v>472.83070477639035</v>
      </c>
      <c r="BJ100" s="62">
        <f t="shared" si="92"/>
        <v>297.32483725004136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1.4247259984893688</v>
      </c>
      <c r="BR100" s="23">
        <f>EXP(-LN(2)/2)*BR99+(1-EXP(-LN(2)/2))/(LN(2)/2)*BL100*BO100*VLOOKUP('Données projet'!$B$11,Paramètres!$A$1:$I$89,3,0)*0.475*44/12</f>
        <v>1.2273437759291807E-9</v>
      </c>
      <c r="BS100" s="24">
        <f t="shared" si="63"/>
        <v>1.4247259997167125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-1.7053025658242404E-13</v>
      </c>
      <c r="BZ100" s="14">
        <f>BY100*VLOOKUP('Données projet'!$B$12,Paramètres!$A$1:$I$89,3,0)*VLOOKUP('Données projet'!$B$12,Paramètres!$A$1:$I$89,5,0)</f>
        <v>-9.3109520094003535E-14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262.64209686767367</v>
      </c>
      <c r="CE100" s="62">
        <f t="shared" si="94"/>
        <v>381.0342365342517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1.5424061741067123</v>
      </c>
      <c r="CL100" s="23">
        <f>EXP(-LN(2)/25)*CL99+(1-EXP(-LN(2)/25))/(LN(2)/25)*Calculateur!CG100*Calculateur!CI100*VLOOKUP('Données projet'!$B$12,Paramètres!$A$1:$I$89,3,0)*0.475*44/12</f>
        <v>2.0345943605424521</v>
      </c>
      <c r="CM100" s="23">
        <f>EXP(-LN(2)/2)*CM99+(1-EXP(-LN(2)/2))/(LN(2)/2)*CG100*CJ100*VLOOKUP('Données projet'!$B$12,Paramètres!$A$1:$I$89,3,0)*0.475*44/12</f>
        <v>1.018440267537095E-9</v>
      </c>
      <c r="CN100" s="24">
        <f t="shared" si="66"/>
        <v>3.5770005356676049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projet'!$B$13,Paramètres!$A$1:$I$89,3,0)*VLOOKUP('Données projet'!$B$13,Paramètres!$A$1:$I$89,5,0)</f>
        <v>-8.3355189417488869E-14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250.11765444522138</v>
      </c>
      <c r="CZ100" s="62">
        <f t="shared" si="96"/>
        <v>241.42920565698913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1.5192600858837253</v>
      </c>
      <c r="DH100" s="23">
        <f>EXP(-LN(2)/2)*DH99+(1-EXP(-LN(2)/2))/(LN(2)/2)*DB100*DE100*VLOOKUP('Données projet'!$B$13,Paramètres!$A$1:$I$89,3,0)*0.475*44/12</f>
        <v>4.1284161248477836E-9</v>
      </c>
      <c r="DI100" s="24">
        <f t="shared" si="69"/>
        <v>1.5192600900121414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419.0448820879102</v>
      </c>
      <c r="T101" s="62">
        <f t="shared" si="88"/>
        <v>553.33038335026379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3.9198875971682337</v>
      </c>
      <c r="AA101" s="23">
        <f>EXP(-LN(2)/25)*AA100+(1-EXP(-LN(2)/25))/(LN(2)/25)*Calculateur!V101*Calculateur!X101*VLOOKUP('Données projet'!$B$9,Paramètres!$A$1:$I$89,3,0)*0.475*44/12</f>
        <v>3.5632018444705458</v>
      </c>
      <c r="AB101" s="23">
        <f>EXP(-LN(2)/2)*AB100+(1-EXP(-LN(2)/2))/(LN(2)/2)*V101*Y101*VLOOKUP('Données projet'!$B$9,Paramètres!$A$1:$I$89,3,0)*0.475*44/12</f>
        <v>1.0433726130810529E-9</v>
      </c>
      <c r="AC101" s="24">
        <f t="shared" si="57"/>
        <v>7.4830894426821519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1.9895196601282805E-13</v>
      </c>
      <c r="AJ101" s="14">
        <f>AI101*VLOOKUP('Données projet'!$B$10,Paramètres!$A$1:$I$89,3,0)*VLOOKUP('Données projet'!$B$10,Paramètres!$A$1:$I$89,5,0)</f>
        <v>1.738044375088066E-13</v>
      </c>
      <c r="AK101" s="14">
        <f t="shared" si="89"/>
        <v>2.4483293633950478E-12</v>
      </c>
      <c r="AL101" s="22">
        <f t="shared" si="58"/>
        <v>4.566883036574213E-12</v>
      </c>
      <c r="AM101" s="62">
        <f t="shared" si="59"/>
        <v>276.83665893463592</v>
      </c>
      <c r="AN101" s="62">
        <f ca="1">AVERAGE(OFFSET($AM$3,0,0,'Données projet'!$E$10+1,1))-AVERAGE(OFFSET($H$3,0,0,'Données projet'!$E$10+1,1))</f>
        <v>341.62910675299065</v>
      </c>
      <c r="AO101" s="62">
        <f t="shared" si="90"/>
        <v>407.15938341104709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3.8826238762717309</v>
      </c>
      <c r="AW101" s="23">
        <f>EXP(-LN(2)/2)*AW100+(1-EXP(-LN(2)/2))/(LN(2)/2)*AQ101*AT101*VLOOKUP('Données projet'!$B$10,Paramètres!$A$1:$I$89,3,0)*0.475*44/12</f>
        <v>1.0632507085482439E-9</v>
      </c>
      <c r="AX101" s="23">
        <f t="shared" si="60"/>
        <v>3.8826238773349817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290.80271999999997</v>
      </c>
      <c r="BF101" s="14">
        <f t="shared" si="91"/>
        <v>69.244880157128961</v>
      </c>
      <c r="BG101" s="22">
        <f t="shared" si="61"/>
        <v>627.08290360699959</v>
      </c>
      <c r="BH101" s="62">
        <f t="shared" si="62"/>
        <v>903.91956254163097</v>
      </c>
      <c r="BI101" s="62">
        <f ca="1">AVERAGE(OFFSET($BH$3,0,0,'Données projet'!$E$11+1,1))-AVERAGE(OFFSET($H$3,0,0,'Données projet'!$E$11+1,1))</f>
        <v>472.83070477639035</v>
      </c>
      <c r="BJ101" s="62">
        <f t="shared" si="92"/>
        <v>297.32483725004136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1.385766791137593</v>
      </c>
      <c r="BR101" s="23">
        <f>EXP(-LN(2)/2)*BR100+(1-EXP(-LN(2)/2))/(LN(2)/2)*BL101*BO101*VLOOKUP('Données projet'!$B$11,Paramètres!$A$1:$I$89,3,0)*0.475*44/12</f>
        <v>8.6786310680662617E-10</v>
      </c>
      <c r="BS101" s="24">
        <f t="shared" si="63"/>
        <v>1.3857667920054562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-1.7053025658242404E-13</v>
      </c>
      <c r="BZ101" s="14">
        <f>BY101*VLOOKUP('Données projet'!$B$12,Paramètres!$A$1:$I$89,3,0)*VLOOKUP('Données projet'!$B$12,Paramètres!$A$1:$I$89,5,0)</f>
        <v>-9.3109520094003535E-14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262.64209686767367</v>
      </c>
      <c r="CE101" s="62">
        <f t="shared" si="94"/>
        <v>381.0342365342517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1.5121605298073522</v>
      </c>
      <c r="CL101" s="23">
        <f>EXP(-LN(2)/25)*CL100+(1-EXP(-LN(2)/25))/(LN(2)/25)*Calculateur!CG101*Calculateur!CI101*VLOOKUP('Données projet'!$B$12,Paramètres!$A$1:$I$89,3,0)*0.475*44/12</f>
        <v>1.9789582707587514</v>
      </c>
      <c r="CM101" s="23">
        <f>EXP(-LN(2)/2)*CM100+(1-EXP(-LN(2)/2))/(LN(2)/2)*CG101*CJ101*VLOOKUP('Données projet'!$B$12,Paramètres!$A$1:$I$89,3,0)*0.475*44/12</f>
        <v>7.2014601940892154E-10</v>
      </c>
      <c r="CN101" s="24">
        <f t="shared" si="66"/>
        <v>3.4911188012862495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projet'!$B$13,Paramètres!$A$1:$I$89,3,0)*VLOOKUP('Données projet'!$B$13,Paramètres!$A$1:$I$89,5,0)</f>
        <v>-8.3355189417488869E-14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250.11765444522138</v>
      </c>
      <c r="CZ101" s="62">
        <f t="shared" si="96"/>
        <v>241.42920565698913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1.4777158389408191</v>
      </c>
      <c r="DH101" s="23">
        <f>EXP(-LN(2)/2)*DH100+(1-EXP(-LN(2)/2))/(LN(2)/2)*DB101*DE101*VLOOKUP('Données projet'!$B$13,Paramètres!$A$1:$I$89,3,0)*0.475*44/12</f>
        <v>2.9192310374397562E-9</v>
      </c>
      <c r="DI101" s="24">
        <f t="shared" si="69"/>
        <v>1.4777158418600502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419.0448820879102</v>
      </c>
      <c r="T102" s="62">
        <f t="shared" si="88"/>
        <v>553.33038335026379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3.8430209922831176</v>
      </c>
      <c r="AA102" s="23">
        <f>EXP(-LN(2)/25)*AA101+(1-EXP(-LN(2)/25))/(LN(2)/25)*Calculateur!V102*Calculateur!X102*VLOOKUP('Données projet'!$B$9,Paramètres!$A$1:$I$89,3,0)*0.475*44/12</f>
        <v>3.4657659026528576</v>
      </c>
      <c r="AB102" s="23">
        <f>EXP(-LN(2)/2)*AB101+(1-EXP(-LN(2)/2))/(LN(2)/2)*V102*Y102*VLOOKUP('Données projet'!$B$9,Paramètres!$A$1:$I$89,3,0)*0.475*44/12</f>
        <v>7.377758500139404E-10</v>
      </c>
      <c r="AC102" s="24">
        <f t="shared" si="57"/>
        <v>7.3087868956737516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1.9895196601282805E-13</v>
      </c>
      <c r="AJ102" s="14">
        <f>AI102*VLOOKUP('Données projet'!$B$10,Paramètres!$A$1:$I$89,3,0)*VLOOKUP('Données projet'!$B$10,Paramètres!$A$1:$I$89,5,0)</f>
        <v>1.738044375088066E-13</v>
      </c>
      <c r="AK102" s="14">
        <f t="shared" si="89"/>
        <v>2.4483293633950478E-12</v>
      </c>
      <c r="AL102" s="22">
        <f t="shared" si="58"/>
        <v>4.566883036574213E-12</v>
      </c>
      <c r="AM102" s="62">
        <f t="shared" si="59"/>
        <v>277.12283935441468</v>
      </c>
      <c r="AN102" s="62">
        <f ca="1">AVERAGE(OFFSET($AM$3,0,0,'Données projet'!$E$10+1,1))-AVERAGE(OFFSET($H$3,0,0,'Données projet'!$E$10+1,1))</f>
        <v>341.62910675299065</v>
      </c>
      <c r="AO102" s="62">
        <f t="shared" si="90"/>
        <v>407.15938341104709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3.7764533221967644</v>
      </c>
      <c r="AW102" s="23">
        <f>EXP(-LN(2)/2)*AW101+(1-EXP(-LN(2)/2))/(LN(2)/2)*AQ102*AT102*VLOOKUP('Données projet'!$B$10,Paramètres!$A$1:$I$89,3,0)*0.475*44/12</f>
        <v>7.5183178611586475E-10</v>
      </c>
      <c r="AX102" s="23">
        <f t="shared" si="60"/>
        <v>3.7764533229485964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296.05055999999996</v>
      </c>
      <c r="BF102" s="14">
        <f t="shared" si="91"/>
        <v>70.34787165092402</v>
      </c>
      <c r="BG102" s="22">
        <f t="shared" si="61"/>
        <v>638.14393512535923</v>
      </c>
      <c r="BH102" s="62">
        <f t="shared" si="62"/>
        <v>915.26677447976931</v>
      </c>
      <c r="BI102" s="62">
        <f ca="1">AVERAGE(OFFSET($BH$3,0,0,'Données projet'!$E$11+1,1))-AVERAGE(OFFSET($H$3,0,0,'Données projet'!$E$11+1,1))</f>
        <v>472.83070477639035</v>
      </c>
      <c r="BJ102" s="62">
        <f t="shared" si="92"/>
        <v>297.32483725004136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1.3478729253596273</v>
      </c>
      <c r="BR102" s="23">
        <f>EXP(-LN(2)/2)*BR101+(1-EXP(-LN(2)/2))/(LN(2)/2)*BL102*BO102*VLOOKUP('Données projet'!$B$11,Paramètres!$A$1:$I$89,3,0)*0.475*44/12</f>
        <v>6.1367188796459033E-10</v>
      </c>
      <c r="BS102" s="24">
        <f t="shared" si="63"/>
        <v>1.3478729259732991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-1.7053025658242404E-13</v>
      </c>
      <c r="BZ102" s="14">
        <f>BY102*VLOOKUP('Données projet'!$B$12,Paramètres!$A$1:$I$89,3,0)*VLOOKUP('Données projet'!$B$12,Paramètres!$A$1:$I$89,5,0)</f>
        <v>-9.3109520094003535E-14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262.64209686767367</v>
      </c>
      <c r="CE102" s="62">
        <f t="shared" si="94"/>
        <v>381.0342365342517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1.4825079841446809</v>
      </c>
      <c r="CL102" s="23">
        <f>EXP(-LN(2)/25)*CL101+(1-EXP(-LN(2)/25))/(LN(2)/25)*Calculateur!CG102*Calculateur!CI102*VLOOKUP('Données projet'!$B$12,Paramètres!$A$1:$I$89,3,0)*0.475*44/12</f>
        <v>1.9248435527759609</v>
      </c>
      <c r="CM102" s="23">
        <f>EXP(-LN(2)/2)*CM101+(1-EXP(-LN(2)/2))/(LN(2)/2)*CG102*CJ102*VLOOKUP('Données projet'!$B$12,Paramètres!$A$1:$I$89,3,0)*0.475*44/12</f>
        <v>5.0922013376854748E-10</v>
      </c>
      <c r="CN102" s="24">
        <f t="shared" si="66"/>
        <v>3.4073515374298617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projet'!$B$13,Paramètres!$A$1:$I$89,3,0)*VLOOKUP('Données projet'!$B$13,Paramètres!$A$1:$I$89,5,0)</f>
        <v>-8.3355189417488869E-14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250.11765444522138</v>
      </c>
      <c r="CZ102" s="62">
        <f t="shared" si="96"/>
        <v>241.42920565698913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1.4373076216152838</v>
      </c>
      <c r="DH102" s="23">
        <f>EXP(-LN(2)/2)*DH101+(1-EXP(-LN(2)/2))/(LN(2)/2)*DB102*DE102*VLOOKUP('Données projet'!$B$13,Paramètres!$A$1:$I$89,3,0)*0.475*44/12</f>
        <v>2.0642080624238918E-9</v>
      </c>
      <c r="DI102" s="24">
        <f t="shared" si="69"/>
        <v>1.4373076236794919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419.0448820879102</v>
      </c>
      <c r="T103" s="62">
        <f t="shared" si="88"/>
        <v>553.33038335026379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3.767661694635799</v>
      </c>
      <c r="AA103" s="23">
        <f>EXP(-LN(2)/25)*AA102+(1-EXP(-LN(2)/25))/(LN(2)/25)*Calculateur!V103*Calculateur!X103*VLOOKUP('Données projet'!$B$9,Paramètres!$A$1:$I$89,3,0)*0.475*44/12</f>
        <v>3.3709943517881076</v>
      </c>
      <c r="AB103" s="23">
        <f>EXP(-LN(2)/2)*AB102+(1-EXP(-LN(2)/2))/(LN(2)/2)*V103*Y103*VLOOKUP('Données projet'!$B$9,Paramètres!$A$1:$I$89,3,0)*0.475*44/12</f>
        <v>5.2168630654052645E-10</v>
      </c>
      <c r="AC103" s="24">
        <f t="shared" si="57"/>
        <v>7.1386560469455933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1.9895196601282805E-13</v>
      </c>
      <c r="AJ103" s="14">
        <f>AI103*VLOOKUP('Données projet'!$B$10,Paramètres!$A$1:$I$89,3,0)*VLOOKUP('Données projet'!$B$10,Paramètres!$A$1:$I$89,5,0)</f>
        <v>1.738044375088066E-13</v>
      </c>
      <c r="AK103" s="14">
        <f t="shared" si="89"/>
        <v>2.4483293633950478E-12</v>
      </c>
      <c r="AL103" s="22">
        <f t="shared" si="58"/>
        <v>4.566883036574213E-12</v>
      </c>
      <c r="AM103" s="62">
        <f t="shared" si="59"/>
        <v>277.40405518371375</v>
      </c>
      <c r="AN103" s="62">
        <f ca="1">AVERAGE(OFFSET($AM$3,0,0,'Données projet'!$E$10+1,1))-AVERAGE(OFFSET($H$3,0,0,'Données projet'!$E$10+1,1))</f>
        <v>341.62910675299065</v>
      </c>
      <c r="AO103" s="62">
        <f t="shared" si="90"/>
        <v>407.15938341104709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3.6731860075062448</v>
      </c>
      <c r="AW103" s="23">
        <f>EXP(-LN(2)/2)*AW102+(1-EXP(-LN(2)/2))/(LN(2)/2)*AQ103*AT103*VLOOKUP('Données projet'!$B$10,Paramètres!$A$1:$I$89,3,0)*0.475*44/12</f>
        <v>5.3162535427412197E-10</v>
      </c>
      <c r="AX103" s="23">
        <f t="shared" si="60"/>
        <v>3.6731860080378702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926.60506195715107</v>
      </c>
      <c r="BI103" s="62">
        <f ca="1">AVERAGE(OFFSET($BH$3,0,0,'Données projet'!$E$11+1,1))-AVERAGE(OFFSET($H$3,0,0,'Données projet'!$E$11+1,1))</f>
        <v>472.83070477639035</v>
      </c>
      <c r="BJ103" s="62">
        <f t="shared" si="92"/>
        <v>297.32483725004136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1.3110152693341117</v>
      </c>
      <c r="BR103" s="23">
        <f>EXP(-LN(2)/2)*BR102+(1-EXP(-LN(2)/2))/(LN(2)/2)*BL103*BO103*VLOOKUP('Données projet'!$B$11,Paramètres!$A$1:$I$89,3,0)*0.475*44/12</f>
        <v>4.3393155340331308E-10</v>
      </c>
      <c r="BS103" s="24">
        <f t="shared" si="63"/>
        <v>1.3110152697680433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-1.7053025658242404E-13</v>
      </c>
      <c r="BZ103" s="14">
        <f>BY103*VLOOKUP('Données projet'!$B$12,Paramètres!$A$1:$I$89,3,0)*VLOOKUP('Données projet'!$B$12,Paramètres!$A$1:$I$89,5,0)</f>
        <v>-9.3109520094003535E-14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262.64209686767367</v>
      </c>
      <c r="CE103" s="62">
        <f t="shared" si="94"/>
        <v>381.0342365342517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1.4534369068161876</v>
      </c>
      <c r="CL103" s="23">
        <f>EXP(-LN(2)/25)*CL102+(1-EXP(-LN(2)/25))/(LN(2)/25)*Calculateur!CG103*Calculateur!CI103*VLOOKUP('Données projet'!$B$12,Paramètres!$A$1:$I$89,3,0)*0.475*44/12</f>
        <v>1.8722086046021791</v>
      </c>
      <c r="CM103" s="23">
        <f>EXP(-LN(2)/2)*CM102+(1-EXP(-LN(2)/2))/(LN(2)/2)*CG103*CJ103*VLOOKUP('Données projet'!$B$12,Paramètres!$A$1:$I$89,3,0)*0.475*44/12</f>
        <v>3.6007300970446077E-10</v>
      </c>
      <c r="CN103" s="24">
        <f t="shared" si="66"/>
        <v>3.3256455117784398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projet'!$B$13,Paramètres!$A$1:$I$89,3,0)*VLOOKUP('Données projet'!$B$13,Paramètres!$A$1:$I$89,5,0)</f>
        <v>-8.3355189417488869E-14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250.11765444522138</v>
      </c>
      <c r="CZ103" s="62">
        <f t="shared" si="96"/>
        <v>241.42920565698913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1.398004369117491</v>
      </c>
      <c r="DH103" s="23">
        <f>EXP(-LN(2)/2)*DH102+(1-EXP(-LN(2)/2))/(LN(2)/2)*DB103*DE103*VLOOKUP('Données projet'!$B$13,Paramètres!$A$1:$I$89,3,0)*0.475*44/12</f>
        <v>1.4596155187198781E-9</v>
      </c>
      <c r="DI103" s="24">
        <f t="shared" si="69"/>
        <v>1.3980043705771066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419.0448820879102</v>
      </c>
      <c r="T104" s="62">
        <f t="shared" si="88"/>
        <v>553.33038335026379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3.6937801468507114</v>
      </c>
      <c r="AA104" s="23">
        <f>EXP(-LN(2)/25)*AA103+(1-EXP(-LN(2)/25))/(LN(2)/25)*Calculateur!V104*Calculateur!X104*VLOOKUP('Données projet'!$B$9,Paramètres!$A$1:$I$89,3,0)*0.475*44/12</f>
        <v>3.2788143339655735</v>
      </c>
      <c r="AB104" s="23">
        <f>EXP(-LN(2)/2)*AB103+(1-EXP(-LN(2)/2))/(LN(2)/2)*V104*Y104*VLOOKUP('Données projet'!$B$9,Paramètres!$A$1:$I$89,3,0)*0.475*44/12</f>
        <v>3.688879250069702E-10</v>
      </c>
      <c r="AC104" s="24">
        <f t="shared" si="57"/>
        <v>6.9725944811851734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1.9895196601282805E-13</v>
      </c>
      <c r="AJ104" s="14">
        <f>AI104*VLOOKUP('Données projet'!$B$10,Paramètres!$A$1:$I$89,3,0)*VLOOKUP('Données projet'!$B$10,Paramètres!$A$1:$I$89,5,0)</f>
        <v>1.738044375088066E-13</v>
      </c>
      <c r="AK104" s="14">
        <f t="shared" si="89"/>
        <v>2.4483293633950478E-12</v>
      </c>
      <c r="AL104" s="22">
        <f t="shared" si="58"/>
        <v>4.566883036574213E-12</v>
      </c>
      <c r="AM104" s="62">
        <f t="shared" si="59"/>
        <v>277.68039254707895</v>
      </c>
      <c r="AN104" s="62">
        <f ca="1">AVERAGE(OFFSET($AM$3,0,0,'Données projet'!$E$10+1,1))-AVERAGE(OFFSET($H$3,0,0,'Données projet'!$E$10+1,1))</f>
        <v>341.62910675299065</v>
      </c>
      <c r="AO104" s="62">
        <f t="shared" si="90"/>
        <v>407.15938341104709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3.5727425429665294</v>
      </c>
      <c r="AW104" s="23">
        <f>EXP(-LN(2)/2)*AW103+(1-EXP(-LN(2)/2))/(LN(2)/2)*AQ104*AT104*VLOOKUP('Données projet'!$B$10,Paramètres!$A$1:$I$89,3,0)*0.475*44/12</f>
        <v>3.7591589305793238E-10</v>
      </c>
      <c r="AX104" s="23">
        <f t="shared" si="60"/>
        <v>3.5727425433424451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885.68301833984219</v>
      </c>
      <c r="BI104" s="62">
        <f ca="1">AVERAGE(OFFSET($BH$3,0,0,'Données projet'!$E$11+1,1))-AVERAGE(OFFSET($H$3,0,0,'Données projet'!$E$11+1,1))</f>
        <v>472.83070477639035</v>
      </c>
      <c r="BJ104" s="62">
        <f t="shared" si="92"/>
        <v>297.32483725004136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1.2751654878508738</v>
      </c>
      <c r="BR104" s="23">
        <f>EXP(-LN(2)/2)*BR103+(1-EXP(-LN(2)/2))/(LN(2)/2)*BL104*BO104*VLOOKUP('Données projet'!$B$11,Paramètres!$A$1:$I$89,3,0)*0.475*44/12</f>
        <v>3.0683594398229516E-10</v>
      </c>
      <c r="BS104" s="24">
        <f t="shared" si="63"/>
        <v>1.2751654881577097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-1.7053025658242404E-13</v>
      </c>
      <c r="BZ104" s="14">
        <f>BY104*VLOOKUP('Données projet'!$B$12,Paramètres!$A$1:$I$89,3,0)*VLOOKUP('Données projet'!$B$12,Paramètres!$A$1:$I$89,5,0)</f>
        <v>-9.3109520094003535E-14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262.64209686767367</v>
      </c>
      <c r="CE104" s="62">
        <f t="shared" si="94"/>
        <v>381.0342365342517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1.4249358955824998</v>
      </c>
      <c r="CL104" s="23">
        <f>EXP(-LN(2)/25)*CL103+(1-EXP(-LN(2)/25))/(LN(2)/25)*Calculateur!CG104*Calculateur!CI104*VLOOKUP('Données projet'!$B$12,Paramètres!$A$1:$I$89,3,0)*0.475*44/12</f>
        <v>1.8210129618541611</v>
      </c>
      <c r="CM104" s="23">
        <f>EXP(-LN(2)/2)*CM103+(1-EXP(-LN(2)/2))/(LN(2)/2)*CG104*CJ104*VLOOKUP('Données projet'!$B$12,Paramètres!$A$1:$I$89,3,0)*0.475*44/12</f>
        <v>2.5461006688427374E-10</v>
      </c>
      <c r="CN104" s="24">
        <f t="shared" si="66"/>
        <v>3.2459488576912707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-8.3355189417488869E-14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250.11765444522138</v>
      </c>
      <c r="CZ104" s="62">
        <f t="shared" si="96"/>
        <v>241.42920565698913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1.3597758661261186</v>
      </c>
      <c r="DH104" s="23">
        <f>EXP(-LN(2)/2)*DH103+(1-EXP(-LN(2)/2))/(LN(2)/2)*DB104*DE104*VLOOKUP('Données projet'!$B$13,Paramètres!$A$1:$I$89,3,0)*0.475*44/12</f>
        <v>1.0321040312119459E-9</v>
      </c>
      <c r="DI104" s="24">
        <f t="shared" si="69"/>
        <v>1.3597758671582225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419.0448820879102</v>
      </c>
      <c r="T105" s="62">
        <f t="shared" si="88"/>
        <v>553.33038335026379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3.6213473711543949</v>
      </c>
      <c r="AA105" s="23">
        <f>EXP(-LN(2)/25)*AA104+(1-EXP(-LN(2)/25))/(LN(2)/25)*Calculateur!V105*Calculateur!X105*VLOOKUP('Données projet'!$B$9,Paramètres!$A$1:$I$89,3,0)*0.475*44/12</f>
        <v>3.1891549835779331</v>
      </c>
      <c r="AB105" s="23">
        <f>EXP(-LN(2)/2)*AB104+(1-EXP(-LN(2)/2))/(LN(2)/2)*V105*Y105*VLOOKUP('Données projet'!$B$9,Paramètres!$A$1:$I$89,3,0)*0.475*44/12</f>
        <v>2.6084315327026323E-10</v>
      </c>
      <c r="AC105" s="24">
        <f t="shared" si="57"/>
        <v>6.8105023549931714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1.9895196601282805E-13</v>
      </c>
      <c r="AJ105" s="14">
        <f>AI105*VLOOKUP('Données projet'!$B$10,Paramètres!$A$1:$I$89,3,0)*VLOOKUP('Données projet'!$B$10,Paramètres!$A$1:$I$89,5,0)</f>
        <v>1.738044375088066E-13</v>
      </c>
      <c r="AK105" s="14">
        <f t="shared" si="89"/>
        <v>2.4483293633950478E-12</v>
      </c>
      <c r="AL105" s="22">
        <f t="shared" si="58"/>
        <v>4.566883036574213E-12</v>
      </c>
      <c r="AM105" s="62">
        <f t="shared" si="59"/>
        <v>277.95193607498749</v>
      </c>
      <c r="AN105" s="62">
        <f ca="1">AVERAGE(OFFSET($AM$3,0,0,'Données projet'!$E$10+1,1))-AVERAGE(OFFSET($H$3,0,0,'Données projet'!$E$10+1,1))</f>
        <v>341.62910675299065</v>
      </c>
      <c r="AO105" s="62">
        <f t="shared" si="90"/>
        <v>407.15938341104709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3.4750457102467447</v>
      </c>
      <c r="AW105" s="23">
        <f>EXP(-LN(2)/2)*AW104+(1-EXP(-LN(2)/2))/(LN(2)/2)*AQ105*AT105*VLOOKUP('Données projet'!$B$10,Paramètres!$A$1:$I$89,3,0)*0.475*44/12</f>
        <v>2.6581267713706098E-10</v>
      </c>
      <c r="AX105" s="23">
        <f t="shared" si="60"/>
        <v>3.4750457105125574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896.25942897405571</v>
      </c>
      <c r="BI105" s="62">
        <f ca="1">AVERAGE(OFFSET($BH$3,0,0,'Données projet'!$E$11+1,1))-AVERAGE(OFFSET($H$3,0,0,'Données projet'!$E$11+1,1))</f>
        <v>472.83070477639035</v>
      </c>
      <c r="BJ105" s="62">
        <f t="shared" si="92"/>
        <v>297.32483725004136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1.2402960205275531</v>
      </c>
      <c r="BR105" s="23">
        <f>EXP(-LN(2)/2)*BR104+(1-EXP(-LN(2)/2))/(LN(2)/2)*BL105*BO105*VLOOKUP('Données projet'!$B$11,Paramètres!$A$1:$I$89,3,0)*0.475*44/12</f>
        <v>2.1696577670165654E-10</v>
      </c>
      <c r="BS105" s="24">
        <f t="shared" si="63"/>
        <v>1.2402960207445188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-1.7053025658242404E-13</v>
      </c>
      <c r="BZ105" s="14">
        <f>BY105*VLOOKUP('Données projet'!$B$12,Paramètres!$A$1:$I$89,3,0)*VLOOKUP('Données projet'!$B$12,Paramètres!$A$1:$I$89,5,0)</f>
        <v>-9.3109520094003535E-14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262.64209686767367</v>
      </c>
      <c r="CE105" s="62">
        <f t="shared" si="94"/>
        <v>381.0342365342517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1.3969937717952043</v>
      </c>
      <c r="CL105" s="23">
        <f>EXP(-LN(2)/25)*CL104+(1-EXP(-LN(2)/25))/(LN(2)/25)*Calculateur!CG105*Calculateur!CI105*VLOOKUP('Données projet'!$B$12,Paramètres!$A$1:$I$89,3,0)*0.475*44/12</f>
        <v>1.7712172666493493</v>
      </c>
      <c r="CM105" s="23">
        <f>EXP(-LN(2)/2)*CM104+(1-EXP(-LN(2)/2))/(LN(2)/2)*CG105*CJ105*VLOOKUP('Données projet'!$B$12,Paramètres!$A$1:$I$89,3,0)*0.475*44/12</f>
        <v>1.8003650485223039E-10</v>
      </c>
      <c r="CN105" s="24">
        <f t="shared" si="66"/>
        <v>3.1682110386245901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-8.3355189417488869E-14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250.11765444522138</v>
      </c>
      <c r="CZ105" s="62">
        <f t="shared" si="96"/>
        <v>241.42920565698913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1.3225927235593948</v>
      </c>
      <c r="DH105" s="23">
        <f>EXP(-LN(2)/2)*DH104+(1-EXP(-LN(2)/2))/(LN(2)/2)*DB105*DE105*VLOOKUP('Données projet'!$B$13,Paramètres!$A$1:$I$89,3,0)*0.475*44/12</f>
        <v>7.2980775935993905E-10</v>
      </c>
      <c r="DI105" s="24">
        <f t="shared" si="69"/>
        <v>1.3225927242892026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419.0448820879102</v>
      </c>
      <c r="T106" s="62">
        <f t="shared" si="88"/>
        <v>553.33038335026379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3.5503349580098522</v>
      </c>
      <c r="AA106" s="23">
        <f>EXP(-LN(2)/25)*AA105+(1-EXP(-LN(2)/25))/(LN(2)/25)*Calculateur!V106*Calculateur!X106*VLOOKUP('Données projet'!$B$9,Paramètres!$A$1:$I$89,3,0)*0.475*44/12</f>
        <v>3.1019473728416229</v>
      </c>
      <c r="AB106" s="23">
        <f>EXP(-LN(2)/2)*AB105+(1-EXP(-LN(2)/2))/(LN(2)/2)*V106*Y106*VLOOKUP('Données projet'!$B$9,Paramètres!$A$1:$I$89,3,0)*0.475*44/12</f>
        <v>1.844439625034851E-10</v>
      </c>
      <c r="AC106" s="24">
        <f t="shared" si="57"/>
        <v>6.6522823310359191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1.9895196601282805E-13</v>
      </c>
      <c r="AJ106" s="14">
        <f>AI106*VLOOKUP('Données projet'!$B$10,Paramètres!$A$1:$I$89,3,0)*VLOOKUP('Données projet'!$B$10,Paramètres!$A$1:$I$89,5,0)</f>
        <v>1.738044375088066E-13</v>
      </c>
      <c r="AK106" s="14">
        <f t="shared" si="89"/>
        <v>2.4483293633950478E-12</v>
      </c>
      <c r="AL106" s="22">
        <f t="shared" si="58"/>
        <v>4.566883036574213E-12</v>
      </c>
      <c r="AM106" s="62">
        <f t="shared" si="59"/>
        <v>278.21876892976724</v>
      </c>
      <c r="AN106" s="62">
        <f ca="1">AVERAGE(OFFSET($AM$3,0,0,'Données projet'!$E$10+1,1))-AVERAGE(OFFSET($H$3,0,0,'Données projet'!$E$10+1,1))</f>
        <v>341.62910675299065</v>
      </c>
      <c r="AO106" s="62">
        <f t="shared" si="90"/>
        <v>407.15938341104709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3.3800204025553358</v>
      </c>
      <c r="AW106" s="23">
        <f>EXP(-LN(2)/2)*AW105+(1-EXP(-LN(2)/2))/(LN(2)/2)*AQ106*AT106*VLOOKUP('Données projet'!$B$10,Paramètres!$A$1:$I$89,3,0)*0.475*44/12</f>
        <v>1.8795794652896619E-10</v>
      </c>
      <c r="AX106" s="23">
        <f t="shared" si="60"/>
        <v>3.3800204027432939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906.82757039833041</v>
      </c>
      <c r="BI106" s="62">
        <f ca="1">AVERAGE(OFFSET($BH$3,0,0,'Données projet'!$E$11+1,1))-AVERAGE(OFFSET($H$3,0,0,'Données projet'!$E$11+1,1))</f>
        <v>472.83070477639035</v>
      </c>
      <c r="BJ106" s="62">
        <f t="shared" si="92"/>
        <v>297.32483725004136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1.2063800606218942</v>
      </c>
      <c r="BR106" s="23">
        <f>EXP(-LN(2)/2)*BR105+(1-EXP(-LN(2)/2))/(LN(2)/2)*BL106*BO106*VLOOKUP('Données projet'!$B$11,Paramètres!$A$1:$I$89,3,0)*0.475*44/12</f>
        <v>1.5341797199114758E-10</v>
      </c>
      <c r="BS106" s="24">
        <f t="shared" si="63"/>
        <v>1.2063800607753121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-1.7053025658242404E-13</v>
      </c>
      <c r="BZ106" s="14">
        <f>BY106*VLOOKUP('Données projet'!$B$12,Paramètres!$A$1:$I$89,3,0)*VLOOKUP('Données projet'!$B$12,Paramètres!$A$1:$I$89,5,0)</f>
        <v>-9.3109520094003535E-14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262.64209686767367</v>
      </c>
      <c r="CE106" s="62">
        <f t="shared" si="94"/>
        <v>381.0342365342517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1.3695995760123651</v>
      </c>
      <c r="CL106" s="23">
        <f>EXP(-LN(2)/25)*CL105+(1-EXP(-LN(2)/25))/(LN(2)/25)*Calculateur!CG106*Calculateur!CI106*VLOOKUP('Données projet'!$B$12,Paramètres!$A$1:$I$89,3,0)*0.475*44/12</f>
        <v>1.722783237348555</v>
      </c>
      <c r="CM106" s="23">
        <f>EXP(-LN(2)/2)*CM105+(1-EXP(-LN(2)/2))/(LN(2)/2)*CG106*CJ106*VLOOKUP('Données projet'!$B$12,Paramètres!$A$1:$I$89,3,0)*0.475*44/12</f>
        <v>1.2730503344213687E-10</v>
      </c>
      <c r="CN106" s="24">
        <f t="shared" si="66"/>
        <v>3.092382813488225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-8.3355189417488869E-14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250.11765444522138</v>
      </c>
      <c r="CZ106" s="62">
        <f t="shared" si="96"/>
        <v>241.42920565698913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1.2864263559815348</v>
      </c>
      <c r="DH106" s="23">
        <f>EXP(-LN(2)/2)*DH105+(1-EXP(-LN(2)/2))/(LN(2)/2)*DB106*DE106*VLOOKUP('Données projet'!$B$13,Paramètres!$A$1:$I$89,3,0)*0.475*44/12</f>
        <v>5.1605201560597295E-10</v>
      </c>
      <c r="DI106" s="24">
        <f t="shared" si="69"/>
        <v>1.2864263564975869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419.0448820879102</v>
      </c>
      <c r="T107" s="62">
        <f t="shared" si="88"/>
        <v>553.33038335026379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3.4807150549737789</v>
      </c>
      <c r="AA107" s="23">
        <f>EXP(-LN(2)/25)*AA106+(1-EXP(-LN(2)/25))/(LN(2)/25)*Calculateur!V107*Calculateur!X107*VLOOKUP('Données projet'!$B$9,Paramètres!$A$1:$I$89,3,0)*0.475*44/12</f>
        <v>3.0171244588069461</v>
      </c>
      <c r="AB107" s="23">
        <f>EXP(-LN(2)/2)*AB106+(1-EXP(-LN(2)/2))/(LN(2)/2)*V107*Y107*VLOOKUP('Données projet'!$B$9,Paramètres!$A$1:$I$89,3,0)*0.475*44/12</f>
        <v>1.3042157663513161E-10</v>
      </c>
      <c r="AC107" s="24">
        <f t="shared" si="57"/>
        <v>6.4978395139111473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1.9895196601282805E-13</v>
      </c>
      <c r="AJ107" s="14">
        <f>AI107*VLOOKUP('Données projet'!$B$10,Paramètres!$A$1:$I$89,3,0)*VLOOKUP('Données projet'!$B$10,Paramètres!$A$1:$I$89,5,0)</f>
        <v>1.738044375088066E-13</v>
      </c>
      <c r="AK107" s="14">
        <f t="shared" si="89"/>
        <v>2.4483293633950478E-12</v>
      </c>
      <c r="AL107" s="22">
        <f t="shared" si="58"/>
        <v>4.566883036574213E-12</v>
      </c>
      <c r="AM107" s="62">
        <f t="shared" si="59"/>
        <v>278.48097283106546</v>
      </c>
      <c r="AN107" s="62">
        <f ca="1">AVERAGE(OFFSET($AM$3,0,0,'Données projet'!$E$10+1,1))-AVERAGE(OFFSET($H$3,0,0,'Données projet'!$E$10+1,1))</f>
        <v>341.62910675299065</v>
      </c>
      <c r="AO107" s="62">
        <f t="shared" si="90"/>
        <v>407.15938341104709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3.2875935668999121</v>
      </c>
      <c r="AW107" s="23">
        <f>EXP(-LN(2)/2)*AW106+(1-EXP(-LN(2)/2))/(LN(2)/2)*AQ107*AT107*VLOOKUP('Données projet'!$B$10,Paramètres!$A$1:$I$89,3,0)*0.475*44/12</f>
        <v>1.3290633856853049E-10</v>
      </c>
      <c r="AX107" s="23">
        <f t="shared" si="60"/>
        <v>3.2875935670328182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917.38759085609695</v>
      </c>
      <c r="BI107" s="62">
        <f ca="1">AVERAGE(OFFSET($BH$3,0,0,'Données projet'!$E$11+1,1))-AVERAGE(OFFSET($H$3,0,0,'Données projet'!$E$11+1,1))</f>
        <v>472.83070477639035</v>
      </c>
      <c r="BJ107" s="62">
        <f t="shared" si="92"/>
        <v>297.32483725004136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1.1733915344234183</v>
      </c>
      <c r="BR107" s="23">
        <f>EXP(-LN(2)/2)*BR106+(1-EXP(-LN(2)/2))/(LN(2)/2)*BL107*BO107*VLOOKUP('Données projet'!$B$11,Paramètres!$A$1:$I$89,3,0)*0.475*44/12</f>
        <v>1.0848288835082827E-10</v>
      </c>
      <c r="BS107" s="24">
        <f t="shared" si="63"/>
        <v>1.173391534531901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-1.7053025658242404E-13</v>
      </c>
      <c r="BZ107" s="14">
        <f>BY107*VLOOKUP('Données projet'!$B$12,Paramètres!$A$1:$I$89,3,0)*VLOOKUP('Données projet'!$B$12,Paramètres!$A$1:$I$89,5,0)</f>
        <v>-9.3109520094003535E-14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262.64209686767367</v>
      </c>
      <c r="CE107" s="62">
        <f t="shared" si="94"/>
        <v>381.0342365342517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1.3427425637000179</v>
      </c>
      <c r="CL107" s="23">
        <f>EXP(-LN(2)/25)*CL106+(1-EXP(-LN(2)/25))/(LN(2)/25)*Calculateur!CG107*Calculateur!CI107*VLOOKUP('Données projet'!$B$12,Paramètres!$A$1:$I$89,3,0)*0.475*44/12</f>
        <v>1.6756736391260258</v>
      </c>
      <c r="CM107" s="23">
        <f>EXP(-LN(2)/2)*CM106+(1-EXP(-LN(2)/2))/(LN(2)/2)*CG107*CJ107*VLOOKUP('Données projet'!$B$12,Paramètres!$A$1:$I$89,3,0)*0.475*44/12</f>
        <v>9.0018252426115193E-11</v>
      </c>
      <c r="CN107" s="24">
        <f t="shared" si="66"/>
        <v>3.0184162029160619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-8.3355189417488869E-14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250.11765444522138</v>
      </c>
      <c r="CZ107" s="62">
        <f t="shared" si="96"/>
        <v>241.42920565698913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1.2512489596269978</v>
      </c>
      <c r="DH107" s="23">
        <f>EXP(-LN(2)/2)*DH106+(1-EXP(-LN(2)/2))/(LN(2)/2)*DB107*DE107*VLOOKUP('Données projet'!$B$13,Paramètres!$A$1:$I$89,3,0)*0.475*44/12</f>
        <v>3.6490387967996953E-10</v>
      </c>
      <c r="DI107" s="24">
        <f t="shared" si="69"/>
        <v>1.2512489599919017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419.0448820879102</v>
      </c>
      <c r="T108" s="62">
        <f t="shared" si="88"/>
        <v>553.33038335026379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3.412460355772295</v>
      </c>
      <c r="AA108" s="23">
        <f>EXP(-LN(2)/25)*AA107+(1-EXP(-LN(2)/25))/(LN(2)/25)*Calculateur!V108*Calculateur!X108*VLOOKUP('Données projet'!$B$9,Paramètres!$A$1:$I$89,3,0)*0.475*44/12</f>
        <v>2.9346210318171906</v>
      </c>
      <c r="AB108" s="23">
        <f>EXP(-LN(2)/2)*AB107+(1-EXP(-LN(2)/2))/(LN(2)/2)*V108*Y108*VLOOKUP('Données projet'!$B$9,Paramètres!$A$1:$I$89,3,0)*0.475*44/12</f>
        <v>9.222198125174255E-11</v>
      </c>
      <c r="AC108" s="24">
        <f t="shared" si="57"/>
        <v>6.3470813876817074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1.9895196601282805E-13</v>
      </c>
      <c r="AJ108" s="14">
        <f>AI108*VLOOKUP('Données projet'!$B$10,Paramètres!$A$1:$I$89,3,0)*VLOOKUP('Données projet'!$B$10,Paramètres!$A$1:$I$89,5,0)</f>
        <v>1.738044375088066E-13</v>
      </c>
      <c r="AK108" s="14">
        <f t="shared" si="89"/>
        <v>2.4483293633950478E-12</v>
      </c>
      <c r="AL108" s="22">
        <f t="shared" si="58"/>
        <v>4.566883036574213E-12</v>
      </c>
      <c r="AM108" s="62">
        <f t="shared" si="59"/>
        <v>278.73862808087631</v>
      </c>
      <c r="AN108" s="62">
        <f ca="1">AVERAGE(OFFSET($AM$3,0,0,'Données projet'!$E$10+1,1))-AVERAGE(OFFSET($H$3,0,0,'Données projet'!$E$10+1,1))</f>
        <v>341.62910675299065</v>
      </c>
      <c r="AO108" s="62">
        <f t="shared" si="90"/>
        <v>407.15938341104709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3.1976941479260024</v>
      </c>
      <c r="AW108" s="23">
        <f>EXP(-LN(2)/2)*AW107+(1-EXP(-LN(2)/2))/(LN(2)/2)*AQ108*AT108*VLOOKUP('Données projet'!$B$10,Paramètres!$A$1:$I$89,3,0)*0.475*44/12</f>
        <v>9.3978973264483094E-11</v>
      </c>
      <c r="AX108" s="23">
        <f t="shared" si="60"/>
        <v>3.1976941480199814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927.93963485431334</v>
      </c>
      <c r="BI108" s="62">
        <f ca="1">AVERAGE(OFFSET($BH$3,0,0,'Données projet'!$E$11+1,1))-AVERAGE(OFFSET($H$3,0,0,'Données projet'!$E$11+1,1))</f>
        <v>472.83070477639035</v>
      </c>
      <c r="BJ108" s="62">
        <f t="shared" si="92"/>
        <v>297.32483725004136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1.1413050812086309</v>
      </c>
      <c r="BR108" s="23">
        <f>EXP(-LN(2)/2)*BR107+(1-EXP(-LN(2)/2))/(LN(2)/2)*BL108*BO108*VLOOKUP('Données projet'!$B$11,Paramètres!$A$1:$I$89,3,0)*0.475*44/12</f>
        <v>7.6708985995573791E-11</v>
      </c>
      <c r="BS108" s="24">
        <f t="shared" si="63"/>
        <v>1.14130508128534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-1.7053025658242404E-13</v>
      </c>
      <c r="BZ108" s="14">
        <f>BY108*VLOOKUP('Données projet'!$B$12,Paramètres!$A$1:$I$89,3,0)*VLOOKUP('Données projet'!$B$12,Paramètres!$A$1:$I$89,5,0)</f>
        <v>-9.3109520094003535E-14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262.64209686767367</v>
      </c>
      <c r="CE108" s="62">
        <f t="shared" si="94"/>
        <v>381.0342365342517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1.3164122010179555</v>
      </c>
      <c r="CL108" s="23">
        <f>EXP(-LN(2)/25)*CL107+(1-EXP(-LN(2)/25))/(LN(2)/25)*Calculateur!CG108*Calculateur!CI108*VLOOKUP('Données projet'!$B$12,Paramètres!$A$1:$I$89,3,0)*0.475*44/12</f>
        <v>1.6298522553442778</v>
      </c>
      <c r="CM108" s="23">
        <f>EXP(-LN(2)/2)*CM107+(1-EXP(-LN(2)/2))/(LN(2)/2)*CG108*CJ108*VLOOKUP('Données projet'!$B$12,Paramètres!$A$1:$I$89,3,0)*0.475*44/12</f>
        <v>6.3652516721068436E-11</v>
      </c>
      <c r="CN108" s="24">
        <f t="shared" si="66"/>
        <v>2.9462644564258862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-8.3355189417488869E-14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250.11765444522138</v>
      </c>
      <c r="CZ108" s="62">
        <f t="shared" si="96"/>
        <v>241.42920565698913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1.2170334910256746</v>
      </c>
      <c r="DH108" s="23">
        <f>EXP(-LN(2)/2)*DH107+(1-EXP(-LN(2)/2))/(LN(2)/2)*DB108*DE108*VLOOKUP('Données projet'!$B$13,Paramètres!$A$1:$I$89,3,0)*0.475*44/12</f>
        <v>2.5802600780298647E-10</v>
      </c>
      <c r="DI108" s="24">
        <f t="shared" si="69"/>
        <v>1.2170334912837006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419.0448820879102</v>
      </c>
      <c r="T109" s="62">
        <f t="shared" si="88"/>
        <v>553.33038335026379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3.3455440895908968</v>
      </c>
      <c r="AA109" s="23">
        <f>EXP(-LN(2)/25)*AA108+(1-EXP(-LN(2)/25))/(LN(2)/25)*Calculateur!V109*Calculateur!X109*VLOOKUP('Données projet'!$B$9,Paramètres!$A$1:$I$89,3,0)*0.475*44/12</f>
        <v>2.8543736653771368</v>
      </c>
      <c r="AB109" s="23">
        <f>EXP(-LN(2)/2)*AB108+(1-EXP(-LN(2)/2))/(LN(2)/2)*V109*Y109*VLOOKUP('Données projet'!$B$9,Paramètres!$A$1:$I$89,3,0)*0.475*44/12</f>
        <v>6.5210788317565807E-11</v>
      </c>
      <c r="AC109" s="24">
        <f t="shared" si="57"/>
        <v>6.1999177550332449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1.9895196601282805E-13</v>
      </c>
      <c r="AJ109" s="14">
        <f>AI109*VLOOKUP('Données projet'!$B$10,Paramètres!$A$1:$I$89,3,0)*VLOOKUP('Données projet'!$B$10,Paramètres!$A$1:$I$89,5,0)</f>
        <v>1.738044375088066E-13</v>
      </c>
      <c r="AK109" s="14">
        <f t="shared" si="89"/>
        <v>2.4483293633950478E-12</v>
      </c>
      <c r="AL109" s="22">
        <f t="shared" si="58"/>
        <v>4.566883036574213E-12</v>
      </c>
      <c r="AM109" s="62">
        <f t="shared" si="59"/>
        <v>278.99181358813365</v>
      </c>
      <c r="AN109" s="62">
        <f ca="1">AVERAGE(OFFSET($AM$3,0,0,'Données projet'!$E$10+1,1))-AVERAGE(OFFSET($H$3,0,0,'Données projet'!$E$10+1,1))</f>
        <v>341.62910675299065</v>
      </c>
      <c r="AO109" s="62">
        <f t="shared" si="90"/>
        <v>407.15938341104709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3.110253033291539</v>
      </c>
      <c r="AW109" s="23">
        <f>EXP(-LN(2)/2)*AW108+(1-EXP(-LN(2)/2))/(LN(2)/2)*AQ109*AT109*VLOOKUP('Données projet'!$B$10,Paramètres!$A$1:$I$89,3,0)*0.475*44/12</f>
        <v>6.6453169284265246E-11</v>
      </c>
      <c r="AX109" s="23">
        <f t="shared" si="60"/>
        <v>3.1102530333579921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888.13960246778947</v>
      </c>
      <c r="BI109" s="62">
        <f ca="1">AVERAGE(OFFSET($BH$3,0,0,'Données projet'!$E$11+1,1))-AVERAGE(OFFSET($H$3,0,0,'Données projet'!$E$11+1,1))</f>
        <v>472.83070477639035</v>
      </c>
      <c r="BJ109" s="62">
        <f t="shared" si="92"/>
        <v>297.32483725004136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1.1100960337443553</v>
      </c>
      <c r="BR109" s="23">
        <f>EXP(-LN(2)/2)*BR108+(1-EXP(-LN(2)/2))/(LN(2)/2)*BL109*BO109*VLOOKUP('Données projet'!$B$11,Paramètres!$A$1:$I$89,3,0)*0.475*44/12</f>
        <v>5.4241444175414136E-11</v>
      </c>
      <c r="BS109" s="24">
        <f t="shared" si="63"/>
        <v>1.1100960337985968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-1.7053025658242404E-13</v>
      </c>
      <c r="BZ109" s="14">
        <f>BY109*VLOOKUP('Données projet'!$B$12,Paramètres!$A$1:$I$89,3,0)*VLOOKUP('Données projet'!$B$12,Paramètres!$A$1:$I$89,5,0)</f>
        <v>-9.3109520094003535E-14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262.64209686767367</v>
      </c>
      <c r="CE109" s="62">
        <f t="shared" si="94"/>
        <v>381.0342365342517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1.2905981606881531</v>
      </c>
      <c r="CL109" s="23">
        <f>EXP(-LN(2)/25)*CL108+(1-EXP(-LN(2)/25))/(LN(2)/25)*Calculateur!CG109*Calculateur!CI109*VLOOKUP('Données projet'!$B$12,Paramètres!$A$1:$I$89,3,0)*0.475*44/12</f>
        <v>1.5852838597116834</v>
      </c>
      <c r="CM109" s="23">
        <f>EXP(-LN(2)/2)*CM108+(1-EXP(-LN(2)/2))/(LN(2)/2)*CG109*CJ109*VLOOKUP('Données projet'!$B$12,Paramètres!$A$1:$I$89,3,0)*0.475*44/12</f>
        <v>4.5009126213057596E-11</v>
      </c>
      <c r="CN109" s="24">
        <f t="shared" si="66"/>
        <v>2.8758820204448456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-8.3355189417488869E-14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250.11765444522138</v>
      </c>
      <c r="CZ109" s="62">
        <f t="shared" si="96"/>
        <v>241.42920565698913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1.1837536462125677</v>
      </c>
      <c r="DH109" s="23">
        <f>EXP(-LN(2)/2)*DH108+(1-EXP(-LN(2)/2))/(LN(2)/2)*DB109*DE109*VLOOKUP('Données projet'!$B$13,Paramètres!$A$1:$I$89,3,0)*0.475*44/12</f>
        <v>1.8245193983998476E-10</v>
      </c>
      <c r="DI109" s="24">
        <f t="shared" si="69"/>
        <v>1.1837536463950196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419.0448820879102</v>
      </c>
      <c r="T110" s="62">
        <f t="shared" si="88"/>
        <v>553.33038335026379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3.2799400105744234</v>
      </c>
      <c r="AA110" s="23">
        <f>EXP(-LN(2)/25)*AA109+(1-EXP(-LN(2)/25))/(LN(2)/25)*Calculateur!V110*Calculateur!X110*VLOOKUP('Données projet'!$B$9,Paramètres!$A$1:$I$89,3,0)*0.475*44/12</f>
        <v>2.7763206673924117</v>
      </c>
      <c r="AB110" s="23">
        <f>EXP(-LN(2)/2)*AB109+(1-EXP(-LN(2)/2))/(LN(2)/2)*V110*Y110*VLOOKUP('Données projet'!$B$9,Paramètres!$A$1:$I$89,3,0)*0.475*44/12</f>
        <v>4.6110990625871275E-11</v>
      </c>
      <c r="AC110" s="24">
        <f t="shared" si="57"/>
        <v>6.0562606780129453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1.9895196601282805E-13</v>
      </c>
      <c r="AJ110" s="14">
        <f>AI110*VLOOKUP('Données projet'!$B$10,Paramètres!$A$1:$I$89,3,0)*VLOOKUP('Données projet'!$B$10,Paramètres!$A$1:$I$89,5,0)</f>
        <v>1.738044375088066E-13</v>
      </c>
      <c r="AK110" s="14">
        <f t="shared" si="89"/>
        <v>2.4483293633950478E-12</v>
      </c>
      <c r="AL110" s="22">
        <f t="shared" si="58"/>
        <v>4.566883036574213E-12</v>
      </c>
      <c r="AM110" s="62">
        <f t="shared" si="59"/>
        <v>279.24060689287819</v>
      </c>
      <c r="AN110" s="62">
        <f ca="1">AVERAGE(OFFSET($AM$3,0,0,'Données projet'!$E$10+1,1))-AVERAGE(OFFSET($H$3,0,0,'Données projet'!$E$10+1,1))</f>
        <v>341.62910675299065</v>
      </c>
      <c r="AO110" s="62">
        <f t="shared" si="90"/>
        <v>407.15938341104709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3.0252030005350834</v>
      </c>
      <c r="AW110" s="23">
        <f>EXP(-LN(2)/2)*AW109+(1-EXP(-LN(2)/2))/(LN(2)/2)*AQ110*AT110*VLOOKUP('Données projet'!$B$10,Paramètres!$A$1:$I$89,3,0)*0.475*44/12</f>
        <v>4.6989486632241547E-11</v>
      </c>
      <c r="AX110" s="23">
        <f t="shared" si="60"/>
        <v>3.0252030005820729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897.92969277978546</v>
      </c>
      <c r="BI110" s="62">
        <f ca="1">AVERAGE(OFFSET($BH$3,0,0,'Données projet'!$E$11+1,1))-AVERAGE(OFFSET($H$3,0,0,'Données projet'!$E$11+1,1))</f>
        <v>472.83070477639035</v>
      </c>
      <c r="BJ110" s="62">
        <f t="shared" si="92"/>
        <v>297.32483725004136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1.0797403993242027</v>
      </c>
      <c r="BR110" s="23">
        <f>EXP(-LN(2)/2)*BR109+(1-EXP(-LN(2)/2))/(LN(2)/2)*BL110*BO110*VLOOKUP('Données projet'!$B$11,Paramètres!$A$1:$I$89,3,0)*0.475*44/12</f>
        <v>3.8354492997786895E-11</v>
      </c>
      <c r="BS110" s="24">
        <f t="shared" si="63"/>
        <v>1.0797403993625572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-1.7053025658242404E-13</v>
      </c>
      <c r="BZ110" s="14">
        <f>BY110*VLOOKUP('Données projet'!$B$12,Paramètres!$A$1:$I$89,3,0)*VLOOKUP('Données projet'!$B$12,Paramètres!$A$1:$I$89,5,0)</f>
        <v>-9.3109520094003535E-14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262.64209686767367</v>
      </c>
      <c r="CE110" s="62">
        <f t="shared" si="94"/>
        <v>381.0342365342517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1.2652903179442081</v>
      </c>
      <c r="CL110" s="23">
        <f>EXP(-LN(2)/25)*CL109+(1-EXP(-LN(2)/25))/(LN(2)/25)*Calculateur!CG110*Calculateur!CI110*VLOOKUP('Données projet'!$B$12,Paramètres!$A$1:$I$89,3,0)*0.475*44/12</f>
        <v>1.5419341892014125</v>
      </c>
      <c r="CM110" s="23">
        <f>EXP(-LN(2)/2)*CM109+(1-EXP(-LN(2)/2))/(LN(2)/2)*CG110*CJ110*VLOOKUP('Données projet'!$B$12,Paramètres!$A$1:$I$89,3,0)*0.475*44/12</f>
        <v>3.1826258360534218E-11</v>
      </c>
      <c r="CN110" s="24">
        <f t="shared" si="66"/>
        <v>2.8072245071774464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-8.3355189417488869E-14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250.11765444522138</v>
      </c>
      <c r="CZ110" s="62">
        <f t="shared" si="96"/>
        <v>241.42920565698913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1.1513838405059864</v>
      </c>
      <c r="DH110" s="23">
        <f>EXP(-LN(2)/2)*DH109+(1-EXP(-LN(2)/2))/(LN(2)/2)*DB110*DE110*VLOOKUP('Données projet'!$B$13,Paramètres!$A$1:$I$89,3,0)*0.475*44/12</f>
        <v>1.2901300390149324E-10</v>
      </c>
      <c r="DI110" s="24">
        <f t="shared" si="69"/>
        <v>1.1513838406349994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419.0448820879102</v>
      </c>
      <c r="T111" s="62">
        <f t="shared" si="88"/>
        <v>553.33038335026379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3.215622387532926</v>
      </c>
      <c r="AA111" s="23">
        <f>EXP(-LN(2)/25)*AA110+(1-EXP(-LN(2)/25))/(LN(2)/25)*Calculateur!V111*Calculateur!X111*VLOOKUP('Données projet'!$B$9,Paramètres!$A$1:$I$89,3,0)*0.475*44/12</f>
        <v>2.7004020327422076</v>
      </c>
      <c r="AB111" s="23">
        <f>EXP(-LN(2)/2)*AB110+(1-EXP(-LN(2)/2))/(LN(2)/2)*V111*Y111*VLOOKUP('Données projet'!$B$9,Paramètres!$A$1:$I$89,3,0)*0.475*44/12</f>
        <v>3.2605394158782903E-11</v>
      </c>
      <c r="AC111" s="24">
        <f t="shared" si="57"/>
        <v>5.916024420307739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1.9895196601282805E-13</v>
      </c>
      <c r="AJ111" s="14">
        <f>AI111*VLOOKUP('Données projet'!$B$10,Paramètres!$A$1:$I$89,3,0)*VLOOKUP('Données projet'!$B$10,Paramètres!$A$1:$I$89,5,0)</f>
        <v>1.738044375088066E-13</v>
      </c>
      <c r="AK111" s="14">
        <f t="shared" si="89"/>
        <v>2.4483293633950478E-12</v>
      </c>
      <c r="AL111" s="22">
        <f t="shared" si="58"/>
        <v>4.566883036574213E-12</v>
      </c>
      <c r="AM111" s="62">
        <f t="shared" si="59"/>
        <v>279.48508419000387</v>
      </c>
      <c r="AN111" s="62">
        <f ca="1">AVERAGE(OFFSET($AM$3,0,0,'Données projet'!$E$10+1,1))-AVERAGE(OFFSET($H$3,0,0,'Données projet'!$E$10+1,1))</f>
        <v>341.62910675299065</v>
      </c>
      <c r="AO111" s="62">
        <f t="shared" si="90"/>
        <v>407.15938341104709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2.9424786653969401</v>
      </c>
      <c r="AW111" s="23">
        <f>EXP(-LN(2)/2)*AW110+(1-EXP(-LN(2)/2))/(LN(2)/2)*AQ111*AT111*VLOOKUP('Données projet'!$B$10,Paramètres!$A$1:$I$89,3,0)*0.475*44/12</f>
        <v>3.3226584642132623E-11</v>
      </c>
      <c r="AX111" s="23">
        <f t="shared" si="60"/>
        <v>2.9424786654301669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907.71241838629953</v>
      </c>
      <c r="BI111" s="62">
        <f ca="1">AVERAGE(OFFSET($BH$3,0,0,'Données projet'!$E$11+1,1))-AVERAGE(OFFSET($H$3,0,0,'Données projet'!$E$11+1,1))</f>
        <v>472.83070477639035</v>
      </c>
      <c r="BJ111" s="62">
        <f t="shared" si="92"/>
        <v>297.32483725004136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1.0502148413236025</v>
      </c>
      <c r="BR111" s="23">
        <f>EXP(-LN(2)/2)*BR110+(1-EXP(-LN(2)/2))/(LN(2)/2)*BL111*BO111*VLOOKUP('Données projet'!$B$11,Paramètres!$A$1:$I$89,3,0)*0.475*44/12</f>
        <v>2.7120722087707068E-11</v>
      </c>
      <c r="BS111" s="24">
        <f t="shared" si="63"/>
        <v>1.0502148413507233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-1.7053025658242404E-13</v>
      </c>
      <c r="BZ111" s="14">
        <f>BY111*VLOOKUP('Données projet'!$B$12,Paramètres!$A$1:$I$89,3,0)*VLOOKUP('Données projet'!$B$12,Paramètres!$A$1:$I$89,5,0)</f>
        <v>-9.3109520094003535E-14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262.64209686767367</v>
      </c>
      <c r="CE111" s="62">
        <f t="shared" si="94"/>
        <v>381.0342365342517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1.2404787465602121</v>
      </c>
      <c r="CL111" s="23">
        <f>EXP(-LN(2)/25)*CL110+(1-EXP(-LN(2)/25))/(LN(2)/25)*Calculateur!CG111*Calculateur!CI111*VLOOKUP('Données projet'!$B$12,Paramètres!$A$1:$I$89,3,0)*0.475*44/12</f>
        <v>1.499769917710905</v>
      </c>
      <c r="CM111" s="23">
        <f>EXP(-LN(2)/2)*CM110+(1-EXP(-LN(2)/2))/(LN(2)/2)*CG111*CJ111*VLOOKUP('Données projet'!$B$12,Paramètres!$A$1:$I$89,3,0)*0.475*44/12</f>
        <v>2.2504563106528798E-11</v>
      </c>
      <c r="CN111" s="24">
        <f t="shared" si="66"/>
        <v>2.7402486642936217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-8.3355189417488869E-14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250.11765444522138</v>
      </c>
      <c r="CZ111" s="62">
        <f t="shared" si="96"/>
        <v>241.42920565698913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1.1198991888387055</v>
      </c>
      <c r="DH111" s="23">
        <f>EXP(-LN(2)/2)*DH110+(1-EXP(-LN(2)/2))/(LN(2)/2)*DB111*DE111*VLOOKUP('Données projet'!$B$13,Paramètres!$A$1:$I$89,3,0)*0.475*44/12</f>
        <v>9.1225969919992381E-11</v>
      </c>
      <c r="DI111" s="24">
        <f t="shared" si="69"/>
        <v>1.1198991889299315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419.0448820879102</v>
      </c>
      <c r="T112" s="62">
        <f t="shared" si="88"/>
        <v>553.33038335026379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3.1525659938493957</v>
      </c>
      <c r="AA112" s="23">
        <f>EXP(-LN(2)/25)*AA111+(1-EXP(-LN(2)/25))/(LN(2)/25)*Calculateur!V112*Calculateur!X112*VLOOKUP('Données projet'!$B$9,Paramètres!$A$1:$I$89,3,0)*0.475*44/12</f>
        <v>2.6265593971489007</v>
      </c>
      <c r="AB112" s="23">
        <f>EXP(-LN(2)/2)*AB111+(1-EXP(-LN(2)/2))/(LN(2)/2)*V112*Y112*VLOOKUP('Données projet'!$B$9,Paramètres!$A$1:$I$89,3,0)*0.475*44/12</f>
        <v>2.3055495312935638E-11</v>
      </c>
      <c r="AC112" s="24">
        <f t="shared" si="57"/>
        <v>5.7791253910213518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1.9895196601282805E-13</v>
      </c>
      <c r="AJ112" s="14">
        <f>AI112*VLOOKUP('Données projet'!$B$10,Paramètres!$A$1:$I$89,3,0)*VLOOKUP('Données projet'!$B$10,Paramètres!$A$1:$I$89,5,0)</f>
        <v>1.738044375088066E-13</v>
      </c>
      <c r="AK112" s="14">
        <f t="shared" si="89"/>
        <v>2.4483293633950478E-12</v>
      </c>
      <c r="AL112" s="22">
        <f t="shared" si="58"/>
        <v>4.566883036574213E-12</v>
      </c>
      <c r="AM112" s="62">
        <f t="shared" si="59"/>
        <v>279.72532035259383</v>
      </c>
      <c r="AN112" s="62">
        <f ca="1">AVERAGE(OFFSET($AM$3,0,0,'Données projet'!$E$10+1,1))-AVERAGE(OFFSET($H$3,0,0,'Données projet'!$E$10+1,1))</f>
        <v>341.62910675299065</v>
      </c>
      <c r="AO112" s="62">
        <f t="shared" si="90"/>
        <v>407.15938341104709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2.8620164315534331</v>
      </c>
      <c r="AW112" s="23">
        <f>EXP(-LN(2)/2)*AW111+(1-EXP(-LN(2)/2))/(LN(2)/2)*AQ112*AT112*VLOOKUP('Données projet'!$B$10,Paramètres!$A$1:$I$89,3,0)*0.475*44/12</f>
        <v>2.3494743316120774E-11</v>
      </c>
      <c r="AX112" s="23">
        <f t="shared" si="60"/>
        <v>2.8620164315769276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917.48790696736285</v>
      </c>
      <c r="BI112" s="62">
        <f ca="1">AVERAGE(OFFSET($BH$3,0,0,'Données projet'!$E$11+1,1))-AVERAGE(OFFSET($H$3,0,0,'Données projet'!$E$11+1,1))</f>
        <v>472.83070477639035</v>
      </c>
      <c r="BJ112" s="62">
        <f t="shared" si="92"/>
        <v>297.32483725004136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1.0214966612592105</v>
      </c>
      <c r="BR112" s="23">
        <f>EXP(-LN(2)/2)*BR111+(1-EXP(-LN(2)/2))/(LN(2)/2)*BL112*BO112*VLOOKUP('Données projet'!$B$11,Paramètres!$A$1:$I$89,3,0)*0.475*44/12</f>
        <v>1.9177246498893448E-11</v>
      </c>
      <c r="BS112" s="24">
        <f t="shared" si="63"/>
        <v>1.0214966612783878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-1.7053025658242404E-13</v>
      </c>
      <c r="BZ112" s="14">
        <f>BY112*VLOOKUP('Données projet'!$B$12,Paramètres!$A$1:$I$89,3,0)*VLOOKUP('Données projet'!$B$12,Paramètres!$A$1:$I$89,5,0)</f>
        <v>-9.3109520094003535E-14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262.64209686767367</v>
      </c>
      <c r="CE112" s="62">
        <f t="shared" si="94"/>
        <v>381.0342365342517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1.2161537149574919</v>
      </c>
      <c r="CL112" s="23">
        <f>EXP(-LN(2)/25)*CL111+(1-EXP(-LN(2)/25))/(LN(2)/25)*Calculateur!CG112*Calculateur!CI112*VLOOKUP('Données projet'!$B$12,Paramètres!$A$1:$I$89,3,0)*0.475*44/12</f>
        <v>1.458758630441628</v>
      </c>
      <c r="CM112" s="23">
        <f>EXP(-LN(2)/2)*CM111+(1-EXP(-LN(2)/2))/(LN(2)/2)*CG112*CJ112*VLOOKUP('Données projet'!$B$12,Paramètres!$A$1:$I$89,3,0)*0.475*44/12</f>
        <v>1.5913129180267109E-11</v>
      </c>
      <c r="CN112" s="24">
        <f t="shared" si="66"/>
        <v>2.674912345415033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-8.3355189417488869E-14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250.11765444522138</v>
      </c>
      <c r="CZ112" s="62">
        <f t="shared" si="96"/>
        <v>241.42920565698913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1.0892754866269723</v>
      </c>
      <c r="DH112" s="23">
        <f>EXP(-LN(2)/2)*DH111+(1-EXP(-LN(2)/2))/(LN(2)/2)*DB112*DE112*VLOOKUP('Données projet'!$B$13,Paramètres!$A$1:$I$89,3,0)*0.475*44/12</f>
        <v>6.4506501950746618E-11</v>
      </c>
      <c r="DI112" s="24">
        <f t="shared" si="69"/>
        <v>1.0892754866914787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419.0448820879102</v>
      </c>
      <c r="T113" s="62">
        <f t="shared" si="88"/>
        <v>553.33038335026379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3.0907460975853973</v>
      </c>
      <c r="AA113" s="23">
        <f>EXP(-LN(2)/25)*AA112+(1-EXP(-LN(2)/25))/(LN(2)/25)*Calculateur!V113*Calculateur!X113*VLOOKUP('Données projet'!$B$9,Paramètres!$A$1:$I$89,3,0)*0.475*44/12</f>
        <v>2.5547359923091086</v>
      </c>
      <c r="AB113" s="23">
        <f>EXP(-LN(2)/2)*AB112+(1-EXP(-LN(2)/2))/(LN(2)/2)*V113*Y113*VLOOKUP('Données projet'!$B$9,Paramètres!$A$1:$I$89,3,0)*0.475*44/12</f>
        <v>1.6302697079391452E-11</v>
      </c>
      <c r="AC113" s="24">
        <f t="shared" si="57"/>
        <v>5.645482089910808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1.9895196601282805E-13</v>
      </c>
      <c r="AJ113" s="14">
        <f>AI113*VLOOKUP('Données projet'!$B$10,Paramètres!$A$1:$I$89,3,0)*VLOOKUP('Données projet'!$B$10,Paramètres!$A$1:$I$89,5,0)</f>
        <v>1.738044375088066E-13</v>
      </c>
      <c r="AK113" s="14">
        <f t="shared" si="89"/>
        <v>2.4483293633950478E-12</v>
      </c>
      <c r="AL113" s="22">
        <f t="shared" si="58"/>
        <v>4.566883036574213E-12</v>
      </c>
      <c r="AM113" s="62">
        <f t="shared" si="59"/>
        <v>279.96138895485041</v>
      </c>
      <c r="AN113" s="62">
        <f ca="1">AVERAGE(OFFSET($AM$3,0,0,'Données projet'!$E$10+1,1))-AVERAGE(OFFSET($H$3,0,0,'Données projet'!$E$10+1,1))</f>
        <v>341.62910675299065</v>
      </c>
      <c r="AO113" s="62">
        <f t="shared" si="90"/>
        <v>407.15938341104709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2.7837544417257014</v>
      </c>
      <c r="AW113" s="23">
        <f>EXP(-LN(2)/2)*AW112+(1-EXP(-LN(2)/2))/(LN(2)/2)*AQ113*AT113*VLOOKUP('Données projet'!$B$10,Paramètres!$A$1:$I$89,3,0)*0.475*44/12</f>
        <v>1.6613292321066311E-11</v>
      </c>
      <c r="AX113" s="23">
        <f t="shared" si="60"/>
        <v>2.7837544417423148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927.25628319657039</v>
      </c>
      <c r="BI113" s="62">
        <f ca="1">AVERAGE(OFFSET($BH$3,0,0,'Données projet'!$E$11+1,1))-AVERAGE(OFFSET($H$3,0,0,'Données projet'!$E$11+1,1))</f>
        <v>472.83070477639035</v>
      </c>
      <c r="BJ113" s="62">
        <f t="shared" si="92"/>
        <v>297.32483725004136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0.99356378133890255</v>
      </c>
      <c r="BR113" s="23">
        <f>EXP(-LN(2)/2)*BR112+(1-EXP(-LN(2)/2))/(LN(2)/2)*BL113*BO113*VLOOKUP('Données projet'!$B$11,Paramètres!$A$1:$I$89,3,0)*0.475*44/12</f>
        <v>1.3560361043853534E-11</v>
      </c>
      <c r="BS113" s="24">
        <f t="shared" si="63"/>
        <v>0.99356378135246293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-1.7053025658242404E-13</v>
      </c>
      <c r="BZ113" s="14">
        <f>BY113*VLOOKUP('Données projet'!$B$12,Paramètres!$A$1:$I$89,3,0)*VLOOKUP('Données projet'!$B$12,Paramètres!$A$1:$I$89,5,0)</f>
        <v>-9.3109520094003535E-14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262.64209686767367</v>
      </c>
      <c r="CE113" s="62">
        <f t="shared" si="94"/>
        <v>381.0342365342517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1.192305682387697</v>
      </c>
      <c r="CL113" s="23">
        <f>EXP(-LN(2)/25)*CL112+(1-EXP(-LN(2)/25))/(LN(2)/25)*Calculateur!CG113*Calculateur!CI113*VLOOKUP('Données projet'!$B$12,Paramètres!$A$1:$I$89,3,0)*0.475*44/12</f>
        <v>1.4188687989794193</v>
      </c>
      <c r="CM113" s="23">
        <f>EXP(-LN(2)/2)*CM112+(1-EXP(-LN(2)/2))/(LN(2)/2)*CG113*CJ113*VLOOKUP('Données projet'!$B$12,Paramètres!$A$1:$I$89,3,0)*0.475*44/12</f>
        <v>1.1252281553264399E-11</v>
      </c>
      <c r="CN113" s="24">
        <f t="shared" si="66"/>
        <v>2.6111744813783684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-8.3355189417488869E-14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250.11765444522138</v>
      </c>
      <c r="CZ113" s="62">
        <f t="shared" si="96"/>
        <v>241.42920565698913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1.0594891911626494</v>
      </c>
      <c r="DH113" s="23">
        <f>EXP(-LN(2)/2)*DH112+(1-EXP(-LN(2)/2))/(LN(2)/2)*DB113*DE113*VLOOKUP('Données projet'!$B$13,Paramètres!$A$1:$I$89,3,0)*0.475*44/12</f>
        <v>4.5612984959996191E-11</v>
      </c>
      <c r="DI113" s="24">
        <f t="shared" si="69"/>
        <v>1.0594891912082625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419.0448820879102</v>
      </c>
      <c r="T114" s="62">
        <f t="shared" si="88"/>
        <v>553.33038335026379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3.0301384517807222</v>
      </c>
      <c r="AA114" s="23">
        <f>EXP(-LN(2)/25)*AA113+(1-EXP(-LN(2)/25))/(LN(2)/25)*Calculateur!V114*Calculateur!X114*VLOOKUP('Données projet'!$B$9,Paramètres!$A$1:$I$89,3,0)*0.475*44/12</f>
        <v>2.4848766022516893</v>
      </c>
      <c r="AB114" s="23">
        <f>EXP(-LN(2)/2)*AB113+(1-EXP(-LN(2)/2))/(LN(2)/2)*V114*Y114*VLOOKUP('Données projet'!$B$9,Paramètres!$A$1:$I$89,3,0)*0.475*44/12</f>
        <v>1.1527747656467819E-11</v>
      </c>
      <c r="AC114" s="24">
        <f t="shared" si="57"/>
        <v>5.5150150540439391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1.9895196601282805E-13</v>
      </c>
      <c r="AJ114" s="14">
        <f>AI114*VLOOKUP('Données projet'!$B$10,Paramètres!$A$1:$I$89,3,0)*VLOOKUP('Données projet'!$B$10,Paramètres!$A$1:$I$89,5,0)</f>
        <v>1.738044375088066E-13</v>
      </c>
      <c r="AK114" s="14">
        <f t="shared" si="89"/>
        <v>2.4483293633950478E-12</v>
      </c>
      <c r="AL114" s="22">
        <f t="shared" si="58"/>
        <v>4.566883036574213E-12</v>
      </c>
      <c r="AM114" s="62">
        <f t="shared" si="59"/>
        <v>280.19336229462812</v>
      </c>
      <c r="AN114" s="62">
        <f ca="1">AVERAGE(OFFSET($AM$3,0,0,'Données projet'!$E$10+1,1))-AVERAGE(OFFSET($H$3,0,0,'Données projet'!$E$10+1,1))</f>
        <v>341.62910675299065</v>
      </c>
      <c r="AO114" s="62">
        <f t="shared" si="90"/>
        <v>407.15938341104709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2.7076325301254283</v>
      </c>
      <c r="AW114" s="23">
        <f>EXP(-LN(2)/2)*AW113+(1-EXP(-LN(2)/2))/(LN(2)/2)*AQ114*AT114*VLOOKUP('Données projet'!$B$10,Paramètres!$A$1:$I$89,3,0)*0.475*44/12</f>
        <v>1.1747371658060387E-11</v>
      </c>
      <c r="AX114" s="23">
        <f t="shared" si="60"/>
        <v>2.7076325301371758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281.93567999999988</v>
      </c>
      <c r="BF114" s="14">
        <f t="shared" si="91"/>
        <v>67.375909546040361</v>
      </c>
      <c r="BG114" s="22">
        <f t="shared" si="61"/>
        <v>608.38435179268674</v>
      </c>
      <c r="BH114" s="62">
        <f t="shared" si="62"/>
        <v>888.57771408731037</v>
      </c>
      <c r="BI114" s="62">
        <f ca="1">AVERAGE(OFFSET($BH$3,0,0,'Données projet'!$E$11+1,1))-AVERAGE(OFFSET($H$3,0,0,'Données projet'!$E$11+1,1))</f>
        <v>472.83070477639035</v>
      </c>
      <c r="BJ114" s="62">
        <f t="shared" si="92"/>
        <v>297.32483725004136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0.96639472748894184</v>
      </c>
      <c r="BR114" s="23">
        <f>EXP(-LN(2)/2)*BR113+(1-EXP(-LN(2)/2))/(LN(2)/2)*BL114*BO114*VLOOKUP('Données projet'!$B$11,Paramètres!$A$1:$I$89,3,0)*0.475*44/12</f>
        <v>9.5886232494467239E-12</v>
      </c>
      <c r="BS114" s="24">
        <f t="shared" si="63"/>
        <v>0.9663947274985305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-1.7053025658242404E-13</v>
      </c>
      <c r="BZ114" s="14">
        <f>BY114*VLOOKUP('Données projet'!$B$12,Paramètres!$A$1:$I$89,3,0)*VLOOKUP('Données projet'!$B$12,Paramètres!$A$1:$I$89,5,0)</f>
        <v>-9.3109520094003535E-14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262.64209686767367</v>
      </c>
      <c r="CE114" s="62">
        <f t="shared" si="94"/>
        <v>381.0342365342517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1.1689252951907321</v>
      </c>
      <c r="CL114" s="23">
        <f>EXP(-LN(2)/25)*CL113+(1-EXP(-LN(2)/25))/(LN(2)/25)*Calculateur!CG114*Calculateur!CI114*VLOOKUP('Données projet'!$B$12,Paramètres!$A$1:$I$89,3,0)*0.475*44/12</f>
        <v>1.3800697570562599</v>
      </c>
      <c r="CM114" s="23">
        <f>EXP(-LN(2)/2)*CM113+(1-EXP(-LN(2)/2))/(LN(2)/2)*CG114*CJ114*VLOOKUP('Données projet'!$B$12,Paramètres!$A$1:$I$89,3,0)*0.475*44/12</f>
        <v>7.9565645901335544E-12</v>
      </c>
      <c r="CN114" s="24">
        <f t="shared" si="66"/>
        <v>2.5489950522549489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-8.3355189417488869E-14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250.11765444522138</v>
      </c>
      <c r="CZ114" s="62">
        <f t="shared" si="96"/>
        <v>241.42920565698913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1.0305174035141917</v>
      </c>
      <c r="DH114" s="23">
        <f>EXP(-LN(2)/2)*DH113+(1-EXP(-LN(2)/2))/(LN(2)/2)*DB114*DE114*VLOOKUP('Données projet'!$B$13,Paramètres!$A$1:$I$89,3,0)*0.475*44/12</f>
        <v>3.2253250975373309E-11</v>
      </c>
      <c r="DI114" s="24">
        <f t="shared" si="69"/>
        <v>1.0305174035464451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419.0448820879102</v>
      </c>
      <c r="T115" s="62">
        <f t="shared" si="88"/>
        <v>553.33038335026379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2.9707192849432631</v>
      </c>
      <c r="AA115" s="23">
        <f>EXP(-LN(2)/25)*AA114+(1-EXP(-LN(2)/25))/(LN(2)/25)*Calculateur!V115*Calculateur!X115*VLOOKUP('Données projet'!$B$9,Paramètres!$A$1:$I$89,3,0)*0.475*44/12</f>
        <v>2.4169275208891356</v>
      </c>
      <c r="AB115" s="23">
        <f>EXP(-LN(2)/2)*AB114+(1-EXP(-LN(2)/2))/(LN(2)/2)*V115*Y115*VLOOKUP('Données projet'!$B$9,Paramètres!$A$1:$I$89,3,0)*0.475*44/12</f>
        <v>8.1513485396957259E-12</v>
      </c>
      <c r="AC115" s="24">
        <f t="shared" si="57"/>
        <v>5.38764680584055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1.9895196601282805E-13</v>
      </c>
      <c r="AJ115" s="14">
        <f>AI115*VLOOKUP('Données projet'!$B$10,Paramètres!$A$1:$I$89,3,0)*VLOOKUP('Données projet'!$B$10,Paramètres!$A$1:$I$89,5,0)</f>
        <v>1.738044375088066E-13</v>
      </c>
      <c r="AK115" s="14">
        <f t="shared" si="89"/>
        <v>2.4483293633950478E-12</v>
      </c>
      <c r="AL115" s="22">
        <f t="shared" si="58"/>
        <v>4.566883036574213E-12</v>
      </c>
      <c r="AM115" s="62">
        <f t="shared" si="59"/>
        <v>280.42131141557542</v>
      </c>
      <c r="AN115" s="62">
        <f ca="1">AVERAGE(OFFSET($AM$3,0,0,'Données projet'!$E$10+1,1))-AVERAGE(OFFSET($H$3,0,0,'Données projet'!$E$10+1,1))</f>
        <v>341.62910675299065</v>
      </c>
      <c r="AO115" s="62">
        <f t="shared" si="90"/>
        <v>407.15938341104709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2.633592176200942</v>
      </c>
      <c r="AW115" s="23">
        <f>EXP(-LN(2)/2)*AW114+(1-EXP(-LN(2)/2))/(LN(2)/2)*AQ115*AT115*VLOOKUP('Données projet'!$B$10,Paramètres!$A$1:$I$89,3,0)*0.475*44/12</f>
        <v>8.3066461605331557E-12</v>
      </c>
      <c r="AX115" s="23">
        <f t="shared" si="60"/>
        <v>2.6335921762092487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286.09775999999994</v>
      </c>
      <c r="BF115" s="14">
        <f t="shared" si="91"/>
        <v>68.254020651723678</v>
      </c>
      <c r="BG115" s="22">
        <f t="shared" si="61"/>
        <v>617.16268463508527</v>
      </c>
      <c r="BH115" s="62">
        <f t="shared" si="62"/>
        <v>897.5839960506562</v>
      </c>
      <c r="BI115" s="62">
        <f ca="1">AVERAGE(OFFSET($BH$3,0,0,'Données projet'!$E$11+1,1))-AVERAGE(OFFSET($H$3,0,0,'Données projet'!$E$11+1,1))</f>
        <v>472.83070477639035</v>
      </c>
      <c r="BJ115" s="62">
        <f t="shared" si="92"/>
        <v>297.32483725004136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0.93996861284526678</v>
      </c>
      <c r="BR115" s="23">
        <f>EXP(-LN(2)/2)*BR114+(1-EXP(-LN(2)/2))/(LN(2)/2)*BL115*BO115*VLOOKUP('Données projet'!$B$11,Paramètres!$A$1:$I$89,3,0)*0.475*44/12</f>
        <v>6.7801805219267669E-12</v>
      </c>
      <c r="BS115" s="24">
        <f t="shared" si="63"/>
        <v>0.93996861285204691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-1.7053025658242404E-13</v>
      </c>
      <c r="BZ115" s="14">
        <f>BY115*VLOOKUP('Données projet'!$B$12,Paramètres!$A$1:$I$89,3,0)*VLOOKUP('Données projet'!$B$12,Paramètres!$A$1:$I$89,5,0)</f>
        <v>-9.3109520094003535E-14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262.64209686767367</v>
      </c>
      <c r="CE115" s="62">
        <f t="shared" si="94"/>
        <v>381.0342365342517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1.1460033831260716</v>
      </c>
      <c r="CL115" s="23">
        <f>EXP(-LN(2)/25)*CL114+(1-EXP(-LN(2)/25))/(LN(2)/25)*Calculateur!CG115*Calculateur!CI115*VLOOKUP('Données projet'!$B$12,Paramètres!$A$1:$I$89,3,0)*0.475*44/12</f>
        <v>1.3423316769748421</v>
      </c>
      <c r="CM115" s="23">
        <f>EXP(-LN(2)/2)*CM114+(1-EXP(-LN(2)/2))/(LN(2)/2)*CG115*CJ115*VLOOKUP('Données projet'!$B$12,Paramètres!$A$1:$I$89,3,0)*0.475*44/12</f>
        <v>5.6261407766321995E-12</v>
      </c>
      <c r="CN115" s="24">
        <f t="shared" si="66"/>
        <v>2.4883350601065399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-8.3355189417488869E-14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250.11765444522138</v>
      </c>
      <c r="CZ115" s="62">
        <f t="shared" si="96"/>
        <v>241.42920565698913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1.0023378509225411</v>
      </c>
      <c r="DH115" s="23">
        <f>EXP(-LN(2)/2)*DH114+(1-EXP(-LN(2)/2))/(LN(2)/2)*DB115*DE115*VLOOKUP('Données projet'!$B$13,Paramètres!$A$1:$I$89,3,0)*0.475*44/12</f>
        <v>2.2806492479998095E-11</v>
      </c>
      <c r="DI115" s="24">
        <f t="shared" si="69"/>
        <v>1.0023378509453476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419.0448820879102</v>
      </c>
      <c r="T116" s="62">
        <f t="shared" si="88"/>
        <v>553.33038335026379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2.9124652917253733</v>
      </c>
      <c r="AA116" s="23">
        <f>EXP(-LN(2)/25)*AA115+(1-EXP(-LN(2)/25))/(LN(2)/25)*Calculateur!V116*Calculateur!X116*VLOOKUP('Données projet'!$B$9,Paramètres!$A$1:$I$89,3,0)*0.475*44/12</f>
        <v>2.350836510729728</v>
      </c>
      <c r="AB116" s="23">
        <f>EXP(-LN(2)/2)*AB115+(1-EXP(-LN(2)/2))/(LN(2)/2)*V116*Y116*VLOOKUP('Données projet'!$B$9,Paramètres!$A$1:$I$89,3,0)*0.475*44/12</f>
        <v>5.7638738282339094E-12</v>
      </c>
      <c r="AC116" s="24">
        <f t="shared" si="57"/>
        <v>5.263301802460866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1.9895196601282805E-13</v>
      </c>
      <c r="AJ116" s="14">
        <f>AI116*VLOOKUP('Données projet'!$B$10,Paramètres!$A$1:$I$89,3,0)*VLOOKUP('Données projet'!$B$10,Paramètres!$A$1:$I$89,5,0)</f>
        <v>1.738044375088066E-13</v>
      </c>
      <c r="AK116" s="14">
        <f t="shared" si="89"/>
        <v>2.4483293633950478E-12</v>
      </c>
      <c r="AL116" s="22">
        <f t="shared" si="58"/>
        <v>4.566883036574213E-12</v>
      </c>
      <c r="AM116" s="62">
        <f t="shared" si="59"/>
        <v>280.64530612889217</v>
      </c>
      <c r="AN116" s="62">
        <f ca="1">AVERAGE(OFFSET($AM$3,0,0,'Données projet'!$E$10+1,1))-AVERAGE(OFFSET($H$3,0,0,'Données projet'!$E$10+1,1))</f>
        <v>341.62910675299065</v>
      </c>
      <c r="AO116" s="62">
        <f t="shared" si="90"/>
        <v>407.15938341104709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2.5615764596481339</v>
      </c>
      <c r="AW116" s="23">
        <f>EXP(-LN(2)/2)*AW115+(1-EXP(-LN(2)/2))/(LN(2)/2)*AQ116*AT116*VLOOKUP('Données projet'!$B$10,Paramètres!$A$1:$I$89,3,0)*0.475*44/12</f>
        <v>5.8736858290301934E-12</v>
      </c>
      <c r="AX116" s="23">
        <f t="shared" si="60"/>
        <v>2.5615764596540074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290.25983999999994</v>
      </c>
      <c r="BF116" s="14">
        <f t="shared" si="91"/>
        <v>69.130646003237317</v>
      </c>
      <c r="BG116" s="22">
        <f t="shared" si="61"/>
        <v>625.93842978897146</v>
      </c>
      <c r="BH116" s="62">
        <f t="shared" si="62"/>
        <v>906.58373591785903</v>
      </c>
      <c r="BI116" s="62">
        <f ca="1">AVERAGE(OFFSET($BH$3,0,0,'Données projet'!$E$11+1,1))-AVERAGE(OFFSET($H$3,0,0,'Données projet'!$E$11+1,1))</f>
        <v>472.83070477639035</v>
      </c>
      <c r="BJ116" s="62">
        <f t="shared" si="92"/>
        <v>297.32483725004136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0.91426512169621199</v>
      </c>
      <c r="BR116" s="23">
        <f>EXP(-LN(2)/2)*BR115+(1-EXP(-LN(2)/2))/(LN(2)/2)*BL116*BO116*VLOOKUP('Données projet'!$B$11,Paramètres!$A$1:$I$89,3,0)*0.475*44/12</f>
        <v>4.7943116247233619E-12</v>
      </c>
      <c r="BS116" s="24">
        <f t="shared" si="63"/>
        <v>0.91426512170100627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-1.7053025658242404E-13</v>
      </c>
      <c r="BZ116" s="14">
        <f>BY116*VLOOKUP('Données projet'!$B$12,Paramètres!$A$1:$I$89,3,0)*VLOOKUP('Données projet'!$B$12,Paramètres!$A$1:$I$89,5,0)</f>
        <v>-9.3109520094003535E-14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262.64209686767367</v>
      </c>
      <c r="CE116" s="62">
        <f t="shared" si="94"/>
        <v>381.0342365342517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1.1235309557760131</v>
      </c>
      <c r="CL116" s="23">
        <f>EXP(-LN(2)/25)*CL115+(1-EXP(-LN(2)/25))/(LN(2)/25)*Calculateur!CG116*Calculateur!CI116*VLOOKUP('Données projet'!$B$12,Paramètres!$A$1:$I$89,3,0)*0.475*44/12</f>
        <v>1.3056255466778102</v>
      </c>
      <c r="CM116" s="23">
        <f>EXP(-LN(2)/2)*CM115+(1-EXP(-LN(2)/2))/(LN(2)/2)*CG116*CJ116*VLOOKUP('Données projet'!$B$12,Paramètres!$A$1:$I$89,3,0)*0.475*44/12</f>
        <v>3.9782822950667772E-12</v>
      </c>
      <c r="CN116" s="24">
        <f t="shared" si="66"/>
        <v>2.4291565024578015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-8.3355189417488869E-14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250.11765444522138</v>
      </c>
      <c r="CZ116" s="62">
        <f t="shared" si="96"/>
        <v>241.42920565698913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0.97492886967840753</v>
      </c>
      <c r="DH116" s="23">
        <f>EXP(-LN(2)/2)*DH115+(1-EXP(-LN(2)/2))/(LN(2)/2)*DB116*DE116*VLOOKUP('Données projet'!$B$13,Paramètres!$A$1:$I$89,3,0)*0.475*44/12</f>
        <v>1.6126625487686655E-11</v>
      </c>
      <c r="DI116" s="24">
        <f t="shared" si="69"/>
        <v>0.97492886969453418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419.0448820879102</v>
      </c>
      <c r="T117" s="62">
        <f t="shared" si="88"/>
        <v>553.33038335026379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2.855353623783059</v>
      </c>
      <c r="AA117" s="23">
        <f>EXP(-LN(2)/25)*AA116+(1-EXP(-LN(2)/25))/(LN(2)/25)*Calculateur!V117*Calculateur!X117*VLOOKUP('Données projet'!$B$9,Paramètres!$A$1:$I$89,3,0)*0.475*44/12</f>
        <v>2.2865527627187046</v>
      </c>
      <c r="AB117" s="23">
        <f>EXP(-LN(2)/2)*AB116+(1-EXP(-LN(2)/2))/(LN(2)/2)*V117*Y117*VLOOKUP('Données projet'!$B$9,Paramètres!$A$1:$I$89,3,0)*0.475*44/12</f>
        <v>4.0756742698478629E-12</v>
      </c>
      <c r="AC117" s="24">
        <f t="shared" si="57"/>
        <v>5.1419063865058394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1.9895196601282805E-13</v>
      </c>
      <c r="AJ117" s="14">
        <f>AI117*VLOOKUP('Données projet'!$B$10,Paramètres!$A$1:$I$89,3,0)*VLOOKUP('Données projet'!$B$10,Paramètres!$A$1:$I$89,5,0)</f>
        <v>1.738044375088066E-13</v>
      </c>
      <c r="AK117" s="14">
        <f t="shared" si="89"/>
        <v>2.4483293633950478E-12</v>
      </c>
      <c r="AL117" s="22">
        <f t="shared" si="58"/>
        <v>4.566883036574213E-12</v>
      </c>
      <c r="AM117" s="62">
        <f t="shared" si="59"/>
        <v>280.86541503471</v>
      </c>
      <c r="AN117" s="62">
        <f ca="1">AVERAGE(OFFSET($AM$3,0,0,'Données projet'!$E$10+1,1))-AVERAGE(OFFSET($H$3,0,0,'Données projet'!$E$10+1,1))</f>
        <v>341.62910675299065</v>
      </c>
      <c r="AO117" s="62">
        <f t="shared" si="90"/>
        <v>407.15938341104709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2.4915300166516041</v>
      </c>
      <c r="AW117" s="23">
        <f>EXP(-LN(2)/2)*AW116+(1-EXP(-LN(2)/2))/(LN(2)/2)*AQ117*AT117*VLOOKUP('Données projet'!$B$10,Paramètres!$A$1:$I$89,3,0)*0.475*44/12</f>
        <v>4.1533230802665779E-12</v>
      </c>
      <c r="AX117" s="23">
        <f t="shared" si="60"/>
        <v>2.4915300166557572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294.42191999999994</v>
      </c>
      <c r="BF117" s="14">
        <f t="shared" si="91"/>
        <v>70.005809366676559</v>
      </c>
      <c r="BG117" s="22">
        <f t="shared" si="61"/>
        <v>634.71162864696146</v>
      </c>
      <c r="BH117" s="62">
        <f t="shared" si="62"/>
        <v>915.57704368166696</v>
      </c>
      <c r="BI117" s="62">
        <f ca="1">AVERAGE(OFFSET($BH$3,0,0,'Données projet'!$E$11+1,1))-AVERAGE(OFFSET($H$3,0,0,'Données projet'!$E$11+1,1))</f>
        <v>472.83070477639035</v>
      </c>
      <c r="BJ117" s="62">
        <f t="shared" si="92"/>
        <v>297.32483725004136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0.88926449386431594</v>
      </c>
      <c r="BR117" s="23">
        <f>EXP(-LN(2)/2)*BR116+(1-EXP(-LN(2)/2))/(LN(2)/2)*BL117*BO117*VLOOKUP('Données projet'!$B$11,Paramètres!$A$1:$I$89,3,0)*0.475*44/12</f>
        <v>3.3900902609633835E-12</v>
      </c>
      <c r="BS117" s="24">
        <f t="shared" si="63"/>
        <v>0.88926449386770601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-1.7053025658242404E-13</v>
      </c>
      <c r="BZ117" s="14">
        <f>BY117*VLOOKUP('Données projet'!$B$12,Paramètres!$A$1:$I$89,3,0)*VLOOKUP('Données projet'!$B$12,Paramètres!$A$1:$I$89,5,0)</f>
        <v>-9.3109520094003535E-14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262.64209686767367</v>
      </c>
      <c r="CE117" s="62">
        <f t="shared" si="94"/>
        <v>381.0342365342517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1.1014991990194622</v>
      </c>
      <c r="CL117" s="23">
        <f>EXP(-LN(2)/25)*CL116+(1-EXP(-LN(2)/25))/(LN(2)/25)*Calculateur!CG117*Calculateur!CI117*VLOOKUP('Données projet'!$B$12,Paramètres!$A$1:$I$89,3,0)*0.475*44/12</f>
        <v>1.269923147444042</v>
      </c>
      <c r="CM117" s="23">
        <f>EXP(-LN(2)/2)*CM116+(1-EXP(-LN(2)/2))/(LN(2)/2)*CG117*CJ117*VLOOKUP('Données projet'!$B$12,Paramètres!$A$1:$I$89,3,0)*0.475*44/12</f>
        <v>2.8130703883160998E-12</v>
      </c>
      <c r="CN117" s="24">
        <f t="shared" si="66"/>
        <v>2.3714223464663169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-8.3355189417488869E-14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250.11765444522138</v>
      </c>
      <c r="CZ117" s="62">
        <f t="shared" si="96"/>
        <v>241.42920565698913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0.94826938846777042</v>
      </c>
      <c r="DH117" s="23">
        <f>EXP(-LN(2)/2)*DH116+(1-EXP(-LN(2)/2))/(LN(2)/2)*DB117*DE117*VLOOKUP('Données projet'!$B$13,Paramètres!$A$1:$I$89,3,0)*0.475*44/12</f>
        <v>1.1403246239999048E-11</v>
      </c>
      <c r="DI117" s="24">
        <f t="shared" si="69"/>
        <v>0.94826938847917364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419.0448820879102</v>
      </c>
      <c r="T118" s="62">
        <f t="shared" si="88"/>
        <v>553.33038335026379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2.7993618808144158</v>
      </c>
      <c r="AA118" s="23">
        <f>EXP(-LN(2)/25)*AA117+(1-EXP(-LN(2)/25))/(LN(2)/25)*Calculateur!V118*Calculateur!X118*VLOOKUP('Données projet'!$B$9,Paramètres!$A$1:$I$89,3,0)*0.475*44/12</f>
        <v>2.2240268571775776</v>
      </c>
      <c r="AB118" s="23">
        <f>EXP(-LN(2)/2)*AB117+(1-EXP(-LN(2)/2))/(LN(2)/2)*V118*Y118*VLOOKUP('Données projet'!$B$9,Paramètres!$A$1:$I$89,3,0)*0.475*44/12</f>
        <v>2.8819369141169547E-12</v>
      </c>
      <c r="AC118" s="24">
        <f t="shared" si="57"/>
        <v>5.0233887379948756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1.9895196601282805E-13</v>
      </c>
      <c r="AJ118" s="14">
        <f>AI118*VLOOKUP('Données projet'!$B$10,Paramètres!$A$1:$I$89,3,0)*VLOOKUP('Données projet'!$B$10,Paramètres!$A$1:$I$89,5,0)</f>
        <v>1.738044375088066E-13</v>
      </c>
      <c r="AK118" s="14">
        <f t="shared" si="89"/>
        <v>2.4483293633950478E-12</v>
      </c>
      <c r="AL118" s="22">
        <f t="shared" si="58"/>
        <v>4.566883036574213E-12</v>
      </c>
      <c r="AM118" s="62">
        <f t="shared" si="59"/>
        <v>281.0817055431018</v>
      </c>
      <c r="AN118" s="62">
        <f ca="1">AVERAGE(OFFSET($AM$3,0,0,'Données projet'!$E$10+1,1))-AVERAGE(OFFSET($H$3,0,0,'Données projet'!$E$10+1,1))</f>
        <v>341.62910675299065</v>
      </c>
      <c r="AO118" s="62">
        <f t="shared" si="90"/>
        <v>407.15938341104709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2.4233989973223968</v>
      </c>
      <c r="AW118" s="23">
        <f>EXP(-LN(2)/2)*AW117+(1-EXP(-LN(2)/2))/(LN(2)/2)*AQ118*AT118*VLOOKUP('Données projet'!$B$10,Paramètres!$A$1:$I$89,3,0)*0.475*44/12</f>
        <v>2.9368429145150967E-12</v>
      </c>
      <c r="AX118" s="23">
        <f t="shared" si="60"/>
        <v>2.4233989973253336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298.58399999999995</v>
      </c>
      <c r="BF118" s="14">
        <f t="shared" si="91"/>
        <v>70.879533797607607</v>
      </c>
      <c r="BG118" s="22">
        <f t="shared" si="61"/>
        <v>643.48232136416652</v>
      </c>
      <c r="BH118" s="62">
        <f t="shared" si="62"/>
        <v>924.56402690726372</v>
      </c>
      <c r="BI118" s="62">
        <f ca="1">AVERAGE(OFFSET($BH$3,0,0,'Données projet'!$E$11+1,1))-AVERAGE(OFFSET($H$3,0,0,'Données projet'!$E$11+1,1))</f>
        <v>472.83070477639035</v>
      </c>
      <c r="BJ118" s="62">
        <f t="shared" si="92"/>
        <v>297.32483725004136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0.86494750951520893</v>
      </c>
      <c r="BR118" s="23">
        <f>EXP(-LN(2)/2)*BR117+(1-EXP(-LN(2)/2))/(LN(2)/2)*BL118*BO118*VLOOKUP('Données projet'!$B$11,Paramètres!$A$1:$I$89,3,0)*0.475*44/12</f>
        <v>2.397155812361681E-12</v>
      </c>
      <c r="BS118" s="24">
        <f t="shared" si="63"/>
        <v>0.86494750951760613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-1.7053025658242404E-13</v>
      </c>
      <c r="BZ118" s="14">
        <f>BY118*VLOOKUP('Données projet'!$B$12,Paramètres!$A$1:$I$89,3,0)*VLOOKUP('Données projet'!$B$12,Paramètres!$A$1:$I$89,5,0)</f>
        <v>-9.3109520094003535E-14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262.64209686767367</v>
      </c>
      <c r="CE118" s="62">
        <f t="shared" si="94"/>
        <v>381.0342365342517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1.0798994715748624</v>
      </c>
      <c r="CL118" s="23">
        <f>EXP(-LN(2)/25)*CL117+(1-EXP(-LN(2)/25))/(LN(2)/25)*Calculateur!CG118*Calculateur!CI118*VLOOKUP('Données projet'!$B$12,Paramètres!$A$1:$I$89,3,0)*0.475*44/12</f>
        <v>1.2351970321948289</v>
      </c>
      <c r="CM118" s="23">
        <f>EXP(-LN(2)/2)*CM117+(1-EXP(-LN(2)/2))/(LN(2)/2)*CG118*CJ118*VLOOKUP('Données projet'!$B$12,Paramètres!$A$1:$I$89,3,0)*0.475*44/12</f>
        <v>1.9891411475333886E-12</v>
      </c>
      <c r="CN118" s="24">
        <f t="shared" si="66"/>
        <v>2.3150965037716804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-8.3355189417488869E-14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250.11765444522138</v>
      </c>
      <c r="CZ118" s="62">
        <f t="shared" si="96"/>
        <v>241.42920565698913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0.9223389121727994</v>
      </c>
      <c r="DH118" s="23">
        <f>EXP(-LN(2)/2)*DH117+(1-EXP(-LN(2)/2))/(LN(2)/2)*DB118*DE118*VLOOKUP('Données projet'!$B$13,Paramètres!$A$1:$I$89,3,0)*0.475*44/12</f>
        <v>8.0633127438433273E-12</v>
      </c>
      <c r="DI118" s="24">
        <f t="shared" si="69"/>
        <v>0.92233891218086272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419.0448820879102</v>
      </c>
      <c r="T119" s="62">
        <f t="shared" si="88"/>
        <v>553.33038335026379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2.7444681017737964</v>
      </c>
      <c r="AA119" s="23">
        <f>EXP(-LN(2)/25)*AA118+(1-EXP(-LN(2)/25))/(LN(2)/25)*Calculateur!V119*Calculateur!X119*VLOOKUP('Données projet'!$B$9,Paramètres!$A$1:$I$89,3,0)*0.475*44/12</f>
        <v>2.1632107258115676</v>
      </c>
      <c r="AB119" s="23">
        <f>EXP(-LN(2)/2)*AB118+(1-EXP(-LN(2)/2))/(LN(2)/2)*V119*Y119*VLOOKUP('Données projet'!$B$9,Paramètres!$A$1:$I$89,3,0)*0.475*44/12</f>
        <v>2.0378371349239315E-12</v>
      </c>
      <c r="AC119" s="24">
        <f t="shared" si="57"/>
        <v>4.9076788275874019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1.9895196601282805E-13</v>
      </c>
      <c r="AJ119" s="14">
        <f>AI119*VLOOKUP('Données projet'!$B$10,Paramètres!$A$1:$I$89,3,0)*VLOOKUP('Données projet'!$B$10,Paramètres!$A$1:$I$89,5,0)</f>
        <v>1.738044375088066E-13</v>
      </c>
      <c r="AK119" s="14">
        <f t="shared" si="89"/>
        <v>2.4483293633950478E-12</v>
      </c>
      <c r="AL119" s="22">
        <f t="shared" si="58"/>
        <v>4.566883036574213E-12</v>
      </c>
      <c r="AM119" s="62">
        <f t="shared" si="59"/>
        <v>281.29424389472604</v>
      </c>
      <c r="AN119" s="62">
        <f ca="1">AVERAGE(OFFSET($AM$3,0,0,'Données projet'!$E$10+1,1))-AVERAGE(OFFSET($H$3,0,0,'Données projet'!$E$10+1,1))</f>
        <v>341.62910675299065</v>
      </c>
      <c r="AO119" s="62">
        <f t="shared" si="90"/>
        <v>407.15938341104709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2.3571310242996013</v>
      </c>
      <c r="AW119" s="23">
        <f>EXP(-LN(2)/2)*AW118+(1-EXP(-LN(2)/2))/(LN(2)/2)*AQ119*AT119*VLOOKUP('Données projet'!$B$10,Paramètres!$A$1:$I$89,3,0)*0.475*44/12</f>
        <v>2.0766615401332889E-12</v>
      </c>
      <c r="AX119" s="23">
        <f t="shared" si="60"/>
        <v>2.3571310243016779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472.83070477639035</v>
      </c>
      <c r="BJ119" s="62">
        <f t="shared" si="92"/>
        <v>297.32483725004136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0.84129547438190289</v>
      </c>
      <c r="BR119" s="23">
        <f>EXP(-LN(2)/2)*BR118+(1-EXP(-LN(2)/2))/(LN(2)/2)*BL119*BO119*VLOOKUP('Données projet'!$B$11,Paramètres!$A$1:$I$89,3,0)*0.475*44/12</f>
        <v>1.6950451304816917E-12</v>
      </c>
      <c r="BS119" s="24">
        <f t="shared" si="63"/>
        <v>0.84129547438359797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-1.7053025658242404E-13</v>
      </c>
      <c r="BZ119" s="14">
        <f>BY119*VLOOKUP('Données projet'!$B$12,Paramètres!$A$1:$I$89,3,0)*VLOOKUP('Données projet'!$B$12,Paramètres!$A$1:$I$89,5,0)</f>
        <v>-9.3109520094003535E-14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262.64209686767367</v>
      </c>
      <c r="CE119" s="62">
        <f t="shared" si="94"/>
        <v>381.0342365342517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1.0587233016109183</v>
      </c>
      <c r="CL119" s="23">
        <f>EXP(-LN(2)/25)*CL118+(1-EXP(-LN(2)/25))/(LN(2)/25)*Calculateur!CG119*Calculateur!CI119*VLOOKUP('Données projet'!$B$12,Paramètres!$A$1:$I$89,3,0)*0.475*44/12</f>
        <v>1.2014205043932724</v>
      </c>
      <c r="CM119" s="23">
        <f>EXP(-LN(2)/2)*CM118+(1-EXP(-LN(2)/2))/(LN(2)/2)*CG119*CJ119*VLOOKUP('Données projet'!$B$12,Paramètres!$A$1:$I$89,3,0)*0.475*44/12</f>
        <v>1.4065351941580499E-12</v>
      </c>
      <c r="CN119" s="24">
        <f t="shared" si="66"/>
        <v>2.2601438060055972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-8.3355189417488869E-14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250.11765444522138</v>
      </c>
      <c r="CZ119" s="62">
        <f t="shared" si="96"/>
        <v>241.42920565698913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0.89711750611573882</v>
      </c>
      <c r="DH119" s="23">
        <f>EXP(-LN(2)/2)*DH118+(1-EXP(-LN(2)/2))/(LN(2)/2)*DB119*DE119*VLOOKUP('Données projet'!$B$13,Paramètres!$A$1:$I$89,3,0)*0.475*44/12</f>
        <v>5.7016231199995238E-12</v>
      </c>
      <c r="DI119" s="24">
        <f t="shared" si="69"/>
        <v>0.89711750612144048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419.0448820879102</v>
      </c>
      <c r="T120" s="62">
        <f t="shared" si="88"/>
        <v>553.33038335026379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2.6906507562582647</v>
      </c>
      <c r="AA120" s="23">
        <f>EXP(-LN(2)/25)*AA119+(1-EXP(-LN(2)/25))/(LN(2)/25)*Calculateur!V120*Calculateur!X120*VLOOKUP('Données projet'!$B$9,Paramètres!$A$1:$I$89,3,0)*0.475*44/12</f>
        <v>2.1040576147559422</v>
      </c>
      <c r="AB120" s="23">
        <f>EXP(-LN(2)/2)*AB119+(1-EXP(-LN(2)/2))/(LN(2)/2)*V120*Y120*VLOOKUP('Données projet'!$B$9,Paramètres!$A$1:$I$89,3,0)*0.475*44/12</f>
        <v>1.4409684570584773E-12</v>
      </c>
      <c r="AC120" s="24">
        <f t="shared" si="57"/>
        <v>4.7947083710156475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1.9895196601282805E-13</v>
      </c>
      <c r="AJ120" s="14">
        <f>AI120*VLOOKUP('Données projet'!$B$10,Paramètres!$A$1:$I$89,3,0)*VLOOKUP('Données projet'!$B$10,Paramètres!$A$1:$I$89,5,0)</f>
        <v>1.738044375088066E-13</v>
      </c>
      <c r="AK120" s="14">
        <f t="shared" si="89"/>
        <v>2.4483293633950478E-12</v>
      </c>
      <c r="AL120" s="22">
        <f t="shared" si="58"/>
        <v>4.566883036574213E-12</v>
      </c>
      <c r="AM120" s="62">
        <f t="shared" si="59"/>
        <v>281.50309518111419</v>
      </c>
      <c r="AN120" s="62">
        <f ca="1">AVERAGE(OFFSET($AM$3,0,0,'Données projet'!$E$10+1,1))-AVERAGE(OFFSET($H$3,0,0,'Données projet'!$E$10+1,1))</f>
        <v>341.62910675299065</v>
      </c>
      <c r="AO120" s="62">
        <f t="shared" si="90"/>
        <v>407.15938341104709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2.2926751524839952</v>
      </c>
      <c r="AW120" s="23">
        <f>EXP(-LN(2)/2)*AW119+(1-EXP(-LN(2)/2))/(LN(2)/2)*AQ120*AT120*VLOOKUP('Données projet'!$B$10,Paramètres!$A$1:$I$89,3,0)*0.475*44/12</f>
        <v>1.4684214572575483E-12</v>
      </c>
      <c r="AX120" s="23">
        <f t="shared" si="60"/>
        <v>2.2926751524854638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472.83070477639035</v>
      </c>
      <c r="BJ120" s="62">
        <f t="shared" si="92"/>
        <v>297.32483725004136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0.81829020539312358</v>
      </c>
      <c r="BR120" s="23">
        <f>EXP(-LN(2)/2)*BR119+(1-EXP(-LN(2)/2))/(LN(2)/2)*BL120*BO120*VLOOKUP('Données projet'!$B$11,Paramètres!$A$1:$I$89,3,0)*0.475*44/12</f>
        <v>1.1985779061808405E-12</v>
      </c>
      <c r="BS120" s="24">
        <f t="shared" si="63"/>
        <v>0.81829020539432218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-1.7053025658242404E-13</v>
      </c>
      <c r="BZ120" s="14">
        <f>BY120*VLOOKUP('Données projet'!$B$12,Paramètres!$A$1:$I$89,3,0)*VLOOKUP('Données projet'!$B$12,Paramètres!$A$1:$I$89,5,0)</f>
        <v>-9.3109520094003535E-14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262.64209686767367</v>
      </c>
      <c r="CE120" s="62">
        <f t="shared" si="94"/>
        <v>381.0342365342517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1.037962383423779</v>
      </c>
      <c r="CL120" s="23">
        <f>EXP(-LN(2)/25)*CL119+(1-EXP(-LN(2)/25))/(LN(2)/25)*Calculateur!CG120*Calculateur!CI120*VLOOKUP('Données projet'!$B$12,Paramètres!$A$1:$I$89,3,0)*0.475*44/12</f>
        <v>1.16856759752068</v>
      </c>
      <c r="CM120" s="23">
        <f>EXP(-LN(2)/2)*CM119+(1-EXP(-LN(2)/2))/(LN(2)/2)*CG120*CJ120*VLOOKUP('Données projet'!$B$12,Paramètres!$A$1:$I$89,3,0)*0.475*44/12</f>
        <v>9.9457057376669431E-13</v>
      </c>
      <c r="CN120" s="24">
        <f t="shared" si="66"/>
        <v>2.2065299809454535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-8.3355189417488869E-14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250.11765444522138</v>
      </c>
      <c r="CZ120" s="62">
        <f t="shared" si="96"/>
        <v>241.42920565698913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0.87258578073364468</v>
      </c>
      <c r="DH120" s="23">
        <f>EXP(-LN(2)/2)*DH119+(1-EXP(-LN(2)/2))/(LN(2)/2)*DB120*DE120*VLOOKUP('Données projet'!$B$13,Paramètres!$A$1:$I$89,3,0)*0.475*44/12</f>
        <v>4.0316563719216636E-12</v>
      </c>
      <c r="DI120" s="24">
        <f t="shared" si="69"/>
        <v>0.87258578073767634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419.0448820879102</v>
      </c>
      <c r="T121" s="62">
        <f t="shared" si="88"/>
        <v>553.33038335026379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2.6378887360629526</v>
      </c>
      <c r="AA121" s="23">
        <f>EXP(-LN(2)/25)*AA120+(1-EXP(-LN(2)/25))/(LN(2)/25)*Calculateur!V121*Calculateur!X121*VLOOKUP('Données projet'!$B$9,Paramètres!$A$1:$I$89,3,0)*0.475*44/12</f>
        <v>2.0465220486328599</v>
      </c>
      <c r="AB121" s="23">
        <f>EXP(-LN(2)/2)*AB120+(1-EXP(-LN(2)/2))/(LN(2)/2)*V121*Y121*VLOOKUP('Données projet'!$B$9,Paramètres!$A$1:$I$89,3,0)*0.475*44/12</f>
        <v>1.0189185674619657E-12</v>
      </c>
      <c r="AC121" s="24">
        <f t="shared" si="57"/>
        <v>4.6844107846968308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1.9895196601282805E-13</v>
      </c>
      <c r="AJ121" s="14">
        <f>AI121*VLOOKUP('Données projet'!$B$10,Paramètres!$A$1:$I$89,3,0)*VLOOKUP('Données projet'!$B$10,Paramètres!$A$1:$I$89,5,0)</f>
        <v>1.738044375088066E-13</v>
      </c>
      <c r="AK121" s="14">
        <f t="shared" si="89"/>
        <v>2.4483293633950478E-12</v>
      </c>
      <c r="AL121" s="22">
        <f t="shared" si="58"/>
        <v>4.566883036574213E-12</v>
      </c>
      <c r="AM121" s="62">
        <f t="shared" si="59"/>
        <v>281.70832336460495</v>
      </c>
      <c r="AN121" s="62">
        <f ca="1">AVERAGE(OFFSET($AM$3,0,0,'Données projet'!$E$10+1,1))-AVERAGE(OFFSET($H$3,0,0,'Données projet'!$E$10+1,1))</f>
        <v>341.62910675299065</v>
      </c>
      <c r="AO121" s="62">
        <f t="shared" si="90"/>
        <v>407.15938341104709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2.229981829872774</v>
      </c>
      <c r="AW121" s="23">
        <f>EXP(-LN(2)/2)*AW120+(1-EXP(-LN(2)/2))/(LN(2)/2)*AQ121*AT121*VLOOKUP('Données projet'!$B$10,Paramètres!$A$1:$I$89,3,0)*0.475*44/12</f>
        <v>1.0383307700666445E-12</v>
      </c>
      <c r="AX121" s="23">
        <f t="shared" si="60"/>
        <v>2.2299818298738123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472.83070477639035</v>
      </c>
      <c r="BJ121" s="62">
        <f t="shared" si="92"/>
        <v>297.32483725004136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0.79591401669463691</v>
      </c>
      <c r="BR121" s="23">
        <f>EXP(-LN(2)/2)*BR120+(1-EXP(-LN(2)/2))/(LN(2)/2)*BL121*BO121*VLOOKUP('Données projet'!$B$11,Paramètres!$A$1:$I$89,3,0)*0.475*44/12</f>
        <v>8.4752256524084587E-13</v>
      </c>
      <c r="BS121" s="24">
        <f t="shared" si="63"/>
        <v>0.79591401669548445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-1.7053025658242404E-13</v>
      </c>
      <c r="BZ121" s="14">
        <f>BY121*VLOOKUP('Données projet'!$B$12,Paramètres!$A$1:$I$89,3,0)*VLOOKUP('Données projet'!$B$12,Paramètres!$A$1:$I$89,5,0)</f>
        <v>-9.3109520094003535E-14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262.64209686767367</v>
      </c>
      <c r="CE121" s="62">
        <f t="shared" si="94"/>
        <v>381.0342365342517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1.0176085741793797</v>
      </c>
      <c r="CL121" s="23">
        <f>EXP(-LN(2)/25)*CL120+(1-EXP(-LN(2)/25))/(LN(2)/25)*Calculateur!CG121*Calculateur!CI121*VLOOKUP('Données projet'!$B$12,Paramètres!$A$1:$I$89,3,0)*0.475*44/12</f>
        <v>1.1366130551141778</v>
      </c>
      <c r="CM121" s="23">
        <f>EXP(-LN(2)/2)*CM120+(1-EXP(-LN(2)/2))/(LN(2)/2)*CG121*CJ121*VLOOKUP('Données projet'!$B$12,Paramètres!$A$1:$I$89,3,0)*0.475*44/12</f>
        <v>7.0326759707902494E-13</v>
      </c>
      <c r="CN121" s="24">
        <f t="shared" si="66"/>
        <v>2.1542216292942609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-8.3355189417488869E-14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250.11765444522138</v>
      </c>
      <c r="CZ121" s="62">
        <f t="shared" si="96"/>
        <v>241.42920565698913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0.84872487667219132</v>
      </c>
      <c r="DH121" s="23">
        <f>EXP(-LN(2)/2)*DH120+(1-EXP(-LN(2)/2))/(LN(2)/2)*DB121*DE121*VLOOKUP('Données projet'!$B$13,Paramètres!$A$1:$I$89,3,0)*0.475*44/12</f>
        <v>2.8508115599997619E-12</v>
      </c>
      <c r="DI121" s="24">
        <f t="shared" si="69"/>
        <v>0.84872487667504215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419.0448820879102</v>
      </c>
      <c r="T122" s="62">
        <f t="shared" si="88"/>
        <v>553.33038335026379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2.5861613469020162</v>
      </c>
      <c r="AA122" s="23">
        <f>EXP(-LN(2)/25)*AA121+(1-EXP(-LN(2)/25))/(LN(2)/25)*Calculateur!V122*Calculateur!X122*VLOOKUP('Données projet'!$B$9,Paramètres!$A$1:$I$89,3,0)*0.475*44/12</f>
        <v>1.9905597955910772</v>
      </c>
      <c r="AB122" s="23">
        <f>EXP(-LN(2)/2)*AB121+(1-EXP(-LN(2)/2))/(LN(2)/2)*V122*Y122*VLOOKUP('Données projet'!$B$9,Paramètres!$A$1:$I$89,3,0)*0.475*44/12</f>
        <v>7.2048422852923867E-13</v>
      </c>
      <c r="AC122" s="24">
        <f t="shared" si="57"/>
        <v>4.5767211424938141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1.9895196601282805E-13</v>
      </c>
      <c r="AJ122" s="14">
        <f>AI122*VLOOKUP('Données projet'!$B$10,Paramètres!$A$1:$I$89,3,0)*VLOOKUP('Données projet'!$B$10,Paramètres!$A$1:$I$89,5,0)</f>
        <v>1.738044375088066E-13</v>
      </c>
      <c r="AK122" s="14">
        <f t="shared" si="89"/>
        <v>2.4483293633950478E-12</v>
      </c>
      <c r="AL122" s="22">
        <f t="shared" si="58"/>
        <v>4.566883036574213E-12</v>
      </c>
      <c r="AM122" s="62">
        <f t="shared" si="59"/>
        <v>281.90999129793369</v>
      </c>
      <c r="AN122" s="62">
        <f ca="1">AVERAGE(OFFSET($AM$3,0,0,'Données projet'!$E$10+1,1))-AVERAGE(OFFSET($H$3,0,0,'Données projet'!$E$10+1,1))</f>
        <v>341.62910675299065</v>
      </c>
      <c r="AO122" s="62">
        <f t="shared" si="90"/>
        <v>407.15938341104709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2.1690028594652553</v>
      </c>
      <c r="AW122" s="23">
        <f>EXP(-LN(2)/2)*AW121+(1-EXP(-LN(2)/2))/(LN(2)/2)*AQ122*AT122*VLOOKUP('Données projet'!$B$10,Paramètres!$A$1:$I$89,3,0)*0.475*44/12</f>
        <v>7.3421072862877417E-13</v>
      </c>
      <c r="AX122" s="23">
        <f t="shared" si="60"/>
        <v>2.1690028594659894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472.83070477639035</v>
      </c>
      <c r="BJ122" s="62">
        <f t="shared" si="92"/>
        <v>297.32483725004136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0.77414970605282296</v>
      </c>
      <c r="BR122" s="23">
        <f>EXP(-LN(2)/2)*BR121+(1-EXP(-LN(2)/2))/(LN(2)/2)*BL122*BO122*VLOOKUP('Données projet'!$B$11,Paramètres!$A$1:$I$89,3,0)*0.475*44/12</f>
        <v>5.9928895309042024E-13</v>
      </c>
      <c r="BS122" s="24">
        <f t="shared" si="63"/>
        <v>0.77414970605342226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-1.7053025658242404E-13</v>
      </c>
      <c r="BZ122" s="14">
        <f>BY122*VLOOKUP('Données projet'!$B$12,Paramètres!$A$1:$I$89,3,0)*VLOOKUP('Données projet'!$B$12,Paramètres!$A$1:$I$89,5,0)</f>
        <v>-9.3109520094003535E-14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262.64209686767367</v>
      </c>
      <c r="CE122" s="62">
        <f t="shared" si="94"/>
        <v>381.0342365342517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0.99765389071966526</v>
      </c>
      <c r="CL122" s="23">
        <f>EXP(-LN(2)/25)*CL121+(1-EXP(-LN(2)/25))/(LN(2)/25)*Calculateur!CG122*Calculateur!CI122*VLOOKUP('Données projet'!$B$12,Paramètres!$A$1:$I$89,3,0)*0.475*44/12</f>
        <v>1.1055323113501978</v>
      </c>
      <c r="CM122" s="23">
        <f>EXP(-LN(2)/2)*CM121+(1-EXP(-LN(2)/2))/(LN(2)/2)*CG122*CJ122*VLOOKUP('Données projet'!$B$12,Paramètres!$A$1:$I$89,3,0)*0.475*44/12</f>
        <v>4.9728528688334715E-13</v>
      </c>
      <c r="CN122" s="24">
        <f t="shared" si="66"/>
        <v>2.1031862020703604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-8.3355189417488869E-14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250.11765444522138</v>
      </c>
      <c r="CZ122" s="62">
        <f t="shared" si="96"/>
        <v>241.42920565698913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0.82551645028708875</v>
      </c>
      <c r="DH122" s="23">
        <f>EXP(-LN(2)/2)*DH121+(1-EXP(-LN(2)/2))/(LN(2)/2)*DB122*DE122*VLOOKUP('Données projet'!$B$13,Paramètres!$A$1:$I$89,3,0)*0.475*44/12</f>
        <v>2.0158281859608318E-12</v>
      </c>
      <c r="DI122" s="24">
        <f t="shared" si="69"/>
        <v>0.82551645028910459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419.0448820879102</v>
      </c>
      <c r="T123" s="62">
        <f t="shared" si="88"/>
        <v>553.33038335026379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2.5354483002919337</v>
      </c>
      <c r="AA123" s="23">
        <f>EXP(-LN(2)/25)*AA122+(1-EXP(-LN(2)/25))/(LN(2)/25)*Calculateur!V123*Calculateur!X123*VLOOKUP('Données projet'!$B$9,Paramètres!$A$1:$I$89,3,0)*0.475*44/12</f>
        <v>1.9361278333016489</v>
      </c>
      <c r="AB123" s="23">
        <f>EXP(-LN(2)/2)*AB122+(1-EXP(-LN(2)/2))/(LN(2)/2)*V123*Y123*VLOOKUP('Données projet'!$B$9,Paramètres!$A$1:$I$89,3,0)*0.475*44/12</f>
        <v>5.0945928373098287E-13</v>
      </c>
      <c r="AC123" s="24">
        <f t="shared" si="57"/>
        <v>4.4715761335940929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1.9895196601282805E-13</v>
      </c>
      <c r="AJ123" s="14">
        <f>AI123*VLOOKUP('Données projet'!$B$10,Paramètres!$A$1:$I$89,3,0)*VLOOKUP('Données projet'!$B$10,Paramètres!$A$1:$I$89,5,0)</f>
        <v>1.738044375088066E-13</v>
      </c>
      <c r="AK123" s="14">
        <f t="shared" si="89"/>
        <v>2.4483293633950478E-12</v>
      </c>
      <c r="AL123" s="22">
        <f t="shared" si="58"/>
        <v>4.566883036574213E-12</v>
      </c>
      <c r="AM123" s="62">
        <f t="shared" si="59"/>
        <v>282.10816074348116</v>
      </c>
      <c r="AN123" s="62">
        <f ca="1">AVERAGE(OFFSET($AM$3,0,0,'Données projet'!$E$10+1,1))-AVERAGE(OFFSET($H$3,0,0,'Données projet'!$E$10+1,1))</f>
        <v>341.62910675299065</v>
      </c>
      <c r="AO123" s="62">
        <f t="shared" si="90"/>
        <v>407.15938341104709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2.1096913622102749</v>
      </c>
      <c r="AW123" s="23">
        <f>EXP(-LN(2)/2)*AW122+(1-EXP(-LN(2)/2))/(LN(2)/2)*AQ123*AT123*VLOOKUP('Données projet'!$B$10,Paramètres!$A$1:$I$89,3,0)*0.475*44/12</f>
        <v>5.1916538503332223E-13</v>
      </c>
      <c r="AX123" s="23">
        <f t="shared" si="60"/>
        <v>2.109691362210794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472.83070477639035</v>
      </c>
      <c r="BJ123" s="62">
        <f t="shared" si="92"/>
        <v>297.32483725004136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0.7529805416300448</v>
      </c>
      <c r="BR123" s="23">
        <f>EXP(-LN(2)/2)*BR122+(1-EXP(-LN(2)/2))/(LN(2)/2)*BL123*BO123*VLOOKUP('Données projet'!$B$11,Paramètres!$A$1:$I$89,3,0)*0.475*44/12</f>
        <v>4.2376128262042293E-13</v>
      </c>
      <c r="BS123" s="24">
        <f t="shared" si="63"/>
        <v>0.75298054163046857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-1.7053025658242404E-13</v>
      </c>
      <c r="BZ123" s="14">
        <f>BY123*VLOOKUP('Données projet'!$B$12,Paramètres!$A$1:$I$89,3,0)*VLOOKUP('Données projet'!$B$12,Paramètres!$A$1:$I$89,5,0)</f>
        <v>-9.3109520094003535E-14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262.64209686767367</v>
      </c>
      <c r="CE123" s="62">
        <f t="shared" si="94"/>
        <v>381.0342365342517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0.97809050643144069</v>
      </c>
      <c r="CL123" s="23">
        <f>EXP(-LN(2)/25)*CL122+(1-EXP(-LN(2)/25))/(LN(2)/25)*Calculateur!CG123*Calculateur!CI123*VLOOKUP('Données projet'!$B$12,Paramètres!$A$1:$I$89,3,0)*0.475*44/12</f>
        <v>1.0753014721589091</v>
      </c>
      <c r="CM123" s="23">
        <f>EXP(-LN(2)/2)*CM122+(1-EXP(-LN(2)/2))/(LN(2)/2)*CG123*CJ123*VLOOKUP('Données projet'!$B$12,Paramètres!$A$1:$I$89,3,0)*0.475*44/12</f>
        <v>3.5163379853951247E-13</v>
      </c>
      <c r="CN123" s="24">
        <f t="shared" si="66"/>
        <v>2.0533919785907013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-8.3355189417488869E-14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250.11765444522138</v>
      </c>
      <c r="CZ123" s="62">
        <f t="shared" si="96"/>
        <v>241.42920565698913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0.80294265954196498</v>
      </c>
      <c r="DH123" s="23">
        <f>EXP(-LN(2)/2)*DH122+(1-EXP(-LN(2)/2))/(LN(2)/2)*DB123*DE123*VLOOKUP('Données projet'!$B$13,Paramètres!$A$1:$I$89,3,0)*0.475*44/12</f>
        <v>1.425405779999881E-12</v>
      </c>
      <c r="DI123" s="24">
        <f t="shared" si="69"/>
        <v>0.80294265954339039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419.0448820879102</v>
      </c>
      <c r="T124" s="62">
        <f t="shared" si="88"/>
        <v>553.33038335026379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2.4857297055939709</v>
      </c>
      <c r="AA124" s="23">
        <f>EXP(-LN(2)/25)*AA123+(1-EXP(-LN(2)/25))/(LN(2)/25)*Calculateur!V124*Calculateur!X124*VLOOKUP('Données projet'!$B$9,Paramètres!$A$1:$I$89,3,0)*0.475*44/12</f>
        <v>1.8831843158834778</v>
      </c>
      <c r="AB124" s="23">
        <f>EXP(-LN(2)/2)*AB123+(1-EXP(-LN(2)/2))/(LN(2)/2)*V124*Y124*VLOOKUP('Données projet'!$B$9,Paramètres!$A$1:$I$89,3,0)*0.475*44/12</f>
        <v>3.6024211426461934E-13</v>
      </c>
      <c r="AC124" s="24">
        <f t="shared" si="57"/>
        <v>4.3689140214778091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1.738044375088066E-13</v>
      </c>
      <c r="AK124" s="14">
        <f t="shared" si="89"/>
        <v>2.4483293633950478E-12</v>
      </c>
      <c r="AL124" s="22">
        <f t="shared" si="58"/>
        <v>4.566883036574213E-12</v>
      </c>
      <c r="AM124" s="62">
        <f t="shared" si="59"/>
        <v>282.30289239218894</v>
      </c>
      <c r="AN124" s="62">
        <f ca="1">AVERAGE(OFFSET($AM$3,0,0,'Données projet'!$E$10+1,1))-AVERAGE(OFFSET($H$3,0,0,'Données projet'!$E$10+1,1))</f>
        <v>341.62910675299065</v>
      </c>
      <c r="AO124" s="62">
        <f t="shared" si="90"/>
        <v>407.15938341104709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2.0520017409667881</v>
      </c>
      <c r="AW124" s="23">
        <f>EXP(-LN(2)/2)*AW123+(1-EXP(-LN(2)/2))/(LN(2)/2)*AQ124*AT124*VLOOKUP('Données projet'!$B$10,Paramètres!$A$1:$I$89,3,0)*0.475*44/12</f>
        <v>3.6710536431438709E-13</v>
      </c>
      <c r="AX124" s="23">
        <f t="shared" si="60"/>
        <v>2.0520017409671554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472.83070477639035</v>
      </c>
      <c r="BJ124" s="62">
        <f t="shared" si="92"/>
        <v>297.32483725004136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0.73239024912164552</v>
      </c>
      <c r="BR124" s="23">
        <f>EXP(-LN(2)/2)*BR123+(1-EXP(-LN(2)/2))/(LN(2)/2)*BL124*BO124*VLOOKUP('Données projet'!$B$11,Paramètres!$A$1:$I$89,3,0)*0.475*44/12</f>
        <v>2.9964447654521012E-13</v>
      </c>
      <c r="BS124" s="24">
        <f t="shared" si="63"/>
        <v>0.73239024912194517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-1.7053025658242404E-13</v>
      </c>
      <c r="BZ124" s="14">
        <f>BY124*VLOOKUP('Données projet'!$B$12,Paramètres!$A$1:$I$89,3,0)*VLOOKUP('Données projet'!$B$12,Paramètres!$A$1:$I$89,5,0)</f>
        <v>-9.3109520094003535E-14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262.64209686767367</v>
      </c>
      <c r="CE124" s="62">
        <f t="shared" si="94"/>
        <v>381.0342365342517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0.95891074817662203</v>
      </c>
      <c r="CL124" s="23">
        <f>EXP(-LN(2)/25)*CL123+(1-EXP(-LN(2)/25))/(LN(2)/25)*Calculateur!CG124*Calculateur!CI124*VLOOKUP('Données projet'!$B$12,Paramètres!$A$1:$I$89,3,0)*0.475*44/12</f>
        <v>1.045897296855077</v>
      </c>
      <c r="CM124" s="23">
        <f>EXP(-LN(2)/2)*CM123+(1-EXP(-LN(2)/2))/(LN(2)/2)*CG124*CJ124*VLOOKUP('Données projet'!$B$12,Paramètres!$A$1:$I$89,3,0)*0.475*44/12</f>
        <v>2.4864264344167358E-13</v>
      </c>
      <c r="CN124" s="24">
        <f t="shared" si="66"/>
        <v>2.0048080450319476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-8.3355189417488869E-14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250.11765444522138</v>
      </c>
      <c r="CZ124" s="62">
        <f t="shared" si="96"/>
        <v>241.42920565698913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0.78098615029187057</v>
      </c>
      <c r="DH124" s="23">
        <f>EXP(-LN(2)/2)*DH123+(1-EXP(-LN(2)/2))/(LN(2)/2)*DB124*DE124*VLOOKUP('Données projet'!$B$13,Paramètres!$A$1:$I$89,3,0)*0.475*44/12</f>
        <v>1.0079140929804159E-12</v>
      </c>
      <c r="DI124" s="24">
        <f t="shared" si="69"/>
        <v>0.78098615029287843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419.0448820879102</v>
      </c>
      <c r="T125" s="62">
        <f t="shared" si="88"/>
        <v>553.33038335026379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2.4369860622126867</v>
      </c>
      <c r="AA125" s="23">
        <f>EXP(-LN(2)/25)*AA124+(1-EXP(-LN(2)/25))/(LN(2)/25)*Calculateur!V125*Calculateur!X125*VLOOKUP('Données projet'!$B$9,Paramètres!$A$1:$I$89,3,0)*0.475*44/12</f>
        <v>1.8316885417332851</v>
      </c>
      <c r="AB125" s="23">
        <f>EXP(-LN(2)/2)*AB124+(1-EXP(-LN(2)/2))/(LN(2)/2)*V125*Y125*VLOOKUP('Données projet'!$B$9,Paramètres!$A$1:$I$89,3,0)*0.475*44/12</f>
        <v>2.5472964186549143E-13</v>
      </c>
      <c r="AC125" s="24">
        <f t="shared" si="57"/>
        <v>4.2686746039462262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1.738044375088066E-13</v>
      </c>
      <c r="AK125" s="14">
        <f t="shared" si="89"/>
        <v>2.4483293633950478E-12</v>
      </c>
      <c r="AL125" s="22">
        <f t="shared" si="58"/>
        <v>4.566883036574213E-12</v>
      </c>
      <c r="AM125" s="62">
        <f t="shared" si="59"/>
        <v>282.49424588214634</v>
      </c>
      <c r="AN125" s="62">
        <f ca="1">AVERAGE(OFFSET($AM$3,0,0,'Données projet'!$E$10+1,1))-AVERAGE(OFFSET($H$3,0,0,'Données projet'!$E$10+1,1))</f>
        <v>341.62910675299065</v>
      </c>
      <c r="AO125" s="62">
        <f t="shared" si="90"/>
        <v>407.15938341104709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1.9958896454499697</v>
      </c>
      <c r="AW125" s="23">
        <f>EXP(-LN(2)/2)*AW124+(1-EXP(-LN(2)/2))/(LN(2)/2)*AQ125*AT125*VLOOKUP('Données projet'!$B$10,Paramètres!$A$1:$I$89,3,0)*0.475*44/12</f>
        <v>2.5958269251666112E-13</v>
      </c>
      <c r="AX125" s="23">
        <f t="shared" si="60"/>
        <v>1.9958896454502293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472.83070477639035</v>
      </c>
      <c r="BJ125" s="62">
        <f t="shared" si="92"/>
        <v>297.32483725004136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0.71236299924468482</v>
      </c>
      <c r="BR125" s="23">
        <f>EXP(-LN(2)/2)*BR124+(1-EXP(-LN(2)/2))/(LN(2)/2)*BL125*BO125*VLOOKUP('Données projet'!$B$11,Paramètres!$A$1:$I$89,3,0)*0.475*44/12</f>
        <v>2.1188064131021147E-13</v>
      </c>
      <c r="BS125" s="24">
        <f t="shared" si="63"/>
        <v>0.71236299924489666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-1.7053025658242404E-13</v>
      </c>
      <c r="BZ125" s="14">
        <f>BY125*VLOOKUP('Données projet'!$B$12,Paramètres!$A$1:$I$89,3,0)*VLOOKUP('Données projet'!$B$12,Paramètres!$A$1:$I$89,5,0)</f>
        <v>-9.3109520094003535E-14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262.64209686767367</v>
      </c>
      <c r="CE125" s="62">
        <f t="shared" si="94"/>
        <v>381.0342365342517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0.94010709328268294</v>
      </c>
      <c r="CL125" s="23">
        <f>EXP(-LN(2)/25)*CL124+(1-EXP(-LN(2)/25))/(LN(2)/25)*Calculateur!CG125*Calculateur!CI125*VLOOKUP('Données projet'!$B$12,Paramètres!$A$1:$I$89,3,0)*0.475*44/12</f>
        <v>1.0172971802712265</v>
      </c>
      <c r="CM125" s="23">
        <f>EXP(-LN(2)/2)*CM124+(1-EXP(-LN(2)/2))/(LN(2)/2)*CG125*CJ125*VLOOKUP('Données projet'!$B$12,Paramètres!$A$1:$I$89,3,0)*0.475*44/12</f>
        <v>1.7581689926975624E-13</v>
      </c>
      <c r="CN125" s="24">
        <f t="shared" si="66"/>
        <v>1.9574042735540853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-8.3355189417488869E-14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250.11765444522138</v>
      </c>
      <c r="CZ125" s="62">
        <f t="shared" si="96"/>
        <v>241.42920565698913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0.75963004294186265</v>
      </c>
      <c r="DH125" s="23">
        <f>EXP(-LN(2)/2)*DH124+(1-EXP(-LN(2)/2))/(LN(2)/2)*DB125*DE125*VLOOKUP('Données projet'!$B$13,Paramètres!$A$1:$I$89,3,0)*0.475*44/12</f>
        <v>7.1270288999994048E-13</v>
      </c>
      <c r="DI125" s="24">
        <f t="shared" si="69"/>
        <v>0.7596300429425753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419.0448820879102</v>
      </c>
      <c r="T126" s="62">
        <f t="shared" si="88"/>
        <v>553.33038335026379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2.3891982519474224</v>
      </c>
      <c r="AA126" s="23">
        <f>EXP(-LN(2)/25)*AA125+(1-EXP(-LN(2)/25))/(LN(2)/25)*Calculateur!V126*Calculateur!X126*VLOOKUP('Données projet'!$B$9,Paramètres!$A$1:$I$89,3,0)*0.475*44/12</f>
        <v>1.7816009222352744</v>
      </c>
      <c r="AB126" s="23">
        <f>EXP(-LN(2)/2)*AB125+(1-EXP(-LN(2)/2))/(LN(2)/2)*V126*Y126*VLOOKUP('Données projet'!$B$9,Paramètres!$A$1:$I$89,3,0)*0.475*44/12</f>
        <v>1.8012105713230967E-13</v>
      </c>
      <c r="AC126" s="24">
        <f t="shared" si="57"/>
        <v>4.1707991741828776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1.738044375088066E-13</v>
      </c>
      <c r="AK126" s="14">
        <f t="shared" si="89"/>
        <v>2.4483293633950478E-12</v>
      </c>
      <c r="AL126" s="22">
        <f t="shared" si="58"/>
        <v>4.566883036574213E-12</v>
      </c>
      <c r="AM126" s="62">
        <f t="shared" si="59"/>
        <v>282.68227981685521</v>
      </c>
      <c r="AN126" s="62">
        <f ca="1">AVERAGE(OFFSET($AM$3,0,0,'Données projet'!$E$10+1,1))-AVERAGE(OFFSET($H$3,0,0,'Données projet'!$E$10+1,1))</f>
        <v>341.62910675299065</v>
      </c>
      <c r="AO126" s="62">
        <f t="shared" si="90"/>
        <v>407.15938341104709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1.9413119381358654</v>
      </c>
      <c r="AW126" s="23">
        <f>EXP(-LN(2)/2)*AW125+(1-EXP(-LN(2)/2))/(LN(2)/2)*AQ126*AT126*VLOOKUP('Données projet'!$B$10,Paramètres!$A$1:$I$89,3,0)*0.475*44/12</f>
        <v>1.8355268215719354E-13</v>
      </c>
      <c r="AX126" s="23">
        <f t="shared" si="60"/>
        <v>1.9413119381360491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472.83070477639035</v>
      </c>
      <c r="BJ126" s="62">
        <f t="shared" si="92"/>
        <v>297.32483725004136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0.69288339556879697</v>
      </c>
      <c r="BR126" s="23">
        <f>EXP(-LN(2)/2)*BR125+(1-EXP(-LN(2)/2))/(LN(2)/2)*BL126*BO126*VLOOKUP('Données projet'!$B$11,Paramètres!$A$1:$I$89,3,0)*0.475*44/12</f>
        <v>1.4982223827260506E-13</v>
      </c>
      <c r="BS126" s="24">
        <f t="shared" si="63"/>
        <v>0.69288339556894674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-1.7053025658242404E-13</v>
      </c>
      <c r="BZ126" s="14">
        <f>BY126*VLOOKUP('Données projet'!$B$12,Paramètres!$A$1:$I$89,3,0)*VLOOKUP('Données projet'!$B$12,Paramètres!$A$1:$I$89,5,0)</f>
        <v>-9.3109520094003535E-14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262.64209686767367</v>
      </c>
      <c r="CE126" s="62">
        <f t="shared" si="94"/>
        <v>381.0342365342517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0.92167216659211704</v>
      </c>
      <c r="CL126" s="23">
        <f>EXP(-LN(2)/25)*CL125+(1-EXP(-LN(2)/25))/(LN(2)/25)*Calculateur!CG126*Calculateur!CI126*VLOOKUP('Données projet'!$B$12,Paramètres!$A$1:$I$89,3,0)*0.475*44/12</f>
        <v>0.98947913537937615</v>
      </c>
      <c r="CM126" s="23">
        <f>EXP(-LN(2)/2)*CM125+(1-EXP(-LN(2)/2))/(LN(2)/2)*CG126*CJ126*VLOOKUP('Données projet'!$B$12,Paramètres!$A$1:$I$89,3,0)*0.475*44/12</f>
        <v>1.2432132172083679E-13</v>
      </c>
      <c r="CN126" s="24">
        <f t="shared" si="66"/>
        <v>1.9111513019716175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-8.3355189417488869E-14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250.11765444522138</v>
      </c>
      <c r="CZ126" s="62">
        <f t="shared" si="96"/>
        <v>241.42920565698913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0.73885791947040957</v>
      </c>
      <c r="DH126" s="23">
        <f>EXP(-LN(2)/2)*DH125+(1-EXP(-LN(2)/2))/(LN(2)/2)*DB126*DE126*VLOOKUP('Données projet'!$B$13,Paramètres!$A$1:$I$89,3,0)*0.475*44/12</f>
        <v>5.0395704649020796E-13</v>
      </c>
      <c r="DI126" s="24">
        <f t="shared" si="69"/>
        <v>0.7388579194709135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419.0448820879102</v>
      </c>
      <c r="T127" s="62">
        <f t="shared" si="88"/>
        <v>553.33038335026379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2.3423475314937741</v>
      </c>
      <c r="AA127" s="23">
        <f>EXP(-LN(2)/25)*AA126+(1-EXP(-LN(2)/25))/(LN(2)/25)*Calculateur!V127*Calculateur!X127*VLOOKUP('Données projet'!$B$9,Paramètres!$A$1:$I$89,3,0)*0.475*44/12</f>
        <v>1.7328829513264303</v>
      </c>
      <c r="AB127" s="23">
        <f>EXP(-LN(2)/2)*AB126+(1-EXP(-LN(2)/2))/(LN(2)/2)*V127*Y127*VLOOKUP('Données projet'!$B$9,Paramètres!$A$1:$I$89,3,0)*0.475*44/12</f>
        <v>1.2736482093274572E-13</v>
      </c>
      <c r="AC127" s="24">
        <f t="shared" si="57"/>
        <v>4.0752304828203316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1.738044375088066E-13</v>
      </c>
      <c r="AK127" s="14">
        <f t="shared" si="89"/>
        <v>2.4483293633950478E-12</v>
      </c>
      <c r="AL127" s="22">
        <f t="shared" si="58"/>
        <v>4.566883036574213E-12</v>
      </c>
      <c r="AM127" s="62">
        <f t="shared" si="59"/>
        <v>282.86705178317789</v>
      </c>
      <c r="AN127" s="62">
        <f ca="1">AVERAGE(OFFSET($AM$3,0,0,'Données projet'!$E$10+1,1))-AVERAGE(OFFSET($H$3,0,0,'Données projet'!$E$10+1,1))</f>
        <v>341.62910675299065</v>
      </c>
      <c r="AO127" s="62">
        <f t="shared" si="90"/>
        <v>407.15938341104709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1.8882266610983822</v>
      </c>
      <c r="AW127" s="23">
        <f>EXP(-LN(2)/2)*AW126+(1-EXP(-LN(2)/2))/(LN(2)/2)*AQ127*AT127*VLOOKUP('Données projet'!$B$10,Paramètres!$A$1:$I$89,3,0)*0.475*44/12</f>
        <v>1.2979134625833056E-13</v>
      </c>
      <c r="AX127" s="23">
        <f t="shared" si="60"/>
        <v>1.8882266610985121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472.83070477639035</v>
      </c>
      <c r="BJ127" s="62">
        <f t="shared" si="92"/>
        <v>297.32483725004136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0.673936462679814</v>
      </c>
      <c r="BR127" s="23">
        <f>EXP(-LN(2)/2)*BR126+(1-EXP(-LN(2)/2))/(LN(2)/2)*BL127*BO127*VLOOKUP('Données projet'!$B$11,Paramètres!$A$1:$I$89,3,0)*0.475*44/12</f>
        <v>1.0594032065510573E-13</v>
      </c>
      <c r="BS127" s="24">
        <f t="shared" si="63"/>
        <v>0.67393646267991991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-1.7053025658242404E-13</v>
      </c>
      <c r="BZ127" s="14">
        <f>BY127*VLOOKUP('Données projet'!$B$12,Paramètres!$A$1:$I$89,3,0)*VLOOKUP('Données projet'!$B$12,Paramètres!$A$1:$I$89,5,0)</f>
        <v>-9.3109520094003535E-14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262.64209686767367</v>
      </c>
      <c r="CE127" s="62">
        <f t="shared" si="94"/>
        <v>381.0342365342517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0.90359873756975806</v>
      </c>
      <c r="CL127" s="23">
        <f>EXP(-LN(2)/25)*CL126+(1-EXP(-LN(2)/25))/(LN(2)/25)*Calculateur!CG127*Calculateur!CI127*VLOOKUP('Données projet'!$B$12,Paramètres!$A$1:$I$89,3,0)*0.475*44/12</f>
        <v>0.96242177638798088</v>
      </c>
      <c r="CM127" s="23">
        <f>EXP(-LN(2)/2)*CM126+(1-EXP(-LN(2)/2))/(LN(2)/2)*CG127*CJ127*VLOOKUP('Données projet'!$B$12,Paramètres!$A$1:$I$89,3,0)*0.475*44/12</f>
        <v>8.7908449634878118E-14</v>
      </c>
      <c r="CN127" s="24">
        <f t="shared" si="66"/>
        <v>1.8660205139578268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-8.3355189417488869E-14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250.11765444522138</v>
      </c>
      <c r="CZ127" s="62">
        <f t="shared" si="96"/>
        <v>241.42920565698913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0.7186538108076419</v>
      </c>
      <c r="DH127" s="23">
        <f>EXP(-LN(2)/2)*DH126+(1-EXP(-LN(2)/2))/(LN(2)/2)*DB127*DE127*VLOOKUP('Données projet'!$B$13,Paramètres!$A$1:$I$89,3,0)*0.475*44/12</f>
        <v>3.5635144499997024E-13</v>
      </c>
      <c r="DI127" s="24">
        <f t="shared" si="69"/>
        <v>0.71865381080799828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419.0448820879102</v>
      </c>
      <c r="T128" s="62">
        <f t="shared" si="88"/>
        <v>553.33038335026379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2.2964155250921037</v>
      </c>
      <c r="AA128" s="23">
        <f>EXP(-LN(2)/25)*AA127+(1-EXP(-LN(2)/25))/(LN(2)/25)*Calculateur!V128*Calculateur!X128*VLOOKUP('Données projet'!$B$9,Paramètres!$A$1:$I$89,3,0)*0.475*44/12</f>
        <v>1.6854971758940553</v>
      </c>
      <c r="AB128" s="23">
        <f>EXP(-LN(2)/2)*AB127+(1-EXP(-LN(2)/2))/(LN(2)/2)*V128*Y128*VLOOKUP('Données projet'!$B$9,Paramètres!$A$1:$I$89,3,0)*0.475*44/12</f>
        <v>9.0060528566154834E-14</v>
      </c>
      <c r="AC128" s="24">
        <f t="shared" si="57"/>
        <v>3.9819127009862494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1.738044375088066E-13</v>
      </c>
      <c r="AK128" s="14">
        <f t="shared" si="89"/>
        <v>2.4483293633950478E-12</v>
      </c>
      <c r="AL128" s="22">
        <f t="shared" si="58"/>
        <v>4.566883036574213E-12</v>
      </c>
      <c r="AM128" s="62">
        <f t="shared" si="59"/>
        <v>283.04861836897305</v>
      </c>
      <c r="AN128" s="62">
        <f ca="1">AVERAGE(OFFSET($AM$3,0,0,'Données projet'!$E$10+1,1))-AVERAGE(OFFSET($H$3,0,0,'Données projet'!$E$10+1,1))</f>
        <v>341.62910675299065</v>
      </c>
      <c r="AO128" s="62">
        <f t="shared" si="90"/>
        <v>407.15938341104709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1.8365930037531224</v>
      </c>
      <c r="AW128" s="23">
        <f>EXP(-LN(2)/2)*AW127+(1-EXP(-LN(2)/2))/(LN(2)/2)*AQ128*AT128*VLOOKUP('Données projet'!$B$10,Paramètres!$A$1:$I$89,3,0)*0.475*44/12</f>
        <v>9.1776341078596772E-14</v>
      </c>
      <c r="AX128" s="23">
        <f t="shared" si="60"/>
        <v>1.8365930037532141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472.83070477639035</v>
      </c>
      <c r="BJ128" s="62">
        <f t="shared" si="92"/>
        <v>297.32483725004136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0.65550763466705619</v>
      </c>
      <c r="BR128" s="23">
        <f>EXP(-LN(2)/2)*BR127+(1-EXP(-LN(2)/2))/(LN(2)/2)*BL128*BO128*VLOOKUP('Données projet'!$B$11,Paramètres!$A$1:$I$89,3,0)*0.475*44/12</f>
        <v>7.491111913630253E-14</v>
      </c>
      <c r="BS128" s="24">
        <f t="shared" si="63"/>
        <v>0.65550763466713113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-1.7053025658242404E-13</v>
      </c>
      <c r="BZ128" s="14">
        <f>BY128*VLOOKUP('Données projet'!$B$12,Paramètres!$A$1:$I$89,3,0)*VLOOKUP('Données projet'!$B$12,Paramètres!$A$1:$I$89,5,0)</f>
        <v>-9.3109520094003535E-14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262.64209686767367</v>
      </c>
      <c r="CE128" s="62">
        <f t="shared" si="94"/>
        <v>381.0342365342517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0.88587971746682437</v>
      </c>
      <c r="CL128" s="23">
        <f>EXP(-LN(2)/25)*CL127+(1-EXP(-LN(2)/25))/(LN(2)/25)*Calculateur!CG128*Calculateur!CI128*VLOOKUP('Données projet'!$B$12,Paramètres!$A$1:$I$89,3,0)*0.475*44/12</f>
        <v>0.93610430230108999</v>
      </c>
      <c r="CM128" s="23">
        <f>EXP(-LN(2)/2)*CM127+(1-EXP(-LN(2)/2))/(LN(2)/2)*CG128*CJ128*VLOOKUP('Données projet'!$B$12,Paramètres!$A$1:$I$89,3,0)*0.475*44/12</f>
        <v>6.2160660860418394E-14</v>
      </c>
      <c r="CN128" s="24">
        <f t="shared" si="66"/>
        <v>1.8219840197679766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-8.3355189417488869E-14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250.11765444522138</v>
      </c>
      <c r="CZ128" s="62">
        <f t="shared" si="96"/>
        <v>241.42920565698913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0.69900218455874552</v>
      </c>
      <c r="DH128" s="23">
        <f>EXP(-LN(2)/2)*DH127+(1-EXP(-LN(2)/2))/(LN(2)/2)*DB128*DE128*VLOOKUP('Données projet'!$B$13,Paramètres!$A$1:$I$89,3,0)*0.475*44/12</f>
        <v>2.5197852324510398E-13</v>
      </c>
      <c r="DI128" s="24">
        <f t="shared" si="69"/>
        <v>0.69900218455899754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419.0448820879102</v>
      </c>
      <c r="T129" s="62">
        <f t="shared" si="88"/>
        <v>553.33038335026379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2.2513842173202128</v>
      </c>
      <c r="AA129" s="23">
        <f>EXP(-LN(2)/25)*AA128+(1-EXP(-LN(2)/25))/(LN(2)/25)*Calculateur!V129*Calculateur!X129*VLOOKUP('Données projet'!$B$9,Paramètres!$A$1:$I$89,3,0)*0.475*44/12</f>
        <v>1.6394071669827881</v>
      </c>
      <c r="AB129" s="23">
        <f>EXP(-LN(2)/2)*AB128+(1-EXP(-LN(2)/2))/(LN(2)/2)*V129*Y129*VLOOKUP('Données projet'!$B$9,Paramètres!$A$1:$I$89,3,0)*0.475*44/12</f>
        <v>6.3682410466372858E-14</v>
      </c>
      <c r="AC129" s="24">
        <f t="shared" si="57"/>
        <v>3.8907913843030646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1.738044375088066E-13</v>
      </c>
      <c r="AK129" s="14">
        <f t="shared" si="89"/>
        <v>2.4483293633950478E-12</v>
      </c>
      <c r="AL129" s="22">
        <f t="shared" si="58"/>
        <v>4.566883036574213E-12</v>
      </c>
      <c r="AM129" s="62">
        <f t="shared" si="59"/>
        <v>283.22703518042675</v>
      </c>
      <c r="AN129" s="62">
        <f ca="1">AVERAGE(OFFSET($AM$3,0,0,'Données projet'!$E$10+1,1))-AVERAGE(OFFSET($H$3,0,0,'Données projet'!$E$10+1,1))</f>
        <v>341.62910675299065</v>
      </c>
      <c r="AO129" s="62">
        <f t="shared" si="90"/>
        <v>407.15938341104709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1.7863712714832647</v>
      </c>
      <c r="AW129" s="23">
        <f>EXP(-LN(2)/2)*AW128+(1-EXP(-LN(2)/2))/(LN(2)/2)*AQ129*AT129*VLOOKUP('Données projet'!$B$10,Paramètres!$A$1:$I$89,3,0)*0.475*44/12</f>
        <v>6.4895673129165279E-14</v>
      </c>
      <c r="AX129" s="23">
        <f t="shared" si="60"/>
        <v>1.7863712714833295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472.83070477639035</v>
      </c>
      <c r="BJ129" s="62">
        <f t="shared" si="92"/>
        <v>297.32483725004136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0.63758274392543723</v>
      </c>
      <c r="BR129" s="23">
        <f>EXP(-LN(2)/2)*BR128+(1-EXP(-LN(2)/2))/(LN(2)/2)*BL129*BO129*VLOOKUP('Données projet'!$B$11,Paramètres!$A$1:$I$89,3,0)*0.475*44/12</f>
        <v>5.2970160327552867E-14</v>
      </c>
      <c r="BS129" s="24">
        <f t="shared" si="63"/>
        <v>0.63758274392549019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-1.7053025658242404E-13</v>
      </c>
      <c r="BZ129" s="14">
        <f>BY129*VLOOKUP('Données projet'!$B$12,Paramètres!$A$1:$I$89,3,0)*VLOOKUP('Données projet'!$B$12,Paramètres!$A$1:$I$89,5,0)</f>
        <v>-9.3109520094003535E-14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262.64209686767367</v>
      </c>
      <c r="CE129" s="62">
        <f t="shared" si="94"/>
        <v>381.0342365342517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0.86850815654057412</v>
      </c>
      <c r="CL129" s="23">
        <f>EXP(-LN(2)/25)*CL128+(1-EXP(-LN(2)/25))/(LN(2)/25)*Calculateur!CG129*Calculateur!CI129*VLOOKUP('Données projet'!$B$12,Paramètres!$A$1:$I$89,3,0)*0.475*44/12</f>
        <v>0.91050648092708086</v>
      </c>
      <c r="CM129" s="23">
        <f>EXP(-LN(2)/2)*CM128+(1-EXP(-LN(2)/2))/(LN(2)/2)*CG129*CJ129*VLOOKUP('Données projet'!$B$12,Paramètres!$A$1:$I$89,3,0)*0.475*44/12</f>
        <v>4.3954224817439059E-14</v>
      </c>
      <c r="CN129" s="24">
        <f t="shared" si="66"/>
        <v>1.7790146374676989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-8.3355189417488869E-14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250.11765444522138</v>
      </c>
      <c r="CZ129" s="62">
        <f t="shared" si="96"/>
        <v>241.42920565698913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0.67988793306305928</v>
      </c>
      <c r="DH129" s="23">
        <f>EXP(-LN(2)/2)*DH128+(1-EXP(-LN(2)/2))/(LN(2)/2)*DB129*DE129*VLOOKUP('Données projet'!$B$13,Paramètres!$A$1:$I$89,3,0)*0.475*44/12</f>
        <v>1.7817572249998512E-13</v>
      </c>
      <c r="DI129" s="24">
        <f t="shared" si="69"/>
        <v>0.67988793306323747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419.0448820879102</v>
      </c>
      <c r="T130" s="62">
        <f t="shared" si="88"/>
        <v>553.33038335026379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2.207235946027343</v>
      </c>
      <c r="AA130" s="23">
        <f>EXP(-LN(2)/25)*AA129+(1-EXP(-LN(2)/25))/(LN(2)/25)*Calculateur!V130*Calculateur!X130*VLOOKUP('Données projet'!$B$9,Paramètres!$A$1:$I$89,3,0)*0.475*44/12</f>
        <v>1.5945774917889677</v>
      </c>
      <c r="AB130" s="23">
        <f>EXP(-LN(2)/2)*AB129+(1-EXP(-LN(2)/2))/(LN(2)/2)*V130*Y130*VLOOKUP('Données projet'!$B$9,Paramètres!$A$1:$I$89,3,0)*0.475*44/12</f>
        <v>4.5030264283077417E-14</v>
      </c>
      <c r="AC130" s="24">
        <f t="shared" si="57"/>
        <v>3.8018134378163553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1.738044375088066E-13</v>
      </c>
      <c r="AK130" s="14">
        <f t="shared" si="89"/>
        <v>2.4483293633950478E-12</v>
      </c>
      <c r="AL130" s="22">
        <f t="shared" si="58"/>
        <v>4.566883036574213E-12</v>
      </c>
      <c r="AM130" s="62">
        <f t="shared" si="59"/>
        <v>283.40235685908198</v>
      </c>
      <c r="AN130" s="62">
        <f ca="1">AVERAGE(OFFSET($AM$3,0,0,'Données projet'!$E$10+1,1))-AVERAGE(OFFSET($H$3,0,0,'Données projet'!$E$10+1,1))</f>
        <v>341.62910675299065</v>
      </c>
      <c r="AO130" s="62">
        <f t="shared" si="90"/>
        <v>407.15938341104709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1.7375228551233723</v>
      </c>
      <c r="AW130" s="23">
        <f>EXP(-LN(2)/2)*AW129+(1-EXP(-LN(2)/2))/(LN(2)/2)*AQ130*AT130*VLOOKUP('Données projet'!$B$10,Paramètres!$A$1:$I$89,3,0)*0.475*44/12</f>
        <v>4.5888170539298386E-14</v>
      </c>
      <c r="AX130" s="23">
        <f t="shared" si="60"/>
        <v>1.7375228551234183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472.83070477639035</v>
      </c>
      <c r="BJ130" s="62">
        <f t="shared" si="92"/>
        <v>297.32483725004136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0.62014801026377686</v>
      </c>
      <c r="BR130" s="23">
        <f>EXP(-LN(2)/2)*BR129+(1-EXP(-LN(2)/2))/(LN(2)/2)*BL130*BO130*VLOOKUP('Données projet'!$B$11,Paramètres!$A$1:$I$89,3,0)*0.475*44/12</f>
        <v>3.7455559568151265E-14</v>
      </c>
      <c r="BS130" s="24">
        <f t="shared" si="63"/>
        <v>0.62014801026381428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-1.7053025658242404E-13</v>
      </c>
      <c r="BZ130" s="14">
        <f>BY130*VLOOKUP('Données projet'!$B$12,Paramètres!$A$1:$I$89,3,0)*VLOOKUP('Données projet'!$B$12,Paramètres!$A$1:$I$89,5,0)</f>
        <v>-9.3109520094003535E-14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262.64209686767367</v>
      </c>
      <c r="CE130" s="62">
        <f t="shared" si="94"/>
        <v>381.0342365342517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0.85147724132848168</v>
      </c>
      <c r="CL130" s="23">
        <f>EXP(-LN(2)/25)*CL129+(1-EXP(-LN(2)/25))/(LN(2)/25)*Calculateur!CG130*Calculateur!CI130*VLOOKUP('Données projet'!$B$12,Paramètres!$A$1:$I$89,3,0)*0.475*44/12</f>
        <v>0.88560863332467499</v>
      </c>
      <c r="CM130" s="23">
        <f>EXP(-LN(2)/2)*CM129+(1-EXP(-LN(2)/2))/(LN(2)/2)*CG130*CJ130*VLOOKUP('Données projet'!$B$12,Paramètres!$A$1:$I$89,3,0)*0.475*44/12</f>
        <v>3.1080330430209197E-14</v>
      </c>
      <c r="CN130" s="24">
        <f t="shared" si="66"/>
        <v>1.7370858746531876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-8.3355189417488869E-14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250.11765444522138</v>
      </c>
      <c r="CZ130" s="62">
        <f t="shared" si="96"/>
        <v>241.42920565698913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0.66129636177969742</v>
      </c>
      <c r="DH130" s="23">
        <f>EXP(-LN(2)/2)*DH129+(1-EXP(-LN(2)/2))/(LN(2)/2)*DB130*DE130*VLOOKUP('Données projet'!$B$13,Paramètres!$A$1:$I$89,3,0)*0.475*44/12</f>
        <v>1.2598926162255199E-13</v>
      </c>
      <c r="DI130" s="24">
        <f t="shared" si="69"/>
        <v>0.66129636177982343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419.0448820879102</v>
      </c>
      <c r="T131" s="62">
        <f t="shared" si="88"/>
        <v>553.33038335026379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2.1639533954067396</v>
      </c>
      <c r="AA131" s="23">
        <f>EXP(-LN(2)/25)*AA130+(1-EXP(-LN(2)/25))/(LN(2)/25)*Calculateur!V131*Calculateur!X131*VLOOKUP('Données projet'!$B$9,Paramètres!$A$1:$I$89,3,0)*0.475*44/12</f>
        <v>1.5509736864208126</v>
      </c>
      <c r="AB131" s="23">
        <f>EXP(-LN(2)/2)*AB130+(1-EXP(-LN(2)/2))/(LN(2)/2)*V131*Y131*VLOOKUP('Données projet'!$B$9,Paramètres!$A$1:$I$89,3,0)*0.475*44/12</f>
        <v>3.1841205233186429E-14</v>
      </c>
      <c r="AC131" s="24">
        <f t="shared" si="57"/>
        <v>3.7149270818275841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1.738044375088066E-13</v>
      </c>
      <c r="AK131" s="14">
        <f t="shared" si="89"/>
        <v>2.4483293633950478E-12</v>
      </c>
      <c r="AL131" s="22">
        <f t="shared" si="58"/>
        <v>4.566883036574213E-12</v>
      </c>
      <c r="AM131" s="62">
        <f t="shared" si="59"/>
        <v>283.57463709857308</v>
      </c>
      <c r="AN131" s="62">
        <f ca="1">AVERAGE(OFFSET($AM$3,0,0,'Données projet'!$E$10+1,1))-AVERAGE(OFFSET($H$3,0,0,'Données projet'!$E$10+1,1))</f>
        <v>341.62910675299065</v>
      </c>
      <c r="AO131" s="62">
        <f t="shared" si="90"/>
        <v>407.15938341104709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1.6900102012776679</v>
      </c>
      <c r="AW131" s="23">
        <f>EXP(-LN(2)/2)*AW130+(1-EXP(-LN(2)/2))/(LN(2)/2)*AQ131*AT131*VLOOKUP('Données projet'!$B$10,Paramètres!$A$1:$I$89,3,0)*0.475*44/12</f>
        <v>3.2447836564582639E-14</v>
      </c>
      <c r="AX131" s="23">
        <f t="shared" si="60"/>
        <v>1.6900102012777003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472.83070477639035</v>
      </c>
      <c r="BJ131" s="62">
        <f t="shared" si="92"/>
        <v>297.32483725004136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0.60319003031094742</v>
      </c>
      <c r="BR131" s="23">
        <f>EXP(-LN(2)/2)*BR130+(1-EXP(-LN(2)/2))/(LN(2)/2)*BL131*BO131*VLOOKUP('Données projet'!$B$11,Paramètres!$A$1:$I$89,3,0)*0.475*44/12</f>
        <v>2.6485080163776433E-14</v>
      </c>
      <c r="BS131" s="24">
        <f t="shared" si="63"/>
        <v>0.60319003031097396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-1.7053025658242404E-13</v>
      </c>
      <c r="BZ131" s="14">
        <f>BY131*VLOOKUP('Données projet'!$B$12,Paramètres!$A$1:$I$89,3,0)*VLOOKUP('Données projet'!$B$12,Paramètres!$A$1:$I$89,5,0)</f>
        <v>-9.3109520094003535E-14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262.64209686767367</v>
      </c>
      <c r="CE131" s="62">
        <f t="shared" si="94"/>
        <v>381.0342365342517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0.83478029197586578</v>
      </c>
      <c r="CL131" s="23">
        <f>EXP(-LN(2)/25)*CL130+(1-EXP(-LN(2)/25))/(LN(2)/25)*Calculateur!CG131*Calculateur!CI131*VLOOKUP('Données projet'!$B$12,Paramètres!$A$1:$I$89,3,0)*0.475*44/12</f>
        <v>0.86139161867427783</v>
      </c>
      <c r="CM131" s="23">
        <f>EXP(-LN(2)/2)*CM130+(1-EXP(-LN(2)/2))/(LN(2)/2)*CG131*CJ131*VLOOKUP('Données projet'!$B$12,Paramètres!$A$1:$I$89,3,0)*0.475*44/12</f>
        <v>2.1977112408719529E-14</v>
      </c>
      <c r="CN131" s="24">
        <f t="shared" si="66"/>
        <v>1.6961719106501656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-8.3355189417488869E-14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250.11765444522138</v>
      </c>
      <c r="CZ131" s="62">
        <f t="shared" si="96"/>
        <v>241.42920565698913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0.64321317799076738</v>
      </c>
      <c r="DH131" s="23">
        <f>EXP(-LN(2)/2)*DH130+(1-EXP(-LN(2)/2))/(LN(2)/2)*DB131*DE131*VLOOKUP('Données projet'!$B$13,Paramètres!$A$1:$I$89,3,0)*0.475*44/12</f>
        <v>8.908786124999256E-14</v>
      </c>
      <c r="DI131" s="24">
        <f t="shared" si="69"/>
        <v>0.64321317799085642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419.0448820879102</v>
      </c>
      <c r="T132" s="62">
        <f t="shared" si="88"/>
        <v>553.33038335026379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2.1215195892040573</v>
      </c>
      <c r="AA132" s="23">
        <f>EXP(-LN(2)/25)*AA131+(1-EXP(-LN(2)/25))/(LN(2)/25)*Calculateur!V132*Calculateur!X132*VLOOKUP('Données projet'!$B$9,Paramètres!$A$1:$I$89,3,0)*0.475*44/12</f>
        <v>1.5085622294034742</v>
      </c>
      <c r="AB132" s="23">
        <f>EXP(-LN(2)/2)*AB131+(1-EXP(-LN(2)/2))/(LN(2)/2)*V132*Y132*VLOOKUP('Données projet'!$B$9,Paramètres!$A$1:$I$89,3,0)*0.475*44/12</f>
        <v>2.2515132141538709E-14</v>
      </c>
      <c r="AC132" s="24">
        <f t="shared" ref="AC132:AC153" si="111">SUM(Z132:AB132)</f>
        <v>3.6300818186075543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1.738044375088066E-13</v>
      </c>
      <c r="AK132" s="14">
        <f t="shared" si="89"/>
        <v>2.4483293633950478E-12</v>
      </c>
      <c r="AL132" s="22">
        <f t="shared" ref="AL132:AL153" si="112">(AJ132+AK132)*0.475*44/12</f>
        <v>4.566883036574213E-12</v>
      </c>
      <c r="AM132" s="62">
        <f t="shared" ref="AM132:AM195" si="113">AL132+(AD132+AE132)*44/12</f>
        <v>283.7439286610699</v>
      </c>
      <c r="AN132" s="62">
        <f ca="1">AVERAGE(OFFSET($AM$3,0,0,'Données projet'!$E$10+1,1))-AVERAGE(OFFSET($H$3,0,0,'Données projet'!$E$10+1,1))</f>
        <v>341.62910675299065</v>
      </c>
      <c r="AO132" s="62">
        <f t="shared" si="90"/>
        <v>407.15938341104709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1.6437967834499561</v>
      </c>
      <c r="AW132" s="23">
        <f>EXP(-LN(2)/2)*AW131+(1-EXP(-LN(2)/2))/(LN(2)/2)*AQ132*AT132*VLOOKUP('Données projet'!$B$10,Paramètres!$A$1:$I$89,3,0)*0.475*44/12</f>
        <v>2.2944085269649193E-14</v>
      </c>
      <c r="AX132" s="23">
        <f t="shared" ref="AX132:AX153" si="114">SUM(AU132:AW132)</f>
        <v>1.6437967834499789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472.83070477639035</v>
      </c>
      <c r="BJ132" s="62">
        <f t="shared" si="92"/>
        <v>297.32483725004136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0.58669576721170946</v>
      </c>
      <c r="BR132" s="23">
        <f>EXP(-LN(2)/2)*BR131+(1-EXP(-LN(2)/2))/(LN(2)/2)*BL132*BO132*VLOOKUP('Données projet'!$B$11,Paramètres!$A$1:$I$89,3,0)*0.475*44/12</f>
        <v>1.8727779784075633E-14</v>
      </c>
      <c r="BS132" s="24">
        <f t="shared" ref="BS132:BS153" si="117">SUM(BP132:BR132)</f>
        <v>0.58669576721172823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-1.7053025658242404E-13</v>
      </c>
      <c r="BZ132" s="14">
        <f>BY132*VLOOKUP('Données projet'!$B$12,Paramètres!$A$1:$I$89,3,0)*VLOOKUP('Données projet'!$B$12,Paramètres!$A$1:$I$89,5,0)</f>
        <v>-9.3109520094003535E-14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262.64209686767367</v>
      </c>
      <c r="CE132" s="62">
        <f t="shared" si="94"/>
        <v>381.0342365342517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0.81841075961592125</v>
      </c>
      <c r="CL132" s="23">
        <f>EXP(-LN(2)/25)*CL131+(1-EXP(-LN(2)/25))/(LN(2)/25)*Calculateur!CG132*Calculateur!CI132*VLOOKUP('Données projet'!$B$12,Paramètres!$A$1:$I$89,3,0)*0.475*44/12</f>
        <v>0.83783681956301326</v>
      </c>
      <c r="CM132" s="23">
        <f>EXP(-LN(2)/2)*CM131+(1-EXP(-LN(2)/2))/(LN(2)/2)*CG132*CJ132*VLOOKUP('Données projet'!$B$12,Paramètres!$A$1:$I$89,3,0)*0.475*44/12</f>
        <v>1.5540165215104599E-14</v>
      </c>
      <c r="CN132" s="24">
        <f t="shared" ref="CN132:CN153" si="120">SUM(CK132:CM132)</f>
        <v>1.6562475791789502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-8.3355189417488869E-14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250.11765444522138</v>
      </c>
      <c r="CZ132" s="62">
        <f t="shared" si="96"/>
        <v>241.42920565698913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0.62562447981349889</v>
      </c>
      <c r="DH132" s="23">
        <f>EXP(-LN(2)/2)*DH131+(1-EXP(-LN(2)/2))/(LN(2)/2)*DB132*DE132*VLOOKUP('Données projet'!$B$13,Paramètres!$A$1:$I$89,3,0)*0.475*44/12</f>
        <v>6.2994630811275994E-14</v>
      </c>
      <c r="DI132" s="24">
        <f t="shared" ref="DI132:DI153" si="123">SUM(DF132:DH132)</f>
        <v>0.62562447981356184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419.0448820879102</v>
      </c>
      <c r="T133" s="62">
        <f t="shared" ref="T133:T196" si="142">$T$3</f>
        <v>553.33038335026379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2.0799178840589434</v>
      </c>
      <c r="AA133" s="23">
        <f>EXP(-LN(2)/25)*AA132+(1-EXP(-LN(2)/25))/(LN(2)/25)*Calculateur!V133*Calculateur!X133*VLOOKUP('Données projet'!$B$9,Paramètres!$A$1:$I$89,3,0)*0.475*44/12</f>
        <v>1.4673105159085964</v>
      </c>
      <c r="AB133" s="23">
        <f>EXP(-LN(2)/2)*AB132+(1-EXP(-LN(2)/2))/(LN(2)/2)*V133*Y133*VLOOKUP('Données projet'!$B$9,Paramètres!$A$1:$I$89,3,0)*0.475*44/12</f>
        <v>1.5920602616593215E-14</v>
      </c>
      <c r="AC133" s="24">
        <f t="shared" si="111"/>
        <v>3.5472283999675556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1.738044375088066E-13</v>
      </c>
      <c r="AK133" s="14">
        <f t="shared" ref="AK133:AK153" si="143">EXP(-1.0587+0.8836*LN(AJ133)+0.284)</f>
        <v>2.4483293633950478E-12</v>
      </c>
      <c r="AL133" s="22">
        <f t="shared" si="112"/>
        <v>4.566883036574213E-12</v>
      </c>
      <c r="AM133" s="62">
        <f t="shared" si="113"/>
        <v>283.91028339343666</v>
      </c>
      <c r="AN133" s="62">
        <f ca="1">AVERAGE(OFFSET($AM$3,0,0,'Données projet'!$E$10+1,1))-AVERAGE(OFFSET($H$3,0,0,'Données projet'!$E$10+1,1))</f>
        <v>341.62910675299065</v>
      </c>
      <c r="AO133" s="62">
        <f t="shared" ref="AO133:AO196" si="144">$AO$3</f>
        <v>407.15938341104709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1.5988470739630012</v>
      </c>
      <c r="AW133" s="23">
        <f>EXP(-LN(2)/2)*AW132+(1-EXP(-LN(2)/2))/(LN(2)/2)*AQ133*AT133*VLOOKUP('Données projet'!$B$10,Paramètres!$A$1:$I$89,3,0)*0.475*44/12</f>
        <v>1.622391828229132E-14</v>
      </c>
      <c r="AX133" s="23">
        <f t="shared" si="114"/>
        <v>1.5988470739630174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472.83070477639035</v>
      </c>
      <c r="BJ133" s="62">
        <f t="shared" ref="BJ133:BJ196" si="146">$BJ$3</f>
        <v>297.32483725004136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0.57065254060431581</v>
      </c>
      <c r="BR133" s="23">
        <f>EXP(-LN(2)/2)*BR132+(1-EXP(-LN(2)/2))/(LN(2)/2)*BL133*BO133*VLOOKUP('Données projet'!$B$11,Paramètres!$A$1:$I$89,3,0)*0.475*44/12</f>
        <v>1.3242540081888217E-14</v>
      </c>
      <c r="BS133" s="24">
        <f t="shared" si="117"/>
        <v>0.57065254060432902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-1.7053025658242404E-13</v>
      </c>
      <c r="BZ133" s="14">
        <f>BY133*VLOOKUP('Données projet'!$B$12,Paramètres!$A$1:$I$89,3,0)*VLOOKUP('Données projet'!$B$12,Paramètres!$A$1:$I$89,5,0)</f>
        <v>-9.3109520094003535E-14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262.64209686767367</v>
      </c>
      <c r="CE133" s="62">
        <f t="shared" ref="CE133:CE196" si="148">$CE$3</f>
        <v>381.0342365342517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0.80236222380112632</v>
      </c>
      <c r="CL133" s="23">
        <f>EXP(-LN(2)/25)*CL132+(1-EXP(-LN(2)/25))/(LN(2)/25)*Calculateur!CG133*Calculateur!CI133*VLOOKUP('Données projet'!$B$12,Paramètres!$A$1:$I$89,3,0)*0.475*44/12</f>
        <v>0.81492612767213923</v>
      </c>
      <c r="CM133" s="23">
        <f>EXP(-LN(2)/2)*CM132+(1-EXP(-LN(2)/2))/(LN(2)/2)*CG133*CJ133*VLOOKUP('Données projet'!$B$12,Paramètres!$A$1:$I$89,3,0)*0.475*44/12</f>
        <v>1.0988556204359765E-14</v>
      </c>
      <c r="CN133" s="24">
        <f t="shared" si="120"/>
        <v>1.6172883514732763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-8.3355189417488869E-14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250.11765444522138</v>
      </c>
      <c r="CZ133" s="62">
        <f t="shared" ref="CZ133:CZ196" si="150">$CZ$3</f>
        <v>241.42920565698913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0.6085167455128373</v>
      </c>
      <c r="DH133" s="23">
        <f>EXP(-LN(2)/2)*DH132+(1-EXP(-LN(2)/2))/(LN(2)/2)*DB133*DE133*VLOOKUP('Données projet'!$B$13,Paramètres!$A$1:$I$89,3,0)*0.475*44/12</f>
        <v>4.454393062499628E-14</v>
      </c>
      <c r="DI133" s="24">
        <f t="shared" si="123"/>
        <v>0.60851674551288182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419.0448820879102</v>
      </c>
      <c r="T134" s="62">
        <f t="shared" si="142"/>
        <v>553.33038335026379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2.0391319629771907</v>
      </c>
      <c r="AA134" s="23">
        <f>EXP(-LN(2)/25)*AA133+(1-EXP(-LN(2)/25))/(LN(2)/25)*Calculateur!V134*Calculateur!X134*VLOOKUP('Données projet'!$B$9,Paramètres!$A$1:$I$89,3,0)*0.475*44/12</f>
        <v>1.4271868326885695</v>
      </c>
      <c r="AB134" s="23">
        <f>EXP(-LN(2)/2)*AB133+(1-EXP(-LN(2)/2))/(LN(2)/2)*V134*Y134*VLOOKUP('Données projet'!$B$9,Paramètres!$A$1:$I$89,3,0)*0.475*44/12</f>
        <v>1.1257566070769354E-14</v>
      </c>
      <c r="AC134" s="24">
        <f t="shared" si="111"/>
        <v>3.4663187956657713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1.738044375088066E-13</v>
      </c>
      <c r="AK134" s="14">
        <f t="shared" si="143"/>
        <v>2.4483293633950478E-12</v>
      </c>
      <c r="AL134" s="22">
        <f t="shared" si="112"/>
        <v>4.566883036574213E-12</v>
      </c>
      <c r="AM134" s="62">
        <f t="shared" si="113"/>
        <v>284.07375224311028</v>
      </c>
      <c r="AN134" s="62">
        <f ca="1">AVERAGE(OFFSET($AM$3,0,0,'Données projet'!$E$10+1,1))-AVERAGE(OFFSET($H$3,0,0,'Données projet'!$E$10+1,1))</f>
        <v>341.62910675299065</v>
      </c>
      <c r="AO134" s="62">
        <f t="shared" si="144"/>
        <v>407.15938341104709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1.5551265166457695</v>
      </c>
      <c r="AW134" s="23">
        <f>EXP(-LN(2)/2)*AW133+(1-EXP(-LN(2)/2))/(LN(2)/2)*AQ134*AT134*VLOOKUP('Données projet'!$B$10,Paramètres!$A$1:$I$89,3,0)*0.475*44/12</f>
        <v>1.1472042634824596E-14</v>
      </c>
      <c r="AX134" s="23">
        <f t="shared" si="114"/>
        <v>1.5551265166457811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472.83070477639035</v>
      </c>
      <c r="BJ134" s="62">
        <f t="shared" si="146"/>
        <v>297.32483725004136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0.55504801687217797</v>
      </c>
      <c r="BR134" s="23">
        <f>EXP(-LN(2)/2)*BR133+(1-EXP(-LN(2)/2))/(LN(2)/2)*BL134*BO134*VLOOKUP('Données projet'!$B$11,Paramètres!$A$1:$I$89,3,0)*0.475*44/12</f>
        <v>9.3638898920378163E-15</v>
      </c>
      <c r="BS134" s="24">
        <f t="shared" si="117"/>
        <v>0.5550480168721873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-1.7053025658242404E-13</v>
      </c>
      <c r="BZ134" s="14">
        <f>BY134*VLOOKUP('Données projet'!$B$12,Paramètres!$A$1:$I$89,3,0)*VLOOKUP('Données projet'!$B$12,Paramètres!$A$1:$I$89,5,0)</f>
        <v>-9.3109520094003535E-14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262.64209686767367</v>
      </c>
      <c r="CE134" s="62">
        <f t="shared" si="148"/>
        <v>381.0342365342517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0.78662838998501927</v>
      </c>
      <c r="CL134" s="23">
        <f>EXP(-LN(2)/25)*CL133+(1-EXP(-LN(2)/25))/(LN(2)/25)*Calculateur!CG134*Calculateur!CI134*VLOOKUP('Données projet'!$B$12,Paramètres!$A$1:$I$89,3,0)*0.475*44/12</f>
        <v>0.79264192985584203</v>
      </c>
      <c r="CM134" s="23">
        <f>EXP(-LN(2)/2)*CM133+(1-EXP(-LN(2)/2))/(LN(2)/2)*CG134*CJ134*VLOOKUP('Données projet'!$B$12,Paramètres!$A$1:$I$89,3,0)*0.475*44/12</f>
        <v>7.7700826075522993E-15</v>
      </c>
      <c r="CN134" s="24">
        <f t="shared" si="120"/>
        <v>1.5792703198408691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-8.3355189417488869E-14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250.11765444522138</v>
      </c>
      <c r="CZ134" s="62">
        <f t="shared" si="150"/>
        <v>241.42920565698913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0.59187682310628387</v>
      </c>
      <c r="DH134" s="23">
        <f>EXP(-LN(2)/2)*DH133+(1-EXP(-LN(2)/2))/(LN(2)/2)*DB134*DE134*VLOOKUP('Données projet'!$B$13,Paramètres!$A$1:$I$89,3,0)*0.475*44/12</f>
        <v>3.1497315405637997E-14</v>
      </c>
      <c r="DI134" s="24">
        <f t="shared" si="123"/>
        <v>0.5918768231063154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419.0448820879102</v>
      </c>
      <c r="T135" s="62">
        <f t="shared" si="142"/>
        <v>553.33038335026379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1.9991458289308954</v>
      </c>
      <c r="AA135" s="23">
        <f>EXP(-LN(2)/25)*AA134+(1-EXP(-LN(2)/25))/(LN(2)/25)*Calculateur!V135*Calculateur!X135*VLOOKUP('Données projet'!$B$9,Paramètres!$A$1:$I$89,3,0)*0.475*44/12</f>
        <v>1.3881603336962069</v>
      </c>
      <c r="AB135" s="23">
        <f>EXP(-LN(2)/2)*AB134+(1-EXP(-LN(2)/2))/(LN(2)/2)*V135*Y135*VLOOKUP('Données projet'!$B$9,Paramètres!$A$1:$I$89,3,0)*0.475*44/12</f>
        <v>7.9603013082966073E-15</v>
      </c>
      <c r="AC135" s="24">
        <f t="shared" si="111"/>
        <v>3.3873061626271106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1.738044375088066E-13</v>
      </c>
      <c r="AK135" s="14">
        <f t="shared" si="143"/>
        <v>2.4483293633950478E-12</v>
      </c>
      <c r="AL135" s="22">
        <f t="shared" si="112"/>
        <v>4.566883036574213E-12</v>
      </c>
      <c r="AM135" s="62">
        <f t="shared" si="113"/>
        <v>284.23438527370371</v>
      </c>
      <c r="AN135" s="62">
        <f ca="1">AVERAGE(OFFSET($AM$3,0,0,'Données projet'!$E$10+1,1))-AVERAGE(OFFSET($H$3,0,0,'Données projet'!$E$10+1,1))</f>
        <v>341.62910675299065</v>
      </c>
      <c r="AO135" s="62">
        <f t="shared" si="144"/>
        <v>407.15938341104709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1.5126015002675417</v>
      </c>
      <c r="AW135" s="23">
        <f>EXP(-LN(2)/2)*AW134+(1-EXP(-LN(2)/2))/(LN(2)/2)*AQ135*AT135*VLOOKUP('Données projet'!$B$10,Paramètres!$A$1:$I$89,3,0)*0.475*44/12</f>
        <v>8.1119591411456599E-15</v>
      </c>
      <c r="AX135" s="23">
        <f t="shared" si="114"/>
        <v>1.5126015002675499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472.83070477639035</v>
      </c>
      <c r="BJ135" s="62">
        <f t="shared" si="146"/>
        <v>297.32483725004136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0.53987019966210159</v>
      </c>
      <c r="BR135" s="23">
        <f>EXP(-LN(2)/2)*BR134+(1-EXP(-LN(2)/2))/(LN(2)/2)*BL135*BO135*VLOOKUP('Données projet'!$B$11,Paramètres!$A$1:$I$89,3,0)*0.475*44/12</f>
        <v>6.6212700409441083E-15</v>
      </c>
      <c r="BS135" s="24">
        <f t="shared" si="117"/>
        <v>0.53987019966210825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-1.7053025658242404E-13</v>
      </c>
      <c r="BZ135" s="14">
        <f>BY135*VLOOKUP('Données projet'!$B$12,Paramètres!$A$1:$I$89,3,0)*VLOOKUP('Données projet'!$B$12,Paramètres!$A$1:$I$89,5,0)</f>
        <v>-9.3109520094003535E-14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262.64209686767367</v>
      </c>
      <c r="CE135" s="62">
        <f t="shared" si="148"/>
        <v>381.0342365342517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0.77120308705335505</v>
      </c>
      <c r="CL135" s="23">
        <f>EXP(-LN(2)/25)*CL134+(1-EXP(-LN(2)/25))/(LN(2)/25)*Calculateur!CG135*Calculateur!CI135*VLOOKUP('Données projet'!$B$12,Paramètres!$A$1:$I$89,3,0)*0.475*44/12</f>
        <v>0.77096709460070656</v>
      </c>
      <c r="CM135" s="23">
        <f>EXP(-LN(2)/2)*CM134+(1-EXP(-LN(2)/2))/(LN(2)/2)*CG135*CJ135*VLOOKUP('Données projet'!$B$12,Paramètres!$A$1:$I$89,3,0)*0.475*44/12</f>
        <v>5.4942781021798824E-15</v>
      </c>
      <c r="CN135" s="24">
        <f t="shared" si="120"/>
        <v>1.5421701816540672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-8.3355189417488869E-14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250.11765444522138</v>
      </c>
      <c r="CZ135" s="62">
        <f t="shared" si="150"/>
        <v>241.42920565698913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0.57569192025299321</v>
      </c>
      <c r="DH135" s="23">
        <f>EXP(-LN(2)/2)*DH134+(1-EXP(-LN(2)/2))/(LN(2)/2)*DB135*DE135*VLOOKUP('Données projet'!$B$13,Paramètres!$A$1:$I$89,3,0)*0.475*44/12</f>
        <v>2.227196531249814E-14</v>
      </c>
      <c r="DI135" s="24">
        <f t="shared" si="123"/>
        <v>0.57569192025301552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419.0448820879102</v>
      </c>
      <c r="T136" s="62">
        <f t="shared" si="142"/>
        <v>553.33038335026379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1.9599437985841146</v>
      </c>
      <c r="AA136" s="23">
        <f>EXP(-LN(2)/25)*AA135+(1-EXP(-LN(2)/25))/(LN(2)/25)*Calculateur!V136*Calculateur!X136*VLOOKUP('Données projet'!$B$9,Paramètres!$A$1:$I$89,3,0)*0.475*44/12</f>
        <v>1.3502010163711049</v>
      </c>
      <c r="AB136" s="23">
        <f>EXP(-LN(2)/2)*AB135+(1-EXP(-LN(2)/2))/(LN(2)/2)*V136*Y136*VLOOKUP('Données projet'!$B$9,Paramètres!$A$1:$I$89,3,0)*0.475*44/12</f>
        <v>5.6287830353846771E-15</v>
      </c>
      <c r="AC136" s="24">
        <f t="shared" si="111"/>
        <v>3.3101448149552253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1.738044375088066E-13</v>
      </c>
      <c r="AK136" s="14">
        <f t="shared" si="143"/>
        <v>2.4483293633950478E-12</v>
      </c>
      <c r="AL136" s="22">
        <f t="shared" si="112"/>
        <v>4.566883036574213E-12</v>
      </c>
      <c r="AM136" s="62">
        <f t="shared" si="113"/>
        <v>284.39223168033794</v>
      </c>
      <c r="AN136" s="62">
        <f ca="1">AVERAGE(OFFSET($AM$3,0,0,'Données projet'!$E$10+1,1))-AVERAGE(OFFSET($H$3,0,0,'Données projet'!$E$10+1,1))</f>
        <v>341.62910675299065</v>
      </c>
      <c r="AO136" s="62">
        <f t="shared" si="144"/>
        <v>407.15938341104709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1.4712393326984701</v>
      </c>
      <c r="AW136" s="23">
        <f>EXP(-LN(2)/2)*AW135+(1-EXP(-LN(2)/2))/(LN(2)/2)*AQ136*AT136*VLOOKUP('Données projet'!$B$10,Paramètres!$A$1:$I$89,3,0)*0.475*44/12</f>
        <v>5.7360213174122982E-15</v>
      </c>
      <c r="AX136" s="23">
        <f t="shared" si="114"/>
        <v>1.4712393326984758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472.83070477639035</v>
      </c>
      <c r="BJ136" s="62">
        <f t="shared" si="146"/>
        <v>297.32483725004136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0.52510742066180149</v>
      </c>
      <c r="BR136" s="23">
        <f>EXP(-LN(2)/2)*BR135+(1-EXP(-LN(2)/2))/(LN(2)/2)*BL136*BO136*VLOOKUP('Données projet'!$B$11,Paramètres!$A$1:$I$89,3,0)*0.475*44/12</f>
        <v>4.6819449460189081E-15</v>
      </c>
      <c r="BS136" s="24">
        <f t="shared" si="117"/>
        <v>0.52510742066180616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-1.7053025658242404E-13</v>
      </c>
      <c r="BZ136" s="14">
        <f>BY136*VLOOKUP('Données projet'!$B$12,Paramètres!$A$1:$I$89,3,0)*VLOOKUP('Données projet'!$B$12,Paramètres!$A$1:$I$89,5,0)</f>
        <v>-9.3109520094003535E-14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262.64209686767367</v>
      </c>
      <c r="CE136" s="62">
        <f t="shared" si="148"/>
        <v>381.0342365342517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0.75608026490367497</v>
      </c>
      <c r="CL136" s="23">
        <f>EXP(-LN(2)/25)*CL135+(1-EXP(-LN(2)/25))/(LN(2)/25)*Calculateur!CG136*Calculateur!CI136*VLOOKUP('Données projet'!$B$12,Paramètres!$A$1:$I$89,3,0)*0.475*44/12</f>
        <v>0.74988495885545281</v>
      </c>
      <c r="CM136" s="23">
        <f>EXP(-LN(2)/2)*CM135+(1-EXP(-LN(2)/2))/(LN(2)/2)*CG136*CJ136*VLOOKUP('Données projet'!$B$12,Paramètres!$A$1:$I$89,3,0)*0.475*44/12</f>
        <v>3.8850413037761496E-15</v>
      </c>
      <c r="CN136" s="24">
        <f t="shared" si="120"/>
        <v>1.5059652237591317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-8.3355189417488869E-14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250.11765444522138</v>
      </c>
      <c r="CZ136" s="62">
        <f t="shared" si="150"/>
        <v>241.42920565698913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0.55994959441935277</v>
      </c>
      <c r="DH136" s="23">
        <f>EXP(-LN(2)/2)*DH135+(1-EXP(-LN(2)/2))/(LN(2)/2)*DB136*DE136*VLOOKUP('Données projet'!$B$13,Paramètres!$A$1:$I$89,3,0)*0.475*44/12</f>
        <v>1.5748657702818999E-14</v>
      </c>
      <c r="DI136" s="24">
        <f t="shared" si="123"/>
        <v>0.55994959441936853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419.0448820879102</v>
      </c>
      <c r="T137" s="62">
        <f t="shared" si="142"/>
        <v>553.33038335026379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1.9215104961415566</v>
      </c>
      <c r="AA137" s="23">
        <f>EXP(-LN(2)/25)*AA136+(1-EXP(-LN(2)/25))/(LN(2)/25)*Calculateur!V137*Calculateur!X137*VLOOKUP('Données projet'!$B$9,Paramètres!$A$1:$I$89,3,0)*0.475*44/12</f>
        <v>1.3132796985744515</v>
      </c>
      <c r="AB137" s="23">
        <f>EXP(-LN(2)/2)*AB136+(1-EXP(-LN(2)/2))/(LN(2)/2)*V137*Y137*VLOOKUP('Données projet'!$B$9,Paramètres!$A$1:$I$89,3,0)*0.475*44/12</f>
        <v>3.9801506541483036E-15</v>
      </c>
      <c r="AC137" s="24">
        <f t="shared" si="111"/>
        <v>3.234790194716012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1.738044375088066E-13</v>
      </c>
      <c r="AK137" s="14">
        <f t="shared" si="143"/>
        <v>2.4483293633950478E-12</v>
      </c>
      <c r="AL137" s="22">
        <f t="shared" si="112"/>
        <v>4.566883036574213E-12</v>
      </c>
      <c r="AM137" s="62">
        <f t="shared" si="113"/>
        <v>284.54733980470883</v>
      </c>
      <c r="AN137" s="62">
        <f ca="1">AVERAGE(OFFSET($AM$3,0,0,'Données projet'!$E$10+1,1))-AVERAGE(OFFSET($H$3,0,0,'Données projet'!$E$10+1,1))</f>
        <v>341.62910675299065</v>
      </c>
      <c r="AO137" s="62">
        <f t="shared" si="144"/>
        <v>407.15938341104709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1.4310082157767166</v>
      </c>
      <c r="AW137" s="23">
        <f>EXP(-LN(2)/2)*AW136+(1-EXP(-LN(2)/2))/(LN(2)/2)*AQ137*AT137*VLOOKUP('Données projet'!$B$10,Paramètres!$A$1:$I$89,3,0)*0.475*44/12</f>
        <v>4.0559795705728299E-15</v>
      </c>
      <c r="AX137" s="23">
        <f t="shared" si="114"/>
        <v>1.4310082157767205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472.83070477639035</v>
      </c>
      <c r="BJ137" s="62">
        <f t="shared" si="146"/>
        <v>297.32483725004136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0.51074833062960545</v>
      </c>
      <c r="BR137" s="23">
        <f>EXP(-LN(2)/2)*BR136+(1-EXP(-LN(2)/2))/(LN(2)/2)*BL137*BO137*VLOOKUP('Données projet'!$B$11,Paramètres!$A$1:$I$89,3,0)*0.475*44/12</f>
        <v>3.3106350204720542E-15</v>
      </c>
      <c r="BS137" s="24">
        <f t="shared" si="117"/>
        <v>0.51074833062960878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-1.7053025658242404E-13</v>
      </c>
      <c r="BZ137" s="14">
        <f>BY137*VLOOKUP('Données projet'!$B$12,Paramètres!$A$1:$I$89,3,0)*VLOOKUP('Données projet'!$B$12,Paramètres!$A$1:$I$89,5,0)</f>
        <v>-9.3109520094003535E-14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262.64209686767367</v>
      </c>
      <c r="CE137" s="62">
        <f t="shared" si="148"/>
        <v>381.0342365342517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0.74125399207233944</v>
      </c>
      <c r="CL137" s="23">
        <f>EXP(-LN(2)/25)*CL136+(1-EXP(-LN(2)/25))/(LN(2)/25)*Calculateur!CG137*Calculateur!CI137*VLOOKUP('Données projet'!$B$12,Paramètres!$A$1:$I$89,3,0)*0.475*44/12</f>
        <v>0.72937931522081434</v>
      </c>
      <c r="CM137" s="23">
        <f>EXP(-LN(2)/2)*CM136+(1-EXP(-LN(2)/2))/(LN(2)/2)*CG137*CJ137*VLOOKUP('Données projet'!$B$12,Paramètres!$A$1:$I$89,3,0)*0.475*44/12</f>
        <v>2.7471390510899412E-15</v>
      </c>
      <c r="CN137" s="24">
        <f t="shared" si="120"/>
        <v>1.4706333072931566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-8.3355189417488869E-14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250.11765444522138</v>
      </c>
      <c r="CZ137" s="62">
        <f t="shared" si="150"/>
        <v>241.42920565698913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0.54463774331348613</v>
      </c>
      <c r="DH137" s="23">
        <f>EXP(-LN(2)/2)*DH136+(1-EXP(-LN(2)/2))/(LN(2)/2)*DB137*DE137*VLOOKUP('Données projet'!$B$13,Paramètres!$A$1:$I$89,3,0)*0.475*44/12</f>
        <v>1.113598265624907E-14</v>
      </c>
      <c r="DI137" s="24">
        <f t="shared" si="123"/>
        <v>0.54463774331349724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419.0448820879102</v>
      </c>
      <c r="T138" s="62">
        <f t="shared" si="142"/>
        <v>553.33038335026379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1.8838308473178973</v>
      </c>
      <c r="AA138" s="23">
        <f>EXP(-LN(2)/25)*AA137+(1-EXP(-LN(2)/25))/(LN(2)/25)*Calculateur!V138*Calculateur!X138*VLOOKUP('Données projet'!$B$9,Paramètres!$A$1:$I$89,3,0)*0.475*44/12</f>
        <v>1.2773679961545552</v>
      </c>
      <c r="AB138" s="23">
        <f>EXP(-LN(2)/2)*AB137+(1-EXP(-LN(2)/2))/(LN(2)/2)*V138*Y138*VLOOKUP('Données projet'!$B$9,Paramètres!$A$1:$I$89,3,0)*0.475*44/12</f>
        <v>2.8143915176923386E-15</v>
      </c>
      <c r="AC138" s="24">
        <f t="shared" si="111"/>
        <v>3.1611988434724552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1.738044375088066E-13</v>
      </c>
      <c r="AK138" s="14">
        <f t="shared" si="143"/>
        <v>2.4483293633950478E-12</v>
      </c>
      <c r="AL138" s="22">
        <f t="shared" si="112"/>
        <v>4.566883036574213E-12</v>
      </c>
      <c r="AM138" s="62">
        <f t="shared" si="113"/>
        <v>284.6997571498917</v>
      </c>
      <c r="AN138" s="62">
        <f ca="1">AVERAGE(OFFSET($AM$3,0,0,'Données projet'!$E$10+1,1))-AVERAGE(OFFSET($H$3,0,0,'Données projet'!$E$10+1,1))</f>
        <v>341.62910675299065</v>
      </c>
      <c r="AO138" s="62">
        <f t="shared" si="144"/>
        <v>407.15938341104709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1.3918772208628507</v>
      </c>
      <c r="AW138" s="23">
        <f>EXP(-LN(2)/2)*AW137+(1-EXP(-LN(2)/2))/(LN(2)/2)*AQ138*AT138*VLOOKUP('Données projet'!$B$10,Paramètres!$A$1:$I$89,3,0)*0.475*44/12</f>
        <v>2.8680106587061491E-15</v>
      </c>
      <c r="AX138" s="23">
        <f t="shared" si="114"/>
        <v>1.3918772208628536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472.83070477639035</v>
      </c>
      <c r="BJ138" s="62">
        <f t="shared" si="146"/>
        <v>297.32483725004136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0.4967818906694515</v>
      </c>
      <c r="BR138" s="23">
        <f>EXP(-LN(2)/2)*BR137+(1-EXP(-LN(2)/2))/(LN(2)/2)*BL138*BO138*VLOOKUP('Données projet'!$B$11,Paramètres!$A$1:$I$89,3,0)*0.475*44/12</f>
        <v>2.3409724730094541E-15</v>
      </c>
      <c r="BS138" s="24">
        <f t="shared" si="117"/>
        <v>0.49678189066945383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-1.7053025658242404E-13</v>
      </c>
      <c r="BZ138" s="14">
        <f>BY138*VLOOKUP('Données projet'!$B$12,Paramètres!$A$1:$I$89,3,0)*VLOOKUP('Données projet'!$B$12,Paramètres!$A$1:$I$89,5,0)</f>
        <v>-9.3109520094003535E-14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262.64209686767367</v>
      </c>
      <c r="CE138" s="62">
        <f t="shared" si="148"/>
        <v>381.0342365342517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0.72671845340809282</v>
      </c>
      <c r="CL138" s="23">
        <f>EXP(-LN(2)/25)*CL137+(1-EXP(-LN(2)/25))/(LN(2)/25)*Calculateur!CG138*Calculateur!CI138*VLOOKUP('Données projet'!$B$12,Paramètres!$A$1:$I$89,3,0)*0.475*44/12</f>
        <v>0.70943439948970999</v>
      </c>
      <c r="CM138" s="23">
        <f>EXP(-LN(2)/2)*CM137+(1-EXP(-LN(2)/2))/(LN(2)/2)*CG138*CJ138*VLOOKUP('Données projet'!$B$12,Paramètres!$A$1:$I$89,3,0)*0.475*44/12</f>
        <v>1.9425206518880748E-15</v>
      </c>
      <c r="CN138" s="24">
        <f t="shared" si="120"/>
        <v>1.4361528528978049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-8.3355189417488869E-14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250.11765444522138</v>
      </c>
      <c r="CZ138" s="62">
        <f t="shared" si="150"/>
        <v>241.42920565698913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0.5297445955813247</v>
      </c>
      <c r="DH138" s="23">
        <f>EXP(-LN(2)/2)*DH137+(1-EXP(-LN(2)/2))/(LN(2)/2)*DB138*DE138*VLOOKUP('Données projet'!$B$13,Paramètres!$A$1:$I$89,3,0)*0.475*44/12</f>
        <v>7.8743288514094993E-15</v>
      </c>
      <c r="DI138" s="24">
        <f t="shared" si="123"/>
        <v>0.52974459558133258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419.0448820879102</v>
      </c>
      <c r="T139" s="62">
        <f t="shared" si="142"/>
        <v>553.33038335026379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1.8468900734253535</v>
      </c>
      <c r="AA139" s="23">
        <f>EXP(-LN(2)/25)*AA138+(1-EXP(-LN(2)/25))/(LN(2)/25)*Calculateur!V139*Calculateur!X139*VLOOKUP('Données projet'!$B$9,Paramètres!$A$1:$I$89,3,0)*0.475*44/12</f>
        <v>1.2424383011258455</v>
      </c>
      <c r="AB139" s="23">
        <f>EXP(-LN(2)/2)*AB138+(1-EXP(-LN(2)/2))/(LN(2)/2)*V139*Y139*VLOOKUP('Données projet'!$B$9,Paramètres!$A$1:$I$89,3,0)*0.475*44/12</f>
        <v>1.9900753270741518E-15</v>
      </c>
      <c r="AC139" s="24">
        <f t="shared" si="111"/>
        <v>3.0893283745512008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1.738044375088066E-13</v>
      </c>
      <c r="AK139" s="14">
        <f t="shared" si="143"/>
        <v>2.4483293633950478E-12</v>
      </c>
      <c r="AL139" s="22">
        <f t="shared" si="112"/>
        <v>4.566883036574213E-12</v>
      </c>
      <c r="AM139" s="62">
        <f t="shared" si="113"/>
        <v>284.84953039488977</v>
      </c>
      <c r="AN139" s="62">
        <f ca="1">AVERAGE(OFFSET($AM$3,0,0,'Données projet'!$E$10+1,1))-AVERAGE(OFFSET($H$3,0,0,'Données projet'!$E$10+1,1))</f>
        <v>341.62910675299065</v>
      </c>
      <c r="AO139" s="62">
        <f t="shared" si="144"/>
        <v>407.15938341104709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1.3538162650627141</v>
      </c>
      <c r="AW139" s="23">
        <f>EXP(-LN(2)/2)*AW138+(1-EXP(-LN(2)/2))/(LN(2)/2)*AQ139*AT139*VLOOKUP('Données projet'!$B$10,Paramètres!$A$1:$I$89,3,0)*0.475*44/12</f>
        <v>2.027989785286415E-15</v>
      </c>
      <c r="AX139" s="23">
        <f t="shared" si="114"/>
        <v>1.3538162650627161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472.83070477639035</v>
      </c>
      <c r="BJ139" s="62">
        <f t="shared" si="146"/>
        <v>297.32483725004136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0.48319736374447114</v>
      </c>
      <c r="BR139" s="23">
        <f>EXP(-LN(2)/2)*BR138+(1-EXP(-LN(2)/2))/(LN(2)/2)*BL139*BO139*VLOOKUP('Données projet'!$B$11,Paramètres!$A$1:$I$89,3,0)*0.475*44/12</f>
        <v>1.6553175102360271E-15</v>
      </c>
      <c r="BS139" s="24">
        <f t="shared" si="117"/>
        <v>0.48319736374447281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-1.7053025658242404E-13</v>
      </c>
      <c r="BZ139" s="14">
        <f>BY139*VLOOKUP('Données projet'!$B$12,Paramètres!$A$1:$I$89,3,0)*VLOOKUP('Données projet'!$B$12,Paramètres!$A$1:$I$89,5,0)</f>
        <v>-9.3109520094003535E-14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262.64209686767367</v>
      </c>
      <c r="CE139" s="62">
        <f t="shared" si="148"/>
        <v>381.0342365342517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0.712467947791249</v>
      </c>
      <c r="CL139" s="23">
        <f>EXP(-LN(2)/25)*CL138+(1-EXP(-LN(2)/25))/(LN(2)/25)*Calculateur!CG139*Calculateur!CI139*VLOOKUP('Données projet'!$B$12,Paramètres!$A$1:$I$89,3,0)*0.475*44/12</f>
        <v>0.69003487852813028</v>
      </c>
      <c r="CM139" s="23">
        <f>EXP(-LN(2)/2)*CM138+(1-EXP(-LN(2)/2))/(LN(2)/2)*CG139*CJ139*VLOOKUP('Données projet'!$B$12,Paramètres!$A$1:$I$89,3,0)*0.475*44/12</f>
        <v>1.3735695255449706E-15</v>
      </c>
      <c r="CN139" s="24">
        <f t="shared" si="120"/>
        <v>1.4025028263193806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-8.3355189417488869E-14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250.11765444522138</v>
      </c>
      <c r="CZ139" s="62">
        <f t="shared" si="150"/>
        <v>241.42920565698913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0.51525870175709587</v>
      </c>
      <c r="DH139" s="23">
        <f>EXP(-LN(2)/2)*DH138+(1-EXP(-LN(2)/2))/(LN(2)/2)*DB139*DE139*VLOOKUP('Données projet'!$B$13,Paramètres!$A$1:$I$89,3,0)*0.475*44/12</f>
        <v>5.567991328124535E-15</v>
      </c>
      <c r="DI139" s="24">
        <f t="shared" si="123"/>
        <v>0.51525870175710142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419.0448820879102</v>
      </c>
      <c r="T140" s="62">
        <f t="shared" si="142"/>
        <v>553.33038335026379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1.8106736855771952</v>
      </c>
      <c r="AA140" s="23">
        <f>EXP(-LN(2)/25)*AA139+(1-EXP(-LN(2)/25))/(LN(2)/25)*Calculateur!V140*Calculateur!X140*VLOOKUP('Données projet'!$B$9,Paramètres!$A$1:$I$89,3,0)*0.475*44/12</f>
        <v>1.2084637604445687</v>
      </c>
      <c r="AB140" s="23">
        <f>EXP(-LN(2)/2)*AB139+(1-EXP(-LN(2)/2))/(LN(2)/2)*V140*Y140*VLOOKUP('Données projet'!$B$9,Paramètres!$A$1:$I$89,3,0)*0.475*44/12</f>
        <v>1.4071957588461693E-15</v>
      </c>
      <c r="AC140" s="24">
        <f t="shared" si="111"/>
        <v>3.0191374460217655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1.738044375088066E-13</v>
      </c>
      <c r="AK140" s="14">
        <f t="shared" si="143"/>
        <v>2.4483293633950478E-12</v>
      </c>
      <c r="AL140" s="22">
        <f t="shared" si="112"/>
        <v>4.566883036574213E-12</v>
      </c>
      <c r="AM140" s="62">
        <f t="shared" si="113"/>
        <v>284.99670540892993</v>
      </c>
      <c r="AN140" s="62">
        <f ca="1">AVERAGE(OFFSET($AM$3,0,0,'Données projet'!$E$10+1,1))-AVERAGE(OFFSET($H$3,0,0,'Données projet'!$E$10+1,1))</f>
        <v>341.62910675299065</v>
      </c>
      <c r="AO140" s="62">
        <f t="shared" si="144"/>
        <v>407.15938341104709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1.316796088100471</v>
      </c>
      <c r="AW140" s="23">
        <f>EXP(-LN(2)/2)*AW139+(1-EXP(-LN(2)/2))/(LN(2)/2)*AQ140*AT140*VLOOKUP('Données projet'!$B$10,Paramètres!$A$1:$I$89,3,0)*0.475*44/12</f>
        <v>1.4340053293530746E-15</v>
      </c>
      <c r="AX140" s="23">
        <f t="shared" si="114"/>
        <v>1.3167960881004723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472.83070477639035</v>
      </c>
      <c r="BJ140" s="62">
        <f t="shared" si="146"/>
        <v>297.32483725004136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0.46998430642263356</v>
      </c>
      <c r="BR140" s="23">
        <f>EXP(-LN(2)/2)*BR139+(1-EXP(-LN(2)/2))/(LN(2)/2)*BL140*BO140*VLOOKUP('Données projet'!$B$11,Paramètres!$A$1:$I$89,3,0)*0.475*44/12</f>
        <v>1.170486236504727E-15</v>
      </c>
      <c r="BS140" s="24">
        <f t="shared" si="117"/>
        <v>0.46998430642263472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-1.7053025658242404E-13</v>
      </c>
      <c r="BZ140" s="14">
        <f>BY140*VLOOKUP('Données projet'!$B$12,Paramètres!$A$1:$I$89,3,0)*VLOOKUP('Données projet'!$B$12,Paramètres!$A$1:$I$89,5,0)</f>
        <v>-9.3109520094003535E-14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262.64209686767367</v>
      </c>
      <c r="CE140" s="62">
        <f t="shared" si="148"/>
        <v>381.0342365342517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0.69849688589760128</v>
      </c>
      <c r="CL140" s="23">
        <f>EXP(-LN(2)/25)*CL139+(1-EXP(-LN(2)/25))/(LN(2)/25)*Calculateur!CG140*Calculateur!CI140*VLOOKUP('Données projet'!$B$12,Paramètres!$A$1:$I$89,3,0)*0.475*44/12</f>
        <v>0.6711658384874214</v>
      </c>
      <c r="CM140" s="23">
        <f>EXP(-LN(2)/2)*CM139+(1-EXP(-LN(2)/2))/(LN(2)/2)*CG140*CJ140*VLOOKUP('Données projet'!$B$12,Paramètres!$A$1:$I$89,3,0)*0.475*44/12</f>
        <v>9.7126032594403741E-16</v>
      </c>
      <c r="CN140" s="24">
        <f t="shared" si="120"/>
        <v>1.3696627243850235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-8.3355189417488869E-14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250.11765444522138</v>
      </c>
      <c r="CZ140" s="62">
        <f t="shared" si="150"/>
        <v>241.42920565698913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0.50116892546127056</v>
      </c>
      <c r="DH140" s="23">
        <f>EXP(-LN(2)/2)*DH139+(1-EXP(-LN(2)/2))/(LN(2)/2)*DB140*DE140*VLOOKUP('Données projet'!$B$13,Paramètres!$A$1:$I$89,3,0)*0.475*44/12</f>
        <v>3.9371644257047497E-15</v>
      </c>
      <c r="DI140" s="24">
        <f t="shared" si="123"/>
        <v>0.50116892546127445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419.0448820879102</v>
      </c>
      <c r="T141" s="62">
        <f t="shared" si="142"/>
        <v>553.33038335026379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1.7751674790049239</v>
      </c>
      <c r="AA141" s="23">
        <f>EXP(-LN(2)/25)*AA140+(1-EXP(-LN(2)/25))/(LN(2)/25)*Calculateur!V141*Calculateur!X141*VLOOKUP('Données projet'!$B$9,Paramètres!$A$1:$I$89,3,0)*0.475*44/12</f>
        <v>1.1754182553648649</v>
      </c>
      <c r="AB141" s="23">
        <f>EXP(-LN(2)/2)*AB140+(1-EXP(-LN(2)/2))/(LN(2)/2)*V141*Y141*VLOOKUP('Données projet'!$B$9,Paramètres!$A$1:$I$89,3,0)*0.475*44/12</f>
        <v>9.9503766353707591E-16</v>
      </c>
      <c r="AC141" s="24">
        <f t="shared" si="111"/>
        <v>2.9505857343697897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1.738044375088066E-13</v>
      </c>
      <c r="AK141" s="14">
        <f t="shared" si="143"/>
        <v>2.4483293633950478E-12</v>
      </c>
      <c r="AL141" s="22">
        <f t="shared" si="112"/>
        <v>4.566883036574213E-12</v>
      </c>
      <c r="AM141" s="62">
        <f t="shared" si="113"/>
        <v>285.14132726551048</v>
      </c>
      <c r="AN141" s="62">
        <f ca="1">AVERAGE(OFFSET($AM$3,0,0,'Données projet'!$E$10+1,1))-AVERAGE(OFFSET($H$3,0,0,'Données projet'!$E$10+1,1))</f>
        <v>341.62910675299065</v>
      </c>
      <c r="AO141" s="62">
        <f t="shared" si="144"/>
        <v>407.15938341104709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1.2807882298240669</v>
      </c>
      <c r="AW141" s="23">
        <f>EXP(-LN(2)/2)*AW140+(1-EXP(-LN(2)/2))/(LN(2)/2)*AQ141*AT141*VLOOKUP('Données projet'!$B$10,Paramètres!$A$1:$I$89,3,0)*0.475*44/12</f>
        <v>1.0139948926432075E-15</v>
      </c>
      <c r="AX141" s="23">
        <f t="shared" si="114"/>
        <v>1.280788229824068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472.83070477639035</v>
      </c>
      <c r="BJ141" s="62">
        <f t="shared" si="146"/>
        <v>297.32483725004136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0.45713256084810611</v>
      </c>
      <c r="BR141" s="23">
        <f>EXP(-LN(2)/2)*BR140+(1-EXP(-LN(2)/2))/(LN(2)/2)*BL141*BO141*VLOOKUP('Données projet'!$B$11,Paramètres!$A$1:$I$89,3,0)*0.475*44/12</f>
        <v>8.2765875511801354E-16</v>
      </c>
      <c r="BS141" s="24">
        <f t="shared" si="117"/>
        <v>0.45713256084810694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-1.7053025658242404E-13</v>
      </c>
      <c r="BZ141" s="14">
        <f>BY141*VLOOKUP('Données projet'!$B$12,Paramètres!$A$1:$I$89,3,0)*VLOOKUP('Données projet'!$B$12,Paramètres!$A$1:$I$89,5,0)</f>
        <v>-9.3109520094003535E-14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262.64209686767367</v>
      </c>
      <c r="CE141" s="62">
        <f t="shared" si="148"/>
        <v>381.0342365342517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0.68479978800618169</v>
      </c>
      <c r="CL141" s="23">
        <f>EXP(-LN(2)/25)*CL140+(1-EXP(-LN(2)/25))/(LN(2)/25)*Calculateur!CG141*Calculateur!CI141*VLOOKUP('Données projet'!$B$12,Paramètres!$A$1:$I$89,3,0)*0.475*44/12</f>
        <v>0.65281277333890542</v>
      </c>
      <c r="CM141" s="23">
        <f>EXP(-LN(2)/2)*CM140+(1-EXP(-LN(2)/2))/(LN(2)/2)*CG141*CJ141*VLOOKUP('Données projet'!$B$12,Paramètres!$A$1:$I$89,3,0)*0.475*44/12</f>
        <v>6.867847627724853E-16</v>
      </c>
      <c r="CN141" s="24">
        <f t="shared" si="120"/>
        <v>1.3376125613450878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-8.3355189417488869E-14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250.11765444522138</v>
      </c>
      <c r="CZ141" s="62">
        <f t="shared" si="150"/>
        <v>241.42920565698913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0.48746443483920376</v>
      </c>
      <c r="DH141" s="23">
        <f>EXP(-LN(2)/2)*DH140+(1-EXP(-LN(2)/2))/(LN(2)/2)*DB141*DE141*VLOOKUP('Données projet'!$B$13,Paramètres!$A$1:$I$89,3,0)*0.475*44/12</f>
        <v>2.7839956640622675E-15</v>
      </c>
      <c r="DI141" s="24">
        <f t="shared" si="123"/>
        <v>0.48746443483920654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419.0448820879102</v>
      </c>
      <c r="T142" s="62">
        <f t="shared" si="142"/>
        <v>553.33038335026379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1.7403575274868872</v>
      </c>
      <c r="AA142" s="23">
        <f>EXP(-LN(2)/25)*AA141+(1-EXP(-LN(2)/25))/(LN(2)/25)*Calculateur!V142*Calculateur!X142*VLOOKUP('Données projet'!$B$9,Paramètres!$A$1:$I$89,3,0)*0.475*44/12</f>
        <v>1.1432763813593532</v>
      </c>
      <c r="AB142" s="23">
        <f>EXP(-LN(2)/2)*AB141+(1-EXP(-LN(2)/2))/(LN(2)/2)*V142*Y142*VLOOKUP('Données projet'!$B$9,Paramètres!$A$1:$I$89,3,0)*0.475*44/12</f>
        <v>7.0359787942308464E-16</v>
      </c>
      <c r="AC142" s="24">
        <f t="shared" si="111"/>
        <v>2.8836339088462415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1.738044375088066E-13</v>
      </c>
      <c r="AK142" s="14">
        <f t="shared" si="143"/>
        <v>2.4483293633950478E-12</v>
      </c>
      <c r="AL142" s="22">
        <f t="shared" si="112"/>
        <v>4.566883036574213E-12</v>
      </c>
      <c r="AM142" s="62">
        <f t="shared" si="113"/>
        <v>285.28344025620544</v>
      </c>
      <c r="AN142" s="62">
        <f ca="1">AVERAGE(OFFSET($AM$3,0,0,'Données projet'!$E$10+1,1))-AVERAGE(OFFSET($H$3,0,0,'Données projet'!$E$10+1,1))</f>
        <v>341.62910675299065</v>
      </c>
      <c r="AO142" s="62">
        <f t="shared" si="144"/>
        <v>407.15938341104709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1.2457650083258021</v>
      </c>
      <c r="AW142" s="23">
        <f>EXP(-LN(2)/2)*AW141+(1-EXP(-LN(2)/2))/(LN(2)/2)*AQ142*AT142*VLOOKUP('Données projet'!$B$10,Paramètres!$A$1:$I$89,3,0)*0.475*44/12</f>
        <v>7.1700266467653728E-16</v>
      </c>
      <c r="AX142" s="23">
        <f t="shared" si="114"/>
        <v>1.2457650083258027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472.83070477639035</v>
      </c>
      <c r="BJ142" s="62">
        <f t="shared" si="146"/>
        <v>297.32483725004136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0.44463224693215808</v>
      </c>
      <c r="BR142" s="23">
        <f>EXP(-LN(2)/2)*BR141+(1-EXP(-LN(2)/2))/(LN(2)/2)*BL142*BO142*VLOOKUP('Données projet'!$B$11,Paramètres!$A$1:$I$89,3,0)*0.475*44/12</f>
        <v>5.8524311825236352E-16</v>
      </c>
      <c r="BS142" s="24">
        <f t="shared" si="117"/>
        <v>0.44463224693215869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-1.7053025658242404E-13</v>
      </c>
      <c r="BZ142" s="14">
        <f>BY142*VLOOKUP('Données projet'!$B$12,Paramètres!$A$1:$I$89,3,0)*VLOOKUP('Données projet'!$B$12,Paramètres!$A$1:$I$89,5,0)</f>
        <v>-9.3109520094003535E-14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262.64209686767367</v>
      </c>
      <c r="CE142" s="62">
        <f t="shared" si="148"/>
        <v>381.0342365342517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0.67137128185000805</v>
      </c>
      <c r="CL142" s="23">
        <f>EXP(-LN(2)/25)*CL141+(1-EXP(-LN(2)/25))/(LN(2)/25)*Calculateur!CG142*Calculateur!CI142*VLOOKUP('Données projet'!$B$12,Paramètres!$A$1:$I$89,3,0)*0.475*44/12</f>
        <v>0.63496157372202133</v>
      </c>
      <c r="CM142" s="23">
        <f>EXP(-LN(2)/2)*CM141+(1-EXP(-LN(2)/2))/(LN(2)/2)*CG142*CJ142*VLOOKUP('Données projet'!$B$12,Paramètres!$A$1:$I$89,3,0)*0.475*44/12</f>
        <v>4.856301629720187E-16</v>
      </c>
      <c r="CN142" s="24">
        <f t="shared" si="120"/>
        <v>1.3063328555720299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-8.3355189417488869E-14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250.11765444522138</v>
      </c>
      <c r="CZ142" s="62">
        <f t="shared" si="150"/>
        <v>241.42920565698913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0.47413469423388521</v>
      </c>
      <c r="DH142" s="23">
        <f>EXP(-LN(2)/2)*DH141+(1-EXP(-LN(2)/2))/(LN(2)/2)*DB142*DE142*VLOOKUP('Données projet'!$B$13,Paramètres!$A$1:$I$89,3,0)*0.475*44/12</f>
        <v>1.9685822128523748E-15</v>
      </c>
      <c r="DI142" s="24">
        <f t="shared" si="123"/>
        <v>0.47413469423388716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419.0448820879102</v>
      </c>
      <c r="T143" s="62">
        <f t="shared" si="142"/>
        <v>553.33038335026379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1.7062301778861453</v>
      </c>
      <c r="AA143" s="23">
        <f>EXP(-LN(2)/25)*AA142+(1-EXP(-LN(2)/25))/(LN(2)/25)*Calculateur!V143*Calculateur!X143*VLOOKUP('Données projet'!$B$9,Paramètres!$A$1:$I$89,3,0)*0.475*44/12</f>
        <v>1.1120134285887897</v>
      </c>
      <c r="AB143" s="23">
        <f>EXP(-LN(2)/2)*AB142+(1-EXP(-LN(2)/2))/(LN(2)/2)*V143*Y143*VLOOKUP('Données projet'!$B$9,Paramètres!$A$1:$I$89,3,0)*0.475*44/12</f>
        <v>4.9751883176853796E-16</v>
      </c>
      <c r="AC143" s="24">
        <f t="shared" si="111"/>
        <v>2.8182436064749354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1.738044375088066E-13</v>
      </c>
      <c r="AK143" s="14">
        <f t="shared" si="143"/>
        <v>2.4483293633950478E-12</v>
      </c>
      <c r="AL143" s="22">
        <f t="shared" si="112"/>
        <v>4.566883036574213E-12</v>
      </c>
      <c r="AM143" s="62">
        <f t="shared" si="113"/>
        <v>285.42308790422891</v>
      </c>
      <c r="AN143" s="62">
        <f ca="1">AVERAGE(OFFSET($AM$3,0,0,'Données projet'!$E$10+1,1))-AVERAGE(OFFSET($H$3,0,0,'Données projet'!$E$10+1,1))</f>
        <v>341.62910675299065</v>
      </c>
      <c r="AO143" s="62">
        <f t="shared" si="144"/>
        <v>407.15938341104709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1.2116994986611984</v>
      </c>
      <c r="AW143" s="23">
        <f>EXP(-LN(2)/2)*AW142+(1-EXP(-LN(2)/2))/(LN(2)/2)*AQ143*AT143*VLOOKUP('Données projet'!$B$10,Paramètres!$A$1:$I$89,3,0)*0.475*44/12</f>
        <v>5.0699744632160374E-16</v>
      </c>
      <c r="AX143" s="23">
        <f t="shared" si="114"/>
        <v>1.2116994986611989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472.83070477639035</v>
      </c>
      <c r="BJ143" s="62">
        <f t="shared" si="146"/>
        <v>297.32483725004136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0.43247375475760458</v>
      </c>
      <c r="BR143" s="23">
        <f>EXP(-LN(2)/2)*BR142+(1-EXP(-LN(2)/2))/(LN(2)/2)*BL143*BO143*VLOOKUP('Données projet'!$B$11,Paramètres!$A$1:$I$89,3,0)*0.475*44/12</f>
        <v>4.1382937755900677E-16</v>
      </c>
      <c r="BS143" s="24">
        <f t="shared" si="117"/>
        <v>0.43247375475760497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-1.7053025658242404E-13</v>
      </c>
      <c r="BZ143" s="14">
        <f>BY143*VLOOKUP('Données projet'!$B$12,Paramètres!$A$1:$I$89,3,0)*VLOOKUP('Données projet'!$B$12,Paramètres!$A$1:$I$89,5,0)</f>
        <v>-9.3109520094003535E-14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262.64209686767367</v>
      </c>
      <c r="CE143" s="62">
        <f t="shared" si="148"/>
        <v>381.0342365342517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0.65820610050897699</v>
      </c>
      <c r="CL143" s="23">
        <f>EXP(-LN(2)/25)*CL142+(1-EXP(-LN(2)/25))/(LN(2)/25)*Calculateur!CG143*Calculateur!CI143*VLOOKUP('Données projet'!$B$12,Paramètres!$A$1:$I$89,3,0)*0.475*44/12</f>
        <v>0.61759851609741467</v>
      </c>
      <c r="CM143" s="23">
        <f>EXP(-LN(2)/2)*CM142+(1-EXP(-LN(2)/2))/(LN(2)/2)*CG143*CJ143*VLOOKUP('Données projet'!$B$12,Paramètres!$A$1:$I$89,3,0)*0.475*44/12</f>
        <v>3.4339238138624265E-16</v>
      </c>
      <c r="CN143" s="24">
        <f t="shared" si="120"/>
        <v>1.2758046166063921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-8.3355189417488869E-14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250.11765444522138</v>
      </c>
      <c r="CZ143" s="62">
        <f t="shared" si="150"/>
        <v>241.42920565698913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0.4611694560863997</v>
      </c>
      <c r="DH143" s="23">
        <f>EXP(-LN(2)/2)*DH142+(1-EXP(-LN(2)/2))/(LN(2)/2)*DB143*DE143*VLOOKUP('Données projet'!$B$13,Paramètres!$A$1:$I$89,3,0)*0.475*44/12</f>
        <v>1.3919978320311338E-15</v>
      </c>
      <c r="DI143" s="24">
        <f t="shared" si="123"/>
        <v>0.46116945608640109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419.0448820879102</v>
      </c>
      <c r="T144" s="62">
        <f t="shared" si="142"/>
        <v>553.33038335026379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1.6727720447954462</v>
      </c>
      <c r="AA144" s="23">
        <f>EXP(-LN(2)/25)*AA143+(1-EXP(-LN(2)/25))/(LN(2)/25)*Calculateur!V144*Calculateur!X144*VLOOKUP('Données projet'!$B$9,Paramètres!$A$1:$I$89,3,0)*0.475*44/12</f>
        <v>1.0816053629057847</v>
      </c>
      <c r="AB144" s="23">
        <f>EXP(-LN(2)/2)*AB143+(1-EXP(-LN(2)/2))/(LN(2)/2)*V144*Y144*VLOOKUP('Données projet'!$B$9,Paramètres!$A$1:$I$89,3,0)*0.475*44/12</f>
        <v>3.5179893971154232E-16</v>
      </c>
      <c r="AC144" s="24">
        <f t="shared" si="111"/>
        <v>2.7543774077012313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1.738044375088066E-13</v>
      </c>
      <c r="AK144" s="14">
        <f t="shared" si="143"/>
        <v>2.4483293633950478E-12</v>
      </c>
      <c r="AL144" s="22">
        <f t="shared" si="112"/>
        <v>4.566883036574213E-12</v>
      </c>
      <c r="AM144" s="62">
        <f t="shared" si="113"/>
        <v>285.56031297776457</v>
      </c>
      <c r="AN144" s="62">
        <f ca="1">AVERAGE(OFFSET($AM$3,0,0,'Données projet'!$E$10+1,1))-AVERAGE(OFFSET($H$3,0,0,'Données projet'!$E$10+1,1))</f>
        <v>341.62910675299065</v>
      </c>
      <c r="AO144" s="62">
        <f t="shared" si="144"/>
        <v>407.15938341104709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1.1785655121498007</v>
      </c>
      <c r="AW144" s="23">
        <f>EXP(-LN(2)/2)*AW143+(1-EXP(-LN(2)/2))/(LN(2)/2)*AQ144*AT144*VLOOKUP('Données projet'!$B$10,Paramètres!$A$1:$I$89,3,0)*0.475*44/12</f>
        <v>3.5850133233826864E-16</v>
      </c>
      <c r="AX144" s="23">
        <f t="shared" si="114"/>
        <v>1.1785655121498011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472.83070477639035</v>
      </c>
      <c r="BJ144" s="62">
        <f t="shared" si="146"/>
        <v>297.32483725004136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0.42064773719095155</v>
      </c>
      <c r="BR144" s="23">
        <f>EXP(-LN(2)/2)*BR143+(1-EXP(-LN(2)/2))/(LN(2)/2)*BL144*BO144*VLOOKUP('Données projet'!$B$11,Paramètres!$A$1:$I$89,3,0)*0.475*44/12</f>
        <v>2.9262155912618176E-16</v>
      </c>
      <c r="BS144" s="24">
        <f t="shared" si="117"/>
        <v>0.42064773719095183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-1.7053025658242404E-13</v>
      </c>
      <c r="BZ144" s="14">
        <f>BY144*VLOOKUP('Données projet'!$B$12,Paramètres!$A$1:$I$89,3,0)*VLOOKUP('Données projet'!$B$12,Paramètres!$A$1:$I$89,5,0)</f>
        <v>-9.3109520094003535E-14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262.64209686767367</v>
      </c>
      <c r="CE144" s="62">
        <f t="shared" si="148"/>
        <v>381.0342365342517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0.64529908034407579</v>
      </c>
      <c r="CL144" s="23">
        <f>EXP(-LN(2)/25)*CL143+(1-EXP(-LN(2)/25))/(LN(2)/25)*Calculateur!CG144*Calculateur!CI144*VLOOKUP('Données projet'!$B$12,Paramètres!$A$1:$I$89,3,0)*0.475*44/12</f>
        <v>0.60071025219663643</v>
      </c>
      <c r="CM144" s="23">
        <f>EXP(-LN(2)/2)*CM143+(1-EXP(-LN(2)/2))/(LN(2)/2)*CG144*CJ144*VLOOKUP('Données projet'!$B$12,Paramètres!$A$1:$I$89,3,0)*0.475*44/12</f>
        <v>2.4281508148600935E-16</v>
      </c>
      <c r="CN144" s="24">
        <f t="shared" si="120"/>
        <v>1.2460093325407124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-8.3355189417488869E-14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250.11765444522138</v>
      </c>
      <c r="CZ144" s="62">
        <f t="shared" si="150"/>
        <v>241.42920565698913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0.44855875305786941</v>
      </c>
      <c r="DH144" s="23">
        <f>EXP(-LN(2)/2)*DH143+(1-EXP(-LN(2)/2))/(LN(2)/2)*DB144*DE144*VLOOKUP('Données projet'!$B$13,Paramètres!$A$1:$I$89,3,0)*0.475*44/12</f>
        <v>9.8429110642618741E-16</v>
      </c>
      <c r="DI144" s="24">
        <f t="shared" si="123"/>
        <v>0.44855875305787041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419.0448820879102</v>
      </c>
      <c r="T145" s="62">
        <f t="shared" si="142"/>
        <v>553.33038335026379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1.6399700052872095</v>
      </c>
      <c r="AA145" s="23">
        <f>EXP(-LN(2)/25)*AA144+(1-EXP(-LN(2)/25))/(LN(2)/25)*Calculateur!V145*Calculateur!X145*VLOOKUP('Données projet'!$B$9,Paramètres!$A$1:$I$89,3,0)*0.475*44/12</f>
        <v>1.052028807377972</v>
      </c>
      <c r="AB145" s="23">
        <f>EXP(-LN(2)/2)*AB144+(1-EXP(-LN(2)/2))/(LN(2)/2)*V145*Y145*VLOOKUP('Données projet'!$B$9,Paramètres!$A$1:$I$89,3,0)*0.475*44/12</f>
        <v>2.4875941588426898E-16</v>
      </c>
      <c r="AC145" s="24">
        <f t="shared" si="111"/>
        <v>2.6919988126651817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1.738044375088066E-13</v>
      </c>
      <c r="AK145" s="14">
        <f t="shared" si="143"/>
        <v>2.4483293633950478E-12</v>
      </c>
      <c r="AL145" s="22">
        <f t="shared" si="112"/>
        <v>4.566883036574213E-12</v>
      </c>
      <c r="AM145" s="62">
        <f t="shared" si="113"/>
        <v>285.69515750306363</v>
      </c>
      <c r="AN145" s="62">
        <f ca="1">AVERAGE(OFFSET($AM$3,0,0,'Données projet'!$E$10+1,1))-AVERAGE(OFFSET($H$3,0,0,'Données projet'!$E$10+1,1))</f>
        <v>341.62910675299065</v>
      </c>
      <c r="AO145" s="62">
        <f t="shared" si="144"/>
        <v>407.15938341104709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1.1463375762419976</v>
      </c>
      <c r="AW145" s="23">
        <f>EXP(-LN(2)/2)*AW144+(1-EXP(-LN(2)/2))/(LN(2)/2)*AQ145*AT145*VLOOKUP('Données projet'!$B$10,Paramètres!$A$1:$I$89,3,0)*0.475*44/12</f>
        <v>2.5349872316080187E-16</v>
      </c>
      <c r="AX145" s="23">
        <f t="shared" si="114"/>
        <v>1.1463375762419978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472.83070477639035</v>
      </c>
      <c r="BJ145" s="62">
        <f t="shared" si="146"/>
        <v>297.32483725004136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0.4091451026965619</v>
      </c>
      <c r="BR145" s="23">
        <f>EXP(-LN(2)/2)*BR144+(1-EXP(-LN(2)/2))/(LN(2)/2)*BL145*BO145*VLOOKUP('Données projet'!$B$11,Paramètres!$A$1:$I$89,3,0)*0.475*44/12</f>
        <v>2.0691468877950339E-16</v>
      </c>
      <c r="BS145" s="24">
        <f t="shared" si="117"/>
        <v>0.40914510269656212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-1.7053025658242404E-13</v>
      </c>
      <c r="BZ145" s="14">
        <f>BY145*VLOOKUP('Données projet'!$B$12,Paramètres!$A$1:$I$89,3,0)*VLOOKUP('Données projet'!$B$12,Paramètres!$A$1:$I$89,5,0)</f>
        <v>-9.3109520094003535E-14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262.64209686767367</v>
      </c>
      <c r="CE145" s="62">
        <f t="shared" si="148"/>
        <v>381.0342365342517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0.63264515897210338</v>
      </c>
      <c r="CL145" s="23">
        <f>EXP(-LN(2)/25)*CL144+(1-EXP(-LN(2)/25))/(LN(2)/25)*Calculateur!CG145*Calculateur!CI145*VLOOKUP('Données projet'!$B$12,Paramètres!$A$1:$I$89,3,0)*0.475*44/12</f>
        <v>0.5842837987603402</v>
      </c>
      <c r="CM145" s="23">
        <f>EXP(-LN(2)/2)*CM144+(1-EXP(-LN(2)/2))/(LN(2)/2)*CG145*CJ145*VLOOKUP('Données projet'!$B$12,Paramètres!$A$1:$I$89,3,0)*0.475*44/12</f>
        <v>1.7169619069312132E-16</v>
      </c>
      <c r="CN145" s="24">
        <f t="shared" si="120"/>
        <v>1.2169289577324438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-8.3355189417488869E-14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250.11765444522138</v>
      </c>
      <c r="CZ145" s="62">
        <f t="shared" si="150"/>
        <v>241.42920565698913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0.43629289036682234</v>
      </c>
      <c r="DH145" s="23">
        <f>EXP(-LN(2)/2)*DH144+(1-EXP(-LN(2)/2))/(LN(2)/2)*DB145*DE145*VLOOKUP('Données projet'!$B$13,Paramètres!$A$1:$I$89,3,0)*0.475*44/12</f>
        <v>6.9599891601556688E-16</v>
      </c>
      <c r="DI145" s="24">
        <f t="shared" si="123"/>
        <v>0.43629289036682306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419.0448820879102</v>
      </c>
      <c r="T146" s="62">
        <f t="shared" si="142"/>
        <v>553.33038335026379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1.6078111937664608</v>
      </c>
      <c r="AA146" s="23">
        <f>EXP(-LN(2)/25)*AA145+(1-EXP(-LN(2)/25))/(LN(2)/25)*Calculateur!V146*Calculateur!X146*VLOOKUP('Données projet'!$B$9,Paramètres!$A$1:$I$89,3,0)*0.475*44/12</f>
        <v>1.0232610243164308</v>
      </c>
      <c r="AB146" s="23">
        <f>EXP(-LN(2)/2)*AB145+(1-EXP(-LN(2)/2))/(LN(2)/2)*V146*Y146*VLOOKUP('Données projet'!$B$9,Paramètres!$A$1:$I$89,3,0)*0.475*44/12</f>
        <v>1.7589946985577116E-16</v>
      </c>
      <c r="AC146" s="24">
        <f t="shared" si="111"/>
        <v>2.6310722180828918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1.738044375088066E-13</v>
      </c>
      <c r="AK146" s="14">
        <f t="shared" si="143"/>
        <v>2.4483293633950478E-12</v>
      </c>
      <c r="AL146" s="22">
        <f t="shared" si="112"/>
        <v>4.566883036574213E-12</v>
      </c>
      <c r="AM146" s="62">
        <f t="shared" si="113"/>
        <v>285.82766277731599</v>
      </c>
      <c r="AN146" s="62">
        <f ca="1">AVERAGE(OFFSET($AM$3,0,0,'Données projet'!$E$10+1,1))-AVERAGE(OFFSET($H$3,0,0,'Données projet'!$E$10+1,1))</f>
        <v>341.62910675299065</v>
      </c>
      <c r="AO146" s="62">
        <f t="shared" si="144"/>
        <v>407.15938341104709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1.114990914936387</v>
      </c>
      <c r="AW146" s="23">
        <f>EXP(-LN(2)/2)*AW145+(1-EXP(-LN(2)/2))/(LN(2)/2)*AQ146*AT146*VLOOKUP('Données projet'!$B$10,Paramètres!$A$1:$I$89,3,0)*0.475*44/12</f>
        <v>1.7925066616913432E-16</v>
      </c>
      <c r="AX146" s="23">
        <f t="shared" si="114"/>
        <v>1.1149909149363872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472.83070477639035</v>
      </c>
      <c r="BJ146" s="62">
        <f t="shared" si="146"/>
        <v>297.32483725004136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0.39795700834731856</v>
      </c>
      <c r="BR146" s="23">
        <f>EXP(-LN(2)/2)*BR145+(1-EXP(-LN(2)/2))/(LN(2)/2)*BL146*BO146*VLOOKUP('Données projet'!$B$11,Paramètres!$A$1:$I$89,3,0)*0.475*44/12</f>
        <v>1.4631077956309088E-16</v>
      </c>
      <c r="BS146" s="24">
        <f t="shared" si="117"/>
        <v>0.39795700834731873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-1.7053025658242404E-13</v>
      </c>
      <c r="BZ146" s="14">
        <f>BY146*VLOOKUP('Données projet'!$B$12,Paramètres!$A$1:$I$89,3,0)*VLOOKUP('Données projet'!$B$12,Paramètres!$A$1:$I$89,5,0)</f>
        <v>-9.3109520094003535E-14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262.64209686767367</v>
      </c>
      <c r="CE146" s="62">
        <f t="shared" si="148"/>
        <v>381.0342365342517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0.62023937328010537</v>
      </c>
      <c r="CL146" s="23">
        <f>EXP(-LN(2)/25)*CL145+(1-EXP(-LN(2)/25))/(LN(2)/25)*Calculateur!CG146*Calculateur!CI146*VLOOKUP('Données projet'!$B$12,Paramètres!$A$1:$I$89,3,0)*0.475*44/12</f>
        <v>0.5683065275570891</v>
      </c>
      <c r="CM146" s="23">
        <f>EXP(-LN(2)/2)*CM145+(1-EXP(-LN(2)/2))/(LN(2)/2)*CG146*CJ146*VLOOKUP('Données projet'!$B$12,Paramètres!$A$1:$I$89,3,0)*0.475*44/12</f>
        <v>1.2140754074300468E-16</v>
      </c>
      <c r="CN146" s="24">
        <f t="shared" si="120"/>
        <v>1.1885459008371948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-8.3355189417488869E-14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250.11765444522138</v>
      </c>
      <c r="CZ146" s="62">
        <f t="shared" si="150"/>
        <v>241.42920565698913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0.42436243833609566</v>
      </c>
      <c r="DH146" s="23">
        <f>EXP(-LN(2)/2)*DH145+(1-EXP(-LN(2)/2))/(LN(2)/2)*DB146*DE146*VLOOKUP('Données projet'!$B$13,Paramètres!$A$1:$I$89,3,0)*0.475*44/12</f>
        <v>4.9214555321309371E-16</v>
      </c>
      <c r="DI146" s="24">
        <f t="shared" si="123"/>
        <v>0.42436243833609616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419.0448820879102</v>
      </c>
      <c r="T147" s="62">
        <f t="shared" si="142"/>
        <v>553.33038335026379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1.5762829969246956</v>
      </c>
      <c r="AA147" s="23">
        <f>EXP(-LN(2)/25)*AA146+(1-EXP(-LN(2)/25))/(LN(2)/25)*Calculateur!V147*Calculateur!X147*VLOOKUP('Données projet'!$B$9,Paramètres!$A$1:$I$89,3,0)*0.475*44/12</f>
        <v>0.99527989779553949</v>
      </c>
      <c r="AB147" s="23">
        <f>EXP(-LN(2)/2)*AB146+(1-EXP(-LN(2)/2))/(LN(2)/2)*V147*Y147*VLOOKUP('Données projet'!$B$9,Paramètres!$A$1:$I$89,3,0)*0.475*44/12</f>
        <v>1.2437970794213449E-16</v>
      </c>
      <c r="AC147" s="24">
        <f t="shared" si="111"/>
        <v>2.5715628947202349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1.738044375088066E-13</v>
      </c>
      <c r="AK147" s="14">
        <f t="shared" si="143"/>
        <v>2.4483293633950478E-12</v>
      </c>
      <c r="AL147" s="22">
        <f t="shared" si="112"/>
        <v>4.566883036574213E-12</v>
      </c>
      <c r="AM147" s="62">
        <f t="shared" si="113"/>
        <v>285.95786938129743</v>
      </c>
      <c r="AN147" s="62">
        <f ca="1">AVERAGE(OFFSET($AM$3,0,0,'Données projet'!$E$10+1,1))-AVERAGE(OFFSET($H$3,0,0,'Données projet'!$E$10+1,1))</f>
        <v>341.62910675299065</v>
      </c>
      <c r="AO147" s="62">
        <f t="shared" si="144"/>
        <v>407.15938341104709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1.0845014297326276</v>
      </c>
      <c r="AW147" s="23">
        <f>EXP(-LN(2)/2)*AW146+(1-EXP(-LN(2)/2))/(LN(2)/2)*AQ147*AT147*VLOOKUP('Données projet'!$B$10,Paramètres!$A$1:$I$89,3,0)*0.475*44/12</f>
        <v>1.2674936158040094E-16</v>
      </c>
      <c r="AX147" s="23">
        <f t="shared" si="114"/>
        <v>1.0845014297326279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472.83070477639035</v>
      </c>
      <c r="BJ147" s="62">
        <f t="shared" si="146"/>
        <v>297.32483725004136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0.38707485302641159</v>
      </c>
      <c r="BR147" s="23">
        <f>EXP(-LN(2)/2)*BR146+(1-EXP(-LN(2)/2))/(LN(2)/2)*BL147*BO147*VLOOKUP('Données projet'!$B$11,Paramètres!$A$1:$I$89,3,0)*0.475*44/12</f>
        <v>1.0345734438975169E-16</v>
      </c>
      <c r="BS147" s="24">
        <f t="shared" si="117"/>
        <v>0.3870748530264117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-1.7053025658242404E-13</v>
      </c>
      <c r="BZ147" s="14">
        <f>BY147*VLOOKUP('Données projet'!$B$12,Paramètres!$A$1:$I$89,3,0)*VLOOKUP('Données projet'!$B$12,Paramètres!$A$1:$I$89,5,0)</f>
        <v>-9.3109520094003535E-14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262.64209686767367</v>
      </c>
      <c r="CE147" s="62">
        <f t="shared" si="148"/>
        <v>381.0342365342517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0.60807685747874529</v>
      </c>
      <c r="CL147" s="23">
        <f>EXP(-LN(2)/25)*CL146+(1-EXP(-LN(2)/25))/(LN(2)/25)*Calculateur!CG147*Calculateur!CI147*VLOOKUP('Données projet'!$B$12,Paramètres!$A$1:$I$89,3,0)*0.475*44/12</f>
        <v>0.55276615567509912</v>
      </c>
      <c r="CM147" s="23">
        <f>EXP(-LN(2)/2)*CM146+(1-EXP(-LN(2)/2))/(LN(2)/2)*CG147*CJ147*VLOOKUP('Données projet'!$B$12,Paramètres!$A$1:$I$89,3,0)*0.475*44/12</f>
        <v>8.5848095346560662E-17</v>
      </c>
      <c r="CN147" s="24">
        <f t="shared" si="120"/>
        <v>1.1608430131538445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-8.3355189417488869E-14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250.11765444522138</v>
      </c>
      <c r="CZ147" s="62">
        <f t="shared" si="150"/>
        <v>241.42920565698913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0.41275822514354438</v>
      </c>
      <c r="DH147" s="23">
        <f>EXP(-LN(2)/2)*DH146+(1-EXP(-LN(2)/2))/(LN(2)/2)*DB147*DE147*VLOOKUP('Données projet'!$B$13,Paramètres!$A$1:$I$89,3,0)*0.475*44/12</f>
        <v>3.4799945800778344E-16</v>
      </c>
      <c r="DI147" s="24">
        <f t="shared" si="123"/>
        <v>0.41275822514354471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419.0448820879102</v>
      </c>
      <c r="T148" s="62">
        <f t="shared" si="142"/>
        <v>553.33038335026379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1.5453730487926964</v>
      </c>
      <c r="AA148" s="23">
        <f>EXP(-LN(2)/25)*AA147+(1-EXP(-LN(2)/25))/(LN(2)/25)*Calculateur!V148*Calculateur!X148*VLOOKUP('Données projet'!$B$9,Paramètres!$A$1:$I$89,3,0)*0.475*44/12</f>
        <v>0.96806391665082536</v>
      </c>
      <c r="AB148" s="23">
        <f>EXP(-LN(2)/2)*AB147+(1-EXP(-LN(2)/2))/(LN(2)/2)*V148*Y148*VLOOKUP('Données projet'!$B$9,Paramètres!$A$1:$I$89,3,0)*0.475*44/12</f>
        <v>8.794973492788558E-17</v>
      </c>
      <c r="AC148" s="24">
        <f t="shared" si="111"/>
        <v>2.513436965443522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1.738044375088066E-13</v>
      </c>
      <c r="AK148" s="14">
        <f t="shared" si="143"/>
        <v>2.4483293633950478E-12</v>
      </c>
      <c r="AL148" s="22">
        <f t="shared" si="112"/>
        <v>4.566883036574213E-12</v>
      </c>
      <c r="AM148" s="62">
        <f t="shared" si="113"/>
        <v>286.08581719179813</v>
      </c>
      <c r="AN148" s="62">
        <f ca="1">AVERAGE(OFFSET($AM$3,0,0,'Données projet'!$E$10+1,1))-AVERAGE(OFFSET($H$3,0,0,'Données projet'!$E$10+1,1))</f>
        <v>341.62910675299065</v>
      </c>
      <c r="AO148" s="62">
        <f t="shared" si="144"/>
        <v>407.15938341104709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1.0548456811051374</v>
      </c>
      <c r="AW148" s="23">
        <f>EXP(-LN(2)/2)*AW147+(1-EXP(-LN(2)/2))/(LN(2)/2)*AQ148*AT148*VLOOKUP('Données projet'!$B$10,Paramètres!$A$1:$I$89,3,0)*0.475*44/12</f>
        <v>8.962533308456716E-17</v>
      </c>
      <c r="AX148" s="23">
        <f t="shared" si="114"/>
        <v>1.0548456811051374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472.83070477639035</v>
      </c>
      <c r="BJ148" s="62">
        <f t="shared" si="146"/>
        <v>297.32483725004136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0.37649027081502251</v>
      </c>
      <c r="BR148" s="23">
        <f>EXP(-LN(2)/2)*BR147+(1-EXP(-LN(2)/2))/(LN(2)/2)*BL148*BO148*VLOOKUP('Données projet'!$B$11,Paramètres!$A$1:$I$89,3,0)*0.475*44/12</f>
        <v>7.315538978154544E-17</v>
      </c>
      <c r="BS148" s="24">
        <f t="shared" si="117"/>
        <v>0.37649027081502257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-1.7053025658242404E-13</v>
      </c>
      <c r="BZ148" s="14">
        <f>BY148*VLOOKUP('Données projet'!$B$12,Paramètres!$A$1:$I$89,3,0)*VLOOKUP('Données projet'!$B$12,Paramètres!$A$1:$I$89,5,0)</f>
        <v>-9.3109520094003535E-14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262.64209686767367</v>
      </c>
      <c r="CE148" s="62">
        <f t="shared" si="148"/>
        <v>381.0342365342517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0.59615284119384782</v>
      </c>
      <c r="CL148" s="23">
        <f>EXP(-LN(2)/25)*CL147+(1-EXP(-LN(2)/25))/(LN(2)/25)*Calculateur!CG148*Calculateur!CI148*VLOOKUP('Données projet'!$B$12,Paramètres!$A$1:$I$89,3,0)*0.475*44/12</f>
        <v>0.53765073607945479</v>
      </c>
      <c r="CM148" s="23">
        <f>EXP(-LN(2)/2)*CM147+(1-EXP(-LN(2)/2))/(LN(2)/2)*CG148*CJ148*VLOOKUP('Données projet'!$B$12,Paramètres!$A$1:$I$89,3,0)*0.475*44/12</f>
        <v>6.0703770371502338E-17</v>
      </c>
      <c r="CN148" s="24">
        <f t="shared" si="120"/>
        <v>1.1338035772733026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-8.3355189417488869E-14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250.11765444522138</v>
      </c>
      <c r="CZ148" s="62">
        <f t="shared" si="150"/>
        <v>241.42920565698913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0.40147132977098249</v>
      </c>
      <c r="DH148" s="23">
        <f>EXP(-LN(2)/2)*DH147+(1-EXP(-LN(2)/2))/(LN(2)/2)*DB148*DE148*VLOOKUP('Données projet'!$B$13,Paramètres!$A$1:$I$89,3,0)*0.475*44/12</f>
        <v>2.4607277660654685E-16</v>
      </c>
      <c r="DI148" s="24">
        <f t="shared" si="123"/>
        <v>0.40147132977098271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419.0448820879102</v>
      </c>
      <c r="T149" s="62">
        <f t="shared" si="142"/>
        <v>553.33038335026379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1.5150692258903589</v>
      </c>
      <c r="AA149" s="23">
        <f>EXP(-LN(2)/25)*AA148+(1-EXP(-LN(2)/25))/(LN(2)/25)*Calculateur!V149*Calculateur!X149*VLOOKUP('Données projet'!$B$9,Paramètres!$A$1:$I$89,3,0)*0.475*44/12</f>
        <v>0.94159215794173967</v>
      </c>
      <c r="AB149" s="23">
        <f>EXP(-LN(2)/2)*AB148+(1-EXP(-LN(2)/2))/(LN(2)/2)*V149*Y149*VLOOKUP('Données projet'!$B$9,Paramètres!$A$1:$I$89,3,0)*0.475*44/12</f>
        <v>6.2189853971067244E-17</v>
      </c>
      <c r="AC149" s="24">
        <f t="shared" si="111"/>
        <v>2.4566613838320985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1.738044375088066E-13</v>
      </c>
      <c r="AK149" s="14">
        <f t="shared" si="143"/>
        <v>2.4483293633950478E-12</v>
      </c>
      <c r="AL149" s="22">
        <f t="shared" si="112"/>
        <v>4.566883036574213E-12</v>
      </c>
      <c r="AM149" s="62">
        <f t="shared" si="113"/>
        <v>286.21154539383519</v>
      </c>
      <c r="AN149" s="62">
        <f ca="1">AVERAGE(OFFSET($AM$3,0,0,'Données projet'!$E$10+1,1))-AVERAGE(OFFSET($H$3,0,0,'Données projet'!$E$10+1,1))</f>
        <v>341.62910675299065</v>
      </c>
      <c r="AO149" s="62">
        <f t="shared" si="144"/>
        <v>407.15938341104709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1.0260008704833941</v>
      </c>
      <c r="AW149" s="23">
        <f>EXP(-LN(2)/2)*AW148+(1-EXP(-LN(2)/2))/(LN(2)/2)*AQ149*AT149*VLOOKUP('Données projet'!$B$10,Paramètres!$A$1:$I$89,3,0)*0.475*44/12</f>
        <v>6.3374680790200468E-17</v>
      </c>
      <c r="AX149" s="23">
        <f t="shared" si="114"/>
        <v>1.0260008704833941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472.83070477639035</v>
      </c>
      <c r="BJ149" s="62">
        <f t="shared" si="146"/>
        <v>297.32483725004136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0.36619512456082287</v>
      </c>
      <c r="BR149" s="23">
        <f>EXP(-LN(2)/2)*BR148+(1-EXP(-LN(2)/2))/(LN(2)/2)*BL149*BO149*VLOOKUP('Données projet'!$B$11,Paramètres!$A$1:$I$89,3,0)*0.475*44/12</f>
        <v>5.1728672194875846E-17</v>
      </c>
      <c r="BS149" s="24">
        <f t="shared" si="117"/>
        <v>0.36619512456082293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-1.7053025658242404E-13</v>
      </c>
      <c r="BZ149" s="14">
        <f>BY149*VLOOKUP('Données projet'!$B$12,Paramètres!$A$1:$I$89,3,0)*VLOOKUP('Données projet'!$B$12,Paramètres!$A$1:$I$89,5,0)</f>
        <v>-9.3109520094003535E-14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262.64209686767367</v>
      </c>
      <c r="CE149" s="62">
        <f t="shared" si="148"/>
        <v>381.0342365342517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0.58446264759536537</v>
      </c>
      <c r="CL149" s="23">
        <f>EXP(-LN(2)/25)*CL148+(1-EXP(-LN(2)/25))/(LN(2)/25)*Calculateur!CG149*Calculateur!CI149*VLOOKUP('Données projet'!$B$12,Paramètres!$A$1:$I$89,3,0)*0.475*44/12</f>
        <v>0.52294864842753874</v>
      </c>
      <c r="CM149" s="23">
        <f>EXP(-LN(2)/2)*CM148+(1-EXP(-LN(2)/2))/(LN(2)/2)*CG149*CJ149*VLOOKUP('Données projet'!$B$12,Paramètres!$A$1:$I$89,3,0)*0.475*44/12</f>
        <v>4.2924047673280331E-17</v>
      </c>
      <c r="CN149" s="24">
        <f t="shared" si="120"/>
        <v>1.1074112960229041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-8.3355189417488869E-14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250.11765444522138</v>
      </c>
      <c r="CZ149" s="62">
        <f t="shared" si="150"/>
        <v>241.42920565698913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0.39049307514593529</v>
      </c>
      <c r="DH149" s="23">
        <f>EXP(-LN(2)/2)*DH148+(1-EXP(-LN(2)/2))/(LN(2)/2)*DB149*DE149*VLOOKUP('Données projet'!$B$13,Paramètres!$A$1:$I$89,3,0)*0.475*44/12</f>
        <v>1.7399972900389172E-16</v>
      </c>
      <c r="DI149" s="24">
        <f t="shared" si="123"/>
        <v>0.39049307514593545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419.0448820879102</v>
      </c>
      <c r="T150" s="62">
        <f t="shared" si="142"/>
        <v>553.33038335026379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1.4853596424716293</v>
      </c>
      <c r="AA150" s="23">
        <f>EXP(-LN(2)/25)*AA149+(1-EXP(-LN(2)/25))/(LN(2)/25)*Calculateur!V150*Calculateur!X150*VLOOKUP('Données projet'!$B$9,Paramètres!$A$1:$I$89,3,0)*0.475*44/12</f>
        <v>0.91584427086664322</v>
      </c>
      <c r="AB150" s="23">
        <f>EXP(-LN(2)/2)*AB149+(1-EXP(-LN(2)/2))/(LN(2)/2)*V150*Y150*VLOOKUP('Données projet'!$B$9,Paramètres!$A$1:$I$89,3,0)*0.475*44/12</f>
        <v>4.397486746394279E-17</v>
      </c>
      <c r="AC150" s="24">
        <f t="shared" si="111"/>
        <v>2.4012039133382723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1.738044375088066E-13</v>
      </c>
      <c r="AK150" s="14">
        <f t="shared" si="143"/>
        <v>2.4483293633950478E-12</v>
      </c>
      <c r="AL150" s="22">
        <f t="shared" si="112"/>
        <v>4.566883036574213E-12</v>
      </c>
      <c r="AM150" s="62">
        <f t="shared" si="113"/>
        <v>286.33509249265296</v>
      </c>
      <c r="AN150" s="62">
        <f ca="1">AVERAGE(OFFSET($AM$3,0,0,'Données projet'!$E$10+1,1))-AVERAGE(OFFSET($H$3,0,0,'Données projet'!$E$10+1,1))</f>
        <v>341.62910675299065</v>
      </c>
      <c r="AO150" s="62">
        <f t="shared" si="144"/>
        <v>407.15938341104709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0.99794482272498486</v>
      </c>
      <c r="AW150" s="23">
        <f>EXP(-LN(2)/2)*AW149+(1-EXP(-LN(2)/2))/(LN(2)/2)*AQ150*AT150*VLOOKUP('Données projet'!$B$10,Paramètres!$A$1:$I$89,3,0)*0.475*44/12</f>
        <v>4.481266654228358E-17</v>
      </c>
      <c r="AX150" s="23">
        <f t="shared" si="114"/>
        <v>0.99794482272498486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472.83070477639035</v>
      </c>
      <c r="BJ150" s="62">
        <f t="shared" si="146"/>
        <v>297.32483725004136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0.35618149962234252</v>
      </c>
      <c r="BR150" s="23">
        <f>EXP(-LN(2)/2)*BR149+(1-EXP(-LN(2)/2))/(LN(2)/2)*BL150*BO150*VLOOKUP('Données projet'!$B$11,Paramètres!$A$1:$I$89,3,0)*0.475*44/12</f>
        <v>3.657769489077272E-17</v>
      </c>
      <c r="BS150" s="24">
        <f t="shared" si="117"/>
        <v>0.35618149962234258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-1.7053025658242404E-13</v>
      </c>
      <c r="BZ150" s="14">
        <f>BY150*VLOOKUP('Données projet'!$B$12,Paramètres!$A$1:$I$89,3,0)*VLOOKUP('Données projet'!$B$12,Paramètres!$A$1:$I$89,5,0)</f>
        <v>-9.3109520094003535E-14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262.64209686767367</v>
      </c>
      <c r="CE150" s="62">
        <f t="shared" si="148"/>
        <v>381.0342365342517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0.57300169156303515</v>
      </c>
      <c r="CL150" s="23">
        <f>EXP(-LN(2)/25)*CL149+(1-EXP(-LN(2)/25))/(LN(2)/25)*Calculateur!CG150*Calculateur!CI150*VLOOKUP('Données projet'!$B$12,Paramètres!$A$1:$I$89,3,0)*0.475*44/12</f>
        <v>0.50864859013561348</v>
      </c>
      <c r="CM150" s="23">
        <f>EXP(-LN(2)/2)*CM149+(1-EXP(-LN(2)/2))/(LN(2)/2)*CG150*CJ150*VLOOKUP('Données projet'!$B$12,Paramètres!$A$1:$I$89,3,0)*0.475*44/12</f>
        <v>3.0351885185751169E-17</v>
      </c>
      <c r="CN150" s="24">
        <f t="shared" si="120"/>
        <v>1.0816502816986486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-8.3355189417488869E-14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250.11765444522138</v>
      </c>
      <c r="CZ150" s="62">
        <f t="shared" si="150"/>
        <v>241.42920565698913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0.37981502147093132</v>
      </c>
      <c r="DH150" s="23">
        <f>EXP(-LN(2)/2)*DH149+(1-EXP(-LN(2)/2))/(LN(2)/2)*DB150*DE150*VLOOKUP('Données projet'!$B$13,Paramètres!$A$1:$I$89,3,0)*0.475*44/12</f>
        <v>1.2303638830327343E-16</v>
      </c>
      <c r="DI150" s="24">
        <f t="shared" si="123"/>
        <v>0.37981502147093144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419.0448820879102</v>
      </c>
      <c r="T151" s="62">
        <f t="shared" si="142"/>
        <v>553.33038335026379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1.4562326458626844</v>
      </c>
      <c r="AA151" s="23">
        <f>EXP(-LN(2)/25)*AA150+(1-EXP(-LN(2)/25))/(LN(2)/25)*Calculateur!V151*Calculateur!X151*VLOOKUP('Données projet'!$B$9,Paramètres!$A$1:$I$89,3,0)*0.475*44/12</f>
        <v>0.89080046111763789</v>
      </c>
      <c r="AB151" s="23">
        <f>EXP(-LN(2)/2)*AB150+(1-EXP(-LN(2)/2))/(LN(2)/2)*V151*Y151*VLOOKUP('Données projet'!$B$9,Paramètres!$A$1:$I$89,3,0)*0.475*44/12</f>
        <v>3.1094926985533622E-17</v>
      </c>
      <c r="AC151" s="24">
        <f t="shared" si="111"/>
        <v>2.3470331069803221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1.738044375088066E-13</v>
      </c>
      <c r="AK151" s="14">
        <f t="shared" si="143"/>
        <v>2.4483293633950478E-12</v>
      </c>
      <c r="AL151" s="22">
        <f t="shared" si="112"/>
        <v>4.566883036574213E-12</v>
      </c>
      <c r="AM151" s="62">
        <f t="shared" si="113"/>
        <v>286.45649632551624</v>
      </c>
      <c r="AN151" s="62">
        <f ca="1">AVERAGE(OFFSET($AM$3,0,0,'Données projet'!$E$10+1,1))-AVERAGE(OFFSET($H$3,0,0,'Données projet'!$E$10+1,1))</f>
        <v>341.62910675299065</v>
      </c>
      <c r="AO151" s="62">
        <f t="shared" si="144"/>
        <v>407.15938341104709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0.97065596906793272</v>
      </c>
      <c r="AW151" s="23">
        <f>EXP(-LN(2)/2)*AW150+(1-EXP(-LN(2)/2))/(LN(2)/2)*AQ151*AT151*VLOOKUP('Données projet'!$B$10,Paramètres!$A$1:$I$89,3,0)*0.475*44/12</f>
        <v>3.1687340395100234E-17</v>
      </c>
      <c r="AX151" s="23">
        <f t="shared" si="114"/>
        <v>0.97065596906793272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472.83070477639035</v>
      </c>
      <c r="BJ151" s="62">
        <f t="shared" si="146"/>
        <v>297.32483725004136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0.34644169778439854</v>
      </c>
      <c r="BR151" s="23">
        <f>EXP(-LN(2)/2)*BR150+(1-EXP(-LN(2)/2))/(LN(2)/2)*BL151*BO151*VLOOKUP('Données projet'!$B$11,Paramètres!$A$1:$I$89,3,0)*0.475*44/12</f>
        <v>2.5864336097437923E-17</v>
      </c>
      <c r="BS151" s="24">
        <f t="shared" si="117"/>
        <v>0.34644169778439854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-1.7053025658242404E-13</v>
      </c>
      <c r="BZ151" s="14">
        <f>BY151*VLOOKUP('Données projet'!$B$12,Paramètres!$A$1:$I$89,3,0)*VLOOKUP('Données projet'!$B$12,Paramètres!$A$1:$I$89,5,0)</f>
        <v>-9.3109520094003535E-14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262.64209686767367</v>
      </c>
      <c r="CE151" s="62">
        <f t="shared" si="148"/>
        <v>381.0342365342517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0.56176547788800602</v>
      </c>
      <c r="CL151" s="23">
        <f>EXP(-LN(2)/25)*CL150+(1-EXP(-LN(2)/25))/(LN(2)/25)*Calculateur!CG151*Calculateur!CI151*VLOOKUP('Données projet'!$B$12,Paramètres!$A$1:$I$89,3,0)*0.475*44/12</f>
        <v>0.4947395676896883</v>
      </c>
      <c r="CM151" s="23">
        <f>EXP(-LN(2)/2)*CM150+(1-EXP(-LN(2)/2))/(LN(2)/2)*CG151*CJ151*VLOOKUP('Données projet'!$B$12,Paramètres!$A$1:$I$89,3,0)*0.475*44/12</f>
        <v>2.1462023836640166E-17</v>
      </c>
      <c r="CN151" s="24">
        <f t="shared" si="120"/>
        <v>1.0565050455776943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-8.3355189417488869E-14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250.11765444522138</v>
      </c>
      <c r="CZ151" s="62">
        <f t="shared" si="150"/>
        <v>241.42920565698913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0.36942895973520479</v>
      </c>
      <c r="DH151" s="23">
        <f>EXP(-LN(2)/2)*DH150+(1-EXP(-LN(2)/2))/(LN(2)/2)*DB151*DE151*VLOOKUP('Données projet'!$B$13,Paramètres!$A$1:$I$89,3,0)*0.475*44/12</f>
        <v>8.6999864501945859E-17</v>
      </c>
      <c r="DI151" s="24">
        <f t="shared" si="123"/>
        <v>0.3694289597352049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419.0448820879102</v>
      </c>
      <c r="T152" s="62">
        <f t="shared" si="142"/>
        <v>553.33038335026379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1.4276768118915273</v>
      </c>
      <c r="AA152" s="23">
        <f>EXP(-LN(2)/25)*AA151+(1-EXP(-LN(2)/25))/(LN(2)/25)*Calculateur!V152*Calculateur!X152*VLOOKUP('Données projet'!$B$9,Paramètres!$A$1:$I$89,3,0)*0.475*44/12</f>
        <v>0.86644147566321583</v>
      </c>
      <c r="AB152" s="23">
        <f>EXP(-LN(2)/2)*AB151+(1-EXP(-LN(2)/2))/(LN(2)/2)*V152*Y152*VLOOKUP('Données projet'!$B$9,Paramètres!$A$1:$I$89,3,0)*0.475*44/12</f>
        <v>2.1987433731971395E-17</v>
      </c>
      <c r="AC152" s="24">
        <f t="shared" si="111"/>
        <v>2.2941182875547432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1.738044375088066E-13</v>
      </c>
      <c r="AK152" s="14">
        <f t="shared" si="143"/>
        <v>2.4483293633950478E-12</v>
      </c>
      <c r="AL152" s="22">
        <f t="shared" si="112"/>
        <v>4.566883036574213E-12</v>
      </c>
      <c r="AM152" s="62">
        <f t="shared" si="113"/>
        <v>286.57579407329763</v>
      </c>
      <c r="AN152" s="62">
        <f ca="1">AVERAGE(OFFSET($AM$3,0,0,'Données projet'!$E$10+1,1))-AVERAGE(OFFSET($H$3,0,0,'Données projet'!$E$10+1,1))</f>
        <v>341.62910675299065</v>
      </c>
      <c r="AO152" s="62">
        <f t="shared" si="144"/>
        <v>407.15938341104709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0.94411333054919111</v>
      </c>
      <c r="AW152" s="23">
        <f>EXP(-LN(2)/2)*AW151+(1-EXP(-LN(2)/2))/(LN(2)/2)*AQ152*AT152*VLOOKUP('Données projet'!$B$10,Paramètres!$A$1:$I$89,3,0)*0.475*44/12</f>
        <v>2.240633327114179E-17</v>
      </c>
      <c r="AX152" s="23">
        <f t="shared" si="114"/>
        <v>0.94411333054919111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472.83070477639035</v>
      </c>
      <c r="BJ152" s="62">
        <f t="shared" si="146"/>
        <v>297.32483725004136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0.33696823133990705</v>
      </c>
      <c r="BR152" s="23">
        <f>EXP(-LN(2)/2)*BR151+(1-EXP(-LN(2)/2))/(LN(2)/2)*BL152*BO152*VLOOKUP('Données projet'!$B$11,Paramètres!$A$1:$I$89,3,0)*0.475*44/12</f>
        <v>1.828884744538636E-17</v>
      </c>
      <c r="BS152" s="24">
        <f t="shared" si="117"/>
        <v>0.33696823133990705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-1.7053025658242404E-13</v>
      </c>
      <c r="BZ152" s="14">
        <f>BY152*VLOOKUP('Données projet'!$B$12,Paramètres!$A$1:$I$89,3,0)*VLOOKUP('Données projet'!$B$12,Paramètres!$A$1:$I$89,5,0)</f>
        <v>-9.3109520094003535E-14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262.64209686767367</v>
      </c>
      <c r="CE152" s="62">
        <f t="shared" si="148"/>
        <v>381.0342365342517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0.55074959950973057</v>
      </c>
      <c r="CL152" s="23">
        <f>EXP(-LN(2)/25)*CL151+(1-EXP(-LN(2)/25))/(LN(2)/25)*Calculateur!CG152*Calculateur!CI152*VLOOKUP('Données projet'!$B$12,Paramètres!$A$1:$I$89,3,0)*0.475*44/12</f>
        <v>0.48121088819399066</v>
      </c>
      <c r="CM152" s="23">
        <f>EXP(-LN(2)/2)*CM151+(1-EXP(-LN(2)/2))/(LN(2)/2)*CG152*CJ152*VLOOKUP('Données projet'!$B$12,Paramètres!$A$1:$I$89,3,0)*0.475*44/12</f>
        <v>1.5175942592875585E-17</v>
      </c>
      <c r="CN152" s="24">
        <f t="shared" si="120"/>
        <v>1.0319604877037212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-8.3355189417488869E-14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250.11765444522138</v>
      </c>
      <c r="CZ152" s="62">
        <f t="shared" si="150"/>
        <v>241.42920565698913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0.35932690540382095</v>
      </c>
      <c r="DH152" s="23">
        <f>EXP(-LN(2)/2)*DH151+(1-EXP(-LN(2)/2))/(LN(2)/2)*DB152*DE152*VLOOKUP('Données projet'!$B$13,Paramètres!$A$1:$I$89,3,0)*0.475*44/12</f>
        <v>6.1518194151636713E-17</v>
      </c>
      <c r="DI152" s="24">
        <f t="shared" si="123"/>
        <v>0.35932690540382101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419.0448820879102</v>
      </c>
      <c r="T153" s="62">
        <f t="shared" si="142"/>
        <v>553.33038335026379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1.3996809404072057</v>
      </c>
      <c r="AA153" s="23">
        <f>EXP(-LN(2)/25)*AA152+(1-EXP(-LN(2)/25))/(LN(2)/25)*Calculateur!V153*Calculateur!X153*VLOOKUP('Données projet'!$B$9,Paramètres!$A$1:$I$89,3,0)*0.475*44/12</f>
        <v>0.84274858794702823</v>
      </c>
      <c r="AB153" s="23">
        <f>EXP(-LN(2)/2)*AB152+(1-EXP(-LN(2)/2))/(LN(2)/2)*V153*Y153*VLOOKUP('Données projet'!$B$9,Paramètres!$A$1:$I$89,3,0)*0.475*44/12</f>
        <v>1.5547463492766811E-17</v>
      </c>
      <c r="AC153" s="24">
        <f t="shared" si="111"/>
        <v>2.2424295283542337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1.738044375088066E-13</v>
      </c>
      <c r="AK153" s="14">
        <f t="shared" si="143"/>
        <v>2.4483293633950478E-12</v>
      </c>
      <c r="AL153" s="22">
        <f t="shared" si="112"/>
        <v>4.566883036574213E-12</v>
      </c>
      <c r="AM153" s="62">
        <f t="shared" si="113"/>
        <v>286.69302227186489</v>
      </c>
      <c r="AN153" s="62">
        <f ca="1">AVERAGE(OFFSET($AM$3,0,0,'Données projet'!$E$10+1,1))-AVERAGE(OFFSET($H$3,0,0,'Données projet'!$E$10+1,1))</f>
        <v>341.62910675299065</v>
      </c>
      <c r="AO153" s="62">
        <f t="shared" si="144"/>
        <v>407.15938341104709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0.9182965018765612</v>
      </c>
      <c r="AW153" s="23">
        <f>EXP(-LN(2)/2)*AW152+(1-EXP(-LN(2)/2))/(LN(2)/2)*AQ153*AT153*VLOOKUP('Données projet'!$B$10,Paramètres!$A$1:$I$89,3,0)*0.475*44/12</f>
        <v>1.5843670197550117E-17</v>
      </c>
      <c r="AX153" s="23">
        <f t="shared" si="114"/>
        <v>0.9182965018765612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472.83070477639035</v>
      </c>
      <c r="BJ153" s="62">
        <f t="shared" si="146"/>
        <v>297.32483725004136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0.32775381733352815</v>
      </c>
      <c r="BR153" s="23">
        <f>EXP(-LN(2)/2)*BR152+(1-EXP(-LN(2)/2))/(LN(2)/2)*BL153*BO153*VLOOKUP('Données projet'!$B$11,Paramètres!$A$1:$I$89,3,0)*0.475*44/12</f>
        <v>1.2932168048718962E-17</v>
      </c>
      <c r="BS153" s="24">
        <f t="shared" si="117"/>
        <v>0.32775381733352815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-1.7053025658242404E-13</v>
      </c>
      <c r="BZ153" s="14">
        <f>BY153*VLOOKUP('Données projet'!$B$12,Paramètres!$A$1:$I$89,3,0)*VLOOKUP('Données projet'!$B$12,Paramètres!$A$1:$I$89,5,0)</f>
        <v>-9.3109520094003535E-14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262.64209686767367</v>
      </c>
      <c r="CE153" s="62">
        <f t="shared" si="148"/>
        <v>381.0342365342517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0.53994973578743066</v>
      </c>
      <c r="CL153" s="23">
        <f>EXP(-LN(2)/25)*CL152+(1-EXP(-LN(2)/25))/(LN(2)/25)*Calculateur!CG153*Calculateur!CI153*VLOOKUP('Données projet'!$B$12,Paramètres!$A$1:$I$89,3,0)*0.475*44/12</f>
        <v>0.46805215115054521</v>
      </c>
      <c r="CM153" s="23">
        <f>EXP(-LN(2)/2)*CM152+(1-EXP(-LN(2)/2))/(LN(2)/2)*CG153*CJ153*VLOOKUP('Données projet'!$B$12,Paramètres!$A$1:$I$89,3,0)*0.475*44/12</f>
        <v>1.0731011918320083E-17</v>
      </c>
      <c r="CN153" s="24">
        <f t="shared" si="120"/>
        <v>1.0080018869379759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-8.3355189417488869E-14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250.11765444522138</v>
      </c>
      <c r="CZ153" s="62">
        <f t="shared" si="150"/>
        <v>241.42920565698913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0.34950109227937276</v>
      </c>
      <c r="DH153" s="23">
        <f>EXP(-LN(2)/2)*DH152+(1-EXP(-LN(2)/2))/(LN(2)/2)*DB153*DE153*VLOOKUP('Données projet'!$B$13,Paramètres!$A$1:$I$89,3,0)*0.475*44/12</f>
        <v>4.349993225097293E-17</v>
      </c>
      <c r="DI153" s="24">
        <f t="shared" si="123"/>
        <v>0.34950109227937282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419.0448820879102</v>
      </c>
      <c r="T154" s="62">
        <f t="shared" si="142"/>
        <v>553.33038335026379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1.372234050886896</v>
      </c>
      <c r="AA154" s="23">
        <f>EXP(-LN(2)/25)*AA153+(1-EXP(-LN(2)/25))/(LN(2)/25)*Calculateur!V154*Calculateur!X154*VLOOKUP('Données projet'!$B$9,Paramètres!$A$1:$I$89,3,0)*0.475*44/12</f>
        <v>0.81970358349139461</v>
      </c>
      <c r="AB154" s="23">
        <f>EXP(-LN(2)/2)*AB153+(1-EXP(-LN(2)/2))/(LN(2)/2)*V154*Y154*VLOOKUP('Données projet'!$B$9,Paramètres!$A$1:$I$89,3,0)*0.475*44/12</f>
        <v>1.0993716865985698E-17</v>
      </c>
      <c r="AC154" s="24">
        <f t="shared" ref="AC154:AC203" si="163">SUM(Z154:AB154)</f>
        <v>2.1919376343782906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1.738044375088066E-13</v>
      </c>
      <c r="AK154" s="14">
        <f t="shared" ref="AK154:AK203" si="164">EXP(-1.0587+0.8836*LN(AJ154)+0.284)</f>
        <v>2.4483293633950478E-12</v>
      </c>
      <c r="AL154" s="22">
        <f t="shared" ref="AL154:AL203" si="165">(AJ154+AK154)*0.475*44/12</f>
        <v>4.566883036574213E-12</v>
      </c>
      <c r="AM154" s="62">
        <f t="shared" si="113"/>
        <v>286.8082168232699</v>
      </c>
      <c r="AN154" s="62">
        <f ca="1">AVERAGE(OFFSET($AM$3,0,0,'Données projet'!$E$10+1,1))-AVERAGE(OFFSET($H$3,0,0,'Données projet'!$E$10+1,1))</f>
        <v>341.62910675299065</v>
      </c>
      <c r="AO154" s="62">
        <f t="shared" si="144"/>
        <v>407.15938341104709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0.89318563574163234</v>
      </c>
      <c r="AW154" s="23">
        <f>EXP(-LN(2)/2)*AW153+(1-EXP(-LN(2)/2))/(LN(2)/2)*AQ154*AT154*VLOOKUP('Données projet'!$B$10,Paramètres!$A$1:$I$89,3,0)*0.475*44/12</f>
        <v>1.1203166635570895E-17</v>
      </c>
      <c r="AX154" s="23">
        <f t="shared" ref="AX154:AX203" si="166">SUM(AU154:AW154)</f>
        <v>0.89318563574163234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472.83070477639035</v>
      </c>
      <c r="BJ154" s="62">
        <f t="shared" si="146"/>
        <v>297.32483725004136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0.31879137196271867</v>
      </c>
      <c r="BR154" s="23">
        <f>EXP(-LN(2)/2)*BR153+(1-EXP(-LN(2)/2))/(LN(2)/2)*BL154*BO154*VLOOKUP('Données projet'!$B$11,Paramètres!$A$1:$I$89,3,0)*0.475*44/12</f>
        <v>9.1444237226931799E-18</v>
      </c>
      <c r="BS154" s="24">
        <f t="shared" ref="BS154:BS203" si="169">SUM(BP154:BR154)</f>
        <v>0.31879137196271867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-1.7053025658242404E-13</v>
      </c>
      <c r="BZ154" s="14">
        <f>BY154*VLOOKUP('Données projet'!$B$12,Paramètres!$A$1:$I$89,3,0)*VLOOKUP('Données projet'!$B$12,Paramètres!$A$1:$I$89,5,0)</f>
        <v>-9.3109520094003535E-14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262.64209686767367</v>
      </c>
      <c r="CE154" s="62">
        <f t="shared" si="148"/>
        <v>381.0342365342517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0.52936165080545872</v>
      </c>
      <c r="CL154" s="23">
        <f>EXP(-LN(2)/25)*CL153+(1-EXP(-LN(2)/25))/(LN(2)/25)*Calculateur!CG154*Calculateur!CI154*VLOOKUP('Données projet'!$B$12,Paramètres!$A$1:$I$89,3,0)*0.475*44/12</f>
        <v>0.45525324046354065</v>
      </c>
      <c r="CM154" s="23">
        <f>EXP(-LN(2)/2)*CM153+(1-EXP(-LN(2)/2))/(LN(2)/2)*CG154*CJ154*VLOOKUP('Données projet'!$B$12,Paramètres!$A$1:$I$89,3,0)*0.475*44/12</f>
        <v>7.5879712964377923E-18</v>
      </c>
      <c r="CN154" s="24">
        <f t="shared" ref="CN154:CN203" si="172">SUM(CK154:CM154)</f>
        <v>0.98461489126899937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-8.3355189417488869E-14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250.11765444522138</v>
      </c>
      <c r="CZ154" s="62">
        <f t="shared" si="150"/>
        <v>241.42920565698913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0.33994396653152964</v>
      </c>
      <c r="DH154" s="23">
        <f>EXP(-LN(2)/2)*DH153+(1-EXP(-LN(2)/2))/(LN(2)/2)*DB154*DE154*VLOOKUP('Données projet'!$B$13,Paramètres!$A$1:$I$89,3,0)*0.475*44/12</f>
        <v>3.0759097075818357E-17</v>
      </c>
      <c r="DI154" s="24">
        <f t="shared" ref="DI154:DI203" si="175">SUM(DF154:DH154)</f>
        <v>0.3399439665315297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419.0448820879102</v>
      </c>
      <c r="T155" s="62">
        <f t="shared" si="142"/>
        <v>553.33038335026379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1.3453253781291301</v>
      </c>
      <c r="AA155" s="23">
        <f>EXP(-LN(2)/25)*AA154+(1-EXP(-LN(2)/25))/(LN(2)/25)*Calculateur!V155*Calculateur!X155*VLOOKUP('Données projet'!$B$9,Paramètres!$A$1:$I$89,3,0)*0.475*44/12</f>
        <v>0.7972887458944844</v>
      </c>
      <c r="AB155" s="23">
        <f>EXP(-LN(2)/2)*AB154+(1-EXP(-LN(2)/2))/(LN(2)/2)*V155*Y155*VLOOKUP('Données projet'!$B$9,Paramètres!$A$1:$I$89,3,0)*0.475*44/12</f>
        <v>7.7737317463834055E-18</v>
      </c>
      <c r="AC155" s="24">
        <f t="shared" si="163"/>
        <v>2.1426141240236145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1.738044375088066E-13</v>
      </c>
      <c r="AK155" s="14">
        <f t="shared" si="164"/>
        <v>2.4483293633950478E-12</v>
      </c>
      <c r="AL155" s="22">
        <f t="shared" si="165"/>
        <v>4.566883036574213E-12</v>
      </c>
      <c r="AM155" s="62">
        <f t="shared" si="113"/>
        <v>286.92141300674444</v>
      </c>
      <c r="AN155" s="62">
        <f ca="1">AVERAGE(OFFSET($AM$3,0,0,'Données projet'!$E$10+1,1))-AVERAGE(OFFSET($H$3,0,0,'Données projet'!$E$10+1,1))</f>
        <v>341.62910675299065</v>
      </c>
      <c r="AO155" s="62">
        <f t="shared" si="144"/>
        <v>407.15938341104709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0.86876142756168617</v>
      </c>
      <c r="AW155" s="23">
        <f>EXP(-LN(2)/2)*AW154+(1-EXP(-LN(2)/2))/(LN(2)/2)*AQ155*AT155*VLOOKUP('Données projet'!$B$10,Paramètres!$A$1:$I$89,3,0)*0.475*44/12</f>
        <v>7.9218350987750585E-18</v>
      </c>
      <c r="AX155" s="23">
        <f t="shared" si="166"/>
        <v>0.86876142756168617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472.83070477639035</v>
      </c>
      <c r="BJ155" s="62">
        <f t="shared" si="146"/>
        <v>297.32483725004136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0.31007400513188849</v>
      </c>
      <c r="BR155" s="23">
        <f>EXP(-LN(2)/2)*BR154+(1-EXP(-LN(2)/2))/(LN(2)/2)*BL155*BO155*VLOOKUP('Données projet'!$B$11,Paramètres!$A$1:$I$89,3,0)*0.475*44/12</f>
        <v>6.4660840243594808E-18</v>
      </c>
      <c r="BS155" s="24">
        <f t="shared" si="169"/>
        <v>0.31007400513188849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-1.7053025658242404E-13</v>
      </c>
      <c r="BZ155" s="14">
        <f>BY155*VLOOKUP('Données projet'!$B$12,Paramètres!$A$1:$I$89,3,0)*VLOOKUP('Données projet'!$B$12,Paramètres!$A$1:$I$89,5,0)</f>
        <v>-9.3109520094003535E-14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262.64209686767367</v>
      </c>
      <c r="CE155" s="62">
        <f t="shared" si="148"/>
        <v>381.0342365342517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0.51898119171188906</v>
      </c>
      <c r="CL155" s="23">
        <f>EXP(-LN(2)/25)*CL154+(1-EXP(-LN(2)/25))/(LN(2)/25)*Calculateur!CG155*Calculateur!CI155*VLOOKUP('Données projet'!$B$12,Paramètres!$A$1:$I$89,3,0)*0.475*44/12</f>
        <v>0.44280431666233772</v>
      </c>
      <c r="CM155" s="23">
        <f>EXP(-LN(2)/2)*CM154+(1-EXP(-LN(2)/2))/(LN(2)/2)*CG155*CJ155*VLOOKUP('Données projet'!$B$12,Paramètres!$A$1:$I$89,3,0)*0.475*44/12</f>
        <v>5.3655059591600414E-18</v>
      </c>
      <c r="CN155" s="24">
        <f t="shared" si="172"/>
        <v>0.96178550837422683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-8.3355189417488869E-14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250.11765444522138</v>
      </c>
      <c r="CZ155" s="62">
        <f t="shared" si="150"/>
        <v>241.42920565698913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0.33064818088984871</v>
      </c>
      <c r="DH155" s="23">
        <f>EXP(-LN(2)/2)*DH154+(1-EXP(-LN(2)/2))/(LN(2)/2)*DB155*DE155*VLOOKUP('Données projet'!$B$13,Paramètres!$A$1:$I$89,3,0)*0.475*44/12</f>
        <v>2.1749966125486465E-17</v>
      </c>
      <c r="DI155" s="24">
        <f t="shared" si="175"/>
        <v>0.33064818088984871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419.0448820879102</v>
      </c>
      <c r="T156" s="62">
        <f t="shared" si="142"/>
        <v>553.33038335026379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1.3189443680314743</v>
      </c>
      <c r="AA156" s="23">
        <f>EXP(-LN(2)/25)*AA155+(1-EXP(-LN(2)/25))/(LN(2)/25)*Calculateur!V156*Calculateur!X156*VLOOKUP('Données projet'!$B$9,Paramètres!$A$1:$I$89,3,0)*0.475*44/12</f>
        <v>0.77548684321040684</v>
      </c>
      <c r="AB156" s="23">
        <f>EXP(-LN(2)/2)*AB155+(1-EXP(-LN(2)/2))/(LN(2)/2)*V156*Y156*VLOOKUP('Données projet'!$B$9,Paramètres!$A$1:$I$89,3,0)*0.475*44/12</f>
        <v>5.4968584329928488E-18</v>
      </c>
      <c r="AC156" s="24">
        <f t="shared" si="163"/>
        <v>2.094431211241881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1.738044375088066E-13</v>
      </c>
      <c r="AK156" s="14">
        <f t="shared" si="164"/>
        <v>2.4483293633950478E-12</v>
      </c>
      <c r="AL156" s="22">
        <f t="shared" si="165"/>
        <v>4.566883036574213E-12</v>
      </c>
      <c r="AM156" s="62">
        <f t="shared" si="113"/>
        <v>287.03264548950455</v>
      </c>
      <c r="AN156" s="62">
        <f ca="1">AVERAGE(OFFSET($AM$3,0,0,'Données projet'!$E$10+1,1))-AVERAGE(OFFSET($H$3,0,0,'Données projet'!$E$10+1,1))</f>
        <v>341.62910675299065</v>
      </c>
      <c r="AO156" s="62">
        <f t="shared" si="144"/>
        <v>407.15938341104709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0.84500510063883394</v>
      </c>
      <c r="AW156" s="23">
        <f>EXP(-LN(2)/2)*AW155+(1-EXP(-LN(2)/2))/(LN(2)/2)*AQ156*AT156*VLOOKUP('Données projet'!$B$10,Paramètres!$A$1:$I$89,3,0)*0.475*44/12</f>
        <v>5.6015833177854475E-18</v>
      </c>
      <c r="AX156" s="23">
        <f t="shared" si="166"/>
        <v>0.84500510063883394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472.83070477639035</v>
      </c>
      <c r="BJ156" s="62">
        <f t="shared" si="146"/>
        <v>297.32483725004136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0.30159501515547377</v>
      </c>
      <c r="BR156" s="23">
        <f>EXP(-LN(2)/2)*BR155+(1-EXP(-LN(2)/2))/(LN(2)/2)*BL156*BO156*VLOOKUP('Données projet'!$B$11,Paramètres!$A$1:$I$89,3,0)*0.475*44/12</f>
        <v>4.57221186134659E-18</v>
      </c>
      <c r="BS156" s="24">
        <f t="shared" si="169"/>
        <v>0.30159501515547377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-1.7053025658242404E-13</v>
      </c>
      <c r="BZ156" s="14">
        <f>BY156*VLOOKUP('Données projet'!$B$12,Paramètres!$A$1:$I$89,3,0)*VLOOKUP('Données projet'!$B$12,Paramètres!$A$1:$I$89,5,0)</f>
        <v>-9.3109520094003535E-14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262.64209686767367</v>
      </c>
      <c r="CE156" s="62">
        <f t="shared" si="148"/>
        <v>381.0342365342517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0.50880428708968939</v>
      </c>
      <c r="CL156" s="23">
        <f>EXP(-LN(2)/25)*CL155+(1-EXP(-LN(2)/25))/(LN(2)/25)*Calculateur!CG156*Calculateur!CI156*VLOOKUP('Données projet'!$B$12,Paramètres!$A$1:$I$89,3,0)*0.475*44/12</f>
        <v>0.43069580933713913</v>
      </c>
      <c r="CM156" s="23">
        <f>EXP(-LN(2)/2)*CM155+(1-EXP(-LN(2)/2))/(LN(2)/2)*CG156*CJ156*VLOOKUP('Données projet'!$B$12,Paramètres!$A$1:$I$89,3,0)*0.475*44/12</f>
        <v>3.7939856482188961E-18</v>
      </c>
      <c r="CN156" s="24">
        <f t="shared" si="172"/>
        <v>0.93950009642682852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-8.3355189417488869E-14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250.11765444522138</v>
      </c>
      <c r="CZ156" s="62">
        <f t="shared" si="150"/>
        <v>241.42920565698913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0.32160658899538369</v>
      </c>
      <c r="DH156" s="23">
        <f>EXP(-LN(2)/2)*DH155+(1-EXP(-LN(2)/2))/(LN(2)/2)*DB156*DE156*VLOOKUP('Données projet'!$B$13,Paramètres!$A$1:$I$89,3,0)*0.475*44/12</f>
        <v>1.5379548537909178E-17</v>
      </c>
      <c r="DI156" s="24">
        <f t="shared" si="175"/>
        <v>0.32160658899538369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419.0448820879102</v>
      </c>
      <c r="T157" s="62">
        <f t="shared" si="142"/>
        <v>553.33038335026379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1.2930806734510061</v>
      </c>
      <c r="AA157" s="23">
        <f>EXP(-LN(2)/25)*AA156+(1-EXP(-LN(2)/25))/(LN(2)/25)*Calculateur!V157*Calculateur!X157*VLOOKUP('Données projet'!$B$9,Paramètres!$A$1:$I$89,3,0)*0.475*44/12</f>
        <v>0.75428111470173753</v>
      </c>
      <c r="AB157" s="23">
        <f>EXP(-LN(2)/2)*AB156+(1-EXP(-LN(2)/2))/(LN(2)/2)*V157*Y157*VLOOKUP('Données projet'!$B$9,Paramètres!$A$1:$I$89,3,0)*0.475*44/12</f>
        <v>3.8868658731917028E-18</v>
      </c>
      <c r="AC157" s="24">
        <f t="shared" si="163"/>
        <v>2.0473617881527435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1.738044375088066E-13</v>
      </c>
      <c r="AK157" s="14">
        <f t="shared" si="164"/>
        <v>2.4483293633950478E-12</v>
      </c>
      <c r="AL157" s="22">
        <f t="shared" si="165"/>
        <v>4.566883036574213E-12</v>
      </c>
      <c r="AM157" s="62">
        <f t="shared" si="113"/>
        <v>287.1419483373673</v>
      </c>
      <c r="AN157" s="62">
        <f ca="1">AVERAGE(OFFSET($AM$3,0,0,'Données projet'!$E$10+1,1))-AVERAGE(OFFSET($H$3,0,0,'Données projet'!$E$10+1,1))</f>
        <v>341.62910675299065</v>
      </c>
      <c r="AO157" s="62">
        <f t="shared" si="144"/>
        <v>407.15938341104709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0.82189839172497803</v>
      </c>
      <c r="AW157" s="23">
        <f>EXP(-LN(2)/2)*AW156+(1-EXP(-LN(2)/2))/(LN(2)/2)*AQ157*AT157*VLOOKUP('Données projet'!$B$10,Paramètres!$A$1:$I$89,3,0)*0.475*44/12</f>
        <v>3.9609175493875292E-18</v>
      </c>
      <c r="AX157" s="23">
        <f t="shared" si="166"/>
        <v>0.82189839172497803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472.83070477639035</v>
      </c>
      <c r="BJ157" s="62">
        <f t="shared" si="146"/>
        <v>297.32483725004136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0.29334788360585479</v>
      </c>
      <c r="BR157" s="23">
        <f>EXP(-LN(2)/2)*BR156+(1-EXP(-LN(2)/2))/(LN(2)/2)*BL157*BO157*VLOOKUP('Données projet'!$B$11,Paramètres!$A$1:$I$89,3,0)*0.475*44/12</f>
        <v>3.2330420121797404E-18</v>
      </c>
      <c r="BS157" s="24">
        <f t="shared" si="169"/>
        <v>0.29334788360585479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-1.7053025658242404E-13</v>
      </c>
      <c r="BZ157" s="14">
        <f>BY157*VLOOKUP('Données projet'!$B$12,Paramètres!$A$1:$I$89,3,0)*VLOOKUP('Données projet'!$B$12,Paramètres!$A$1:$I$89,5,0)</f>
        <v>-9.3109520094003535E-14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262.64209686767367</v>
      </c>
      <c r="CE157" s="62">
        <f t="shared" si="148"/>
        <v>381.0342365342517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0.49882694535983219</v>
      </c>
      <c r="CL157" s="23">
        <f>EXP(-LN(2)/25)*CL156+(1-EXP(-LN(2)/25))/(LN(2)/25)*Calculateur!CG157*Calculateur!CI157*VLOOKUP('Données projet'!$B$12,Paramètres!$A$1:$I$89,3,0)*0.475*44/12</f>
        <v>0.4189184097815068</v>
      </c>
      <c r="CM157" s="23">
        <f>EXP(-LN(2)/2)*CM156+(1-EXP(-LN(2)/2))/(LN(2)/2)*CG157*CJ157*VLOOKUP('Données projet'!$B$12,Paramètres!$A$1:$I$89,3,0)*0.475*44/12</f>
        <v>2.6827529795800207E-18</v>
      </c>
      <c r="CN157" s="24">
        <f t="shared" si="172"/>
        <v>0.91774535514133904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-8.3355189417488869E-14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250.11765444522138</v>
      </c>
      <c r="CZ157" s="62">
        <f t="shared" si="150"/>
        <v>241.42920565698913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0.31281223990674945</v>
      </c>
      <c r="DH157" s="23">
        <f>EXP(-LN(2)/2)*DH156+(1-EXP(-LN(2)/2))/(LN(2)/2)*DB157*DE157*VLOOKUP('Données projet'!$B$13,Paramètres!$A$1:$I$89,3,0)*0.475*44/12</f>
        <v>1.0874983062743232E-17</v>
      </c>
      <c r="DI157" s="24">
        <f t="shared" si="175"/>
        <v>0.31281223990674945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419.0448820879102</v>
      </c>
      <c r="T158" s="62">
        <f t="shared" si="142"/>
        <v>553.33038335026379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1.2677241501459648</v>
      </c>
      <c r="AA158" s="23">
        <f>EXP(-LN(2)/25)*AA157+(1-EXP(-LN(2)/25))/(LN(2)/25)*Calculateur!V158*Calculateur!X158*VLOOKUP('Données projet'!$B$9,Paramètres!$A$1:$I$89,3,0)*0.475*44/12</f>
        <v>0.73365525795429865</v>
      </c>
      <c r="AB158" s="23">
        <f>EXP(-LN(2)/2)*AB157+(1-EXP(-LN(2)/2))/(LN(2)/2)*V158*Y158*VLOOKUP('Données projet'!$B$9,Paramètres!$A$1:$I$89,3,0)*0.475*44/12</f>
        <v>2.7484292164964244E-18</v>
      </c>
      <c r="AC158" s="24">
        <f t="shared" si="163"/>
        <v>2.0013794081002634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1.738044375088066E-13</v>
      </c>
      <c r="AK158" s="14">
        <f t="shared" si="164"/>
        <v>2.4483293633950478E-12</v>
      </c>
      <c r="AL158" s="22">
        <f t="shared" si="165"/>
        <v>4.566883036574213E-12</v>
      </c>
      <c r="AM158" s="62">
        <f t="shared" si="113"/>
        <v>287.24935502518423</v>
      </c>
      <c r="AN158" s="62">
        <f ca="1">AVERAGE(OFFSET($AM$3,0,0,'Données projet'!$E$10+1,1))-AVERAGE(OFFSET($H$3,0,0,'Données projet'!$E$10+1,1))</f>
        <v>341.62910675299065</v>
      </c>
      <c r="AO158" s="62">
        <f t="shared" si="144"/>
        <v>407.15938341104709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0.79942353698150059</v>
      </c>
      <c r="AW158" s="23">
        <f>EXP(-LN(2)/2)*AW157+(1-EXP(-LN(2)/2))/(LN(2)/2)*AQ158*AT158*VLOOKUP('Données projet'!$B$10,Paramètres!$A$1:$I$89,3,0)*0.475*44/12</f>
        <v>2.8007916588927237E-18</v>
      </c>
      <c r="AX158" s="23">
        <f t="shared" si="166"/>
        <v>0.79942353698150059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472.83070477639035</v>
      </c>
      <c r="BJ158" s="62">
        <f t="shared" si="146"/>
        <v>297.32483725004136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0.28532627030215796</v>
      </c>
      <c r="BR158" s="23">
        <f>EXP(-LN(2)/2)*BR157+(1-EXP(-LN(2)/2))/(LN(2)/2)*BL158*BO158*VLOOKUP('Données projet'!$B$11,Paramètres!$A$1:$I$89,3,0)*0.475*44/12</f>
        <v>2.286105930673295E-18</v>
      </c>
      <c r="BS158" s="24">
        <f t="shared" si="169"/>
        <v>0.28532627030215796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-1.7053025658242404E-13</v>
      </c>
      <c r="BZ158" s="14">
        <f>BY158*VLOOKUP('Données projet'!$B$12,Paramètres!$A$1:$I$89,3,0)*VLOOKUP('Données projet'!$B$12,Paramètres!$A$1:$I$89,5,0)</f>
        <v>-9.3109520094003535E-14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262.64209686767367</v>
      </c>
      <c r="CE158" s="62">
        <f t="shared" si="148"/>
        <v>381.0342365342517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0.4890452532157199</v>
      </c>
      <c r="CL158" s="23">
        <f>EXP(-LN(2)/25)*CL157+(1-EXP(-LN(2)/25))/(LN(2)/25)*Calculateur!CG158*Calculateur!CI158*VLOOKUP('Données projet'!$B$12,Paramètres!$A$1:$I$89,3,0)*0.475*44/12</f>
        <v>0.40746306383606978</v>
      </c>
      <c r="CM158" s="23">
        <f>EXP(-LN(2)/2)*CM157+(1-EXP(-LN(2)/2))/(LN(2)/2)*CG158*CJ158*VLOOKUP('Données projet'!$B$12,Paramètres!$A$1:$I$89,3,0)*0.475*44/12</f>
        <v>1.8969928241094481E-18</v>
      </c>
      <c r="CN158" s="24">
        <f t="shared" si="172"/>
        <v>0.89650831705178968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-8.3355189417488869E-14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250.11765444522138</v>
      </c>
      <c r="CZ158" s="62">
        <f t="shared" si="150"/>
        <v>241.42920565698913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0.30425837275641865</v>
      </c>
      <c r="DH158" s="23">
        <f>EXP(-LN(2)/2)*DH157+(1-EXP(-LN(2)/2))/(LN(2)/2)*DB158*DE158*VLOOKUP('Données projet'!$B$13,Paramètres!$A$1:$I$89,3,0)*0.475*44/12</f>
        <v>7.6897742689545892E-18</v>
      </c>
      <c r="DI158" s="24">
        <f t="shared" si="175"/>
        <v>0.30425837275641865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419.0448820879102</v>
      </c>
      <c r="T159" s="62">
        <f t="shared" si="142"/>
        <v>553.33038335026379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1.2428648527969834</v>
      </c>
      <c r="AA159" s="23">
        <f>EXP(-LN(2)/25)*AA158+(1-EXP(-LN(2)/25))/(LN(2)/25)*Calculateur!V159*Calculateur!X159*VLOOKUP('Données projet'!$B$9,Paramètres!$A$1:$I$89,3,0)*0.475*44/12</f>
        <v>0.71359341634428508</v>
      </c>
      <c r="AB159" s="23">
        <f>EXP(-LN(2)/2)*AB158+(1-EXP(-LN(2)/2))/(LN(2)/2)*V159*Y159*VLOOKUP('Données projet'!$B$9,Paramètres!$A$1:$I$89,3,0)*0.475*44/12</f>
        <v>1.9434329365958514E-18</v>
      </c>
      <c r="AC159" s="24">
        <f t="shared" si="163"/>
        <v>1.9564582691412684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1.738044375088066E-13</v>
      </c>
      <c r="AK159" s="14">
        <f t="shared" si="164"/>
        <v>2.4483293633950478E-12</v>
      </c>
      <c r="AL159" s="22">
        <f t="shared" si="165"/>
        <v>4.566883036574213E-12</v>
      </c>
      <c r="AM159" s="62">
        <f t="shared" si="113"/>
        <v>287.35489844709286</v>
      </c>
      <c r="AN159" s="62">
        <f ca="1">AVERAGE(OFFSET($AM$3,0,0,'Données projet'!$E$10+1,1))-AVERAGE(OFFSET($H$3,0,0,'Données projet'!$E$10+1,1))</f>
        <v>341.62910675299065</v>
      </c>
      <c r="AO159" s="62">
        <f t="shared" si="144"/>
        <v>407.15938341104709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0.77756325832288475</v>
      </c>
      <c r="AW159" s="23">
        <f>EXP(-LN(2)/2)*AW158+(1-EXP(-LN(2)/2))/(LN(2)/2)*AQ159*AT159*VLOOKUP('Données projet'!$B$10,Paramètres!$A$1:$I$89,3,0)*0.475*44/12</f>
        <v>1.9804587746937646E-18</v>
      </c>
      <c r="AX159" s="23">
        <f t="shared" si="166"/>
        <v>0.77756325832288475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472.83070477639035</v>
      </c>
      <c r="BJ159" s="62">
        <f t="shared" si="146"/>
        <v>297.32483725004136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0.27752400843608904</v>
      </c>
      <c r="BR159" s="23">
        <f>EXP(-LN(2)/2)*BR158+(1-EXP(-LN(2)/2))/(LN(2)/2)*BL159*BO159*VLOOKUP('Données projet'!$B$11,Paramètres!$A$1:$I$89,3,0)*0.475*44/12</f>
        <v>1.6165210060898702E-18</v>
      </c>
      <c r="BS159" s="24">
        <f t="shared" si="169"/>
        <v>0.27752400843608904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-1.7053025658242404E-13</v>
      </c>
      <c r="BZ159" s="14">
        <f>BY159*VLOOKUP('Données projet'!$B$12,Paramètres!$A$1:$I$89,3,0)*VLOOKUP('Données projet'!$B$12,Paramètres!$A$1:$I$89,5,0)</f>
        <v>-9.3109520094003535E-14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262.64209686767367</v>
      </c>
      <c r="CE159" s="62">
        <f t="shared" si="148"/>
        <v>381.0342365342517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0.47945537408831057</v>
      </c>
      <c r="CL159" s="23">
        <f>EXP(-LN(2)/25)*CL158+(1-EXP(-LN(2)/25))/(LN(2)/25)*Calculateur!CG159*Calculateur!CI159*VLOOKUP('Données projet'!$B$12,Paramètres!$A$1:$I$89,3,0)*0.475*44/12</f>
        <v>0.39632096492792118</v>
      </c>
      <c r="CM159" s="23">
        <f>EXP(-LN(2)/2)*CM158+(1-EXP(-LN(2)/2))/(LN(2)/2)*CG159*CJ159*VLOOKUP('Données projet'!$B$12,Paramètres!$A$1:$I$89,3,0)*0.475*44/12</f>
        <v>1.3413764897900103E-18</v>
      </c>
      <c r="CN159" s="24">
        <f t="shared" si="172"/>
        <v>0.87577633901623175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-8.3355189417488869E-14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250.11765444522138</v>
      </c>
      <c r="CZ159" s="62">
        <f t="shared" si="150"/>
        <v>241.42920565698913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0.29593841155314193</v>
      </c>
      <c r="DH159" s="23">
        <f>EXP(-LN(2)/2)*DH158+(1-EXP(-LN(2)/2))/(LN(2)/2)*DB159*DE159*VLOOKUP('Données projet'!$B$13,Paramètres!$A$1:$I$89,3,0)*0.475*44/12</f>
        <v>5.4374915313716162E-18</v>
      </c>
      <c r="DI159" s="24">
        <f t="shared" si="175"/>
        <v>0.29593841155314193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419.0448820879102</v>
      </c>
      <c r="T160" s="62">
        <f t="shared" si="142"/>
        <v>553.33038335026379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1.2184930311063413</v>
      </c>
      <c r="AA160" s="23">
        <f>EXP(-LN(2)/25)*AA159+(1-EXP(-LN(2)/25))/(LN(2)/25)*Calculateur!V160*Calculateur!X160*VLOOKUP('Données projet'!$B$9,Paramètres!$A$1:$I$89,3,0)*0.475*44/12</f>
        <v>0.69408016684810381</v>
      </c>
      <c r="AB160" s="23">
        <f>EXP(-LN(2)/2)*AB159+(1-EXP(-LN(2)/2))/(LN(2)/2)*V160*Y160*VLOOKUP('Données projet'!$B$9,Paramètres!$A$1:$I$89,3,0)*0.475*44/12</f>
        <v>1.3742146082482122E-18</v>
      </c>
      <c r="AC160" s="24">
        <f t="shared" si="163"/>
        <v>1.9125731979544451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1.738044375088066E-13</v>
      </c>
      <c r="AK160" s="14">
        <f t="shared" si="164"/>
        <v>2.4483293633950478E-12</v>
      </c>
      <c r="AL160" s="22">
        <f t="shared" si="165"/>
        <v>4.566883036574213E-12</v>
      </c>
      <c r="AM160" s="62">
        <f t="shared" si="113"/>
        <v>287.45861092659112</v>
      </c>
      <c r="AN160" s="62">
        <f ca="1">AVERAGE(OFFSET($AM$3,0,0,'Données projet'!$E$10+1,1))-AVERAGE(OFFSET($H$3,0,0,'Données projet'!$E$10+1,1))</f>
        <v>341.62910675299065</v>
      </c>
      <c r="AO160" s="62">
        <f t="shared" si="144"/>
        <v>407.15938341104709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0.75630075013377085</v>
      </c>
      <c r="AW160" s="23">
        <f>EXP(-LN(2)/2)*AW159+(1-EXP(-LN(2)/2))/(LN(2)/2)*AQ160*AT160*VLOOKUP('Données projet'!$B$10,Paramètres!$A$1:$I$89,3,0)*0.475*44/12</f>
        <v>1.4003958294463619E-18</v>
      </c>
      <c r="AX160" s="23">
        <f t="shared" si="166"/>
        <v>0.75630075013377085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472.83070477639035</v>
      </c>
      <c r="BJ160" s="62">
        <f t="shared" si="146"/>
        <v>297.32483725004136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0.26993509983105085</v>
      </c>
      <c r="BR160" s="23">
        <f>EXP(-LN(2)/2)*BR159+(1-EXP(-LN(2)/2))/(LN(2)/2)*BL160*BO160*VLOOKUP('Données projet'!$B$11,Paramètres!$A$1:$I$89,3,0)*0.475*44/12</f>
        <v>1.1430529653366475E-18</v>
      </c>
      <c r="BS160" s="24">
        <f t="shared" si="169"/>
        <v>0.26993509983105085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-1.7053025658242404E-13</v>
      </c>
      <c r="BZ160" s="14">
        <f>BY160*VLOOKUP('Données projet'!$B$12,Paramètres!$A$1:$I$89,3,0)*VLOOKUP('Données projet'!$B$12,Paramètres!$A$1:$I$89,5,0)</f>
        <v>-9.3109520094003535E-14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262.64209686767367</v>
      </c>
      <c r="CE160" s="62">
        <f t="shared" si="148"/>
        <v>381.0342365342517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0.47005354664134102</v>
      </c>
      <c r="CL160" s="23">
        <f>EXP(-LN(2)/25)*CL159+(1-EXP(-LN(2)/25))/(LN(2)/25)*Calculateur!CG160*Calculateur!CI160*VLOOKUP('Données projet'!$B$12,Paramètres!$A$1:$I$89,3,0)*0.475*44/12</f>
        <v>0.38548354730035345</v>
      </c>
      <c r="CM160" s="23">
        <f>EXP(-LN(2)/2)*CM159+(1-EXP(-LN(2)/2))/(LN(2)/2)*CG160*CJ160*VLOOKUP('Données projet'!$B$12,Paramètres!$A$1:$I$89,3,0)*0.475*44/12</f>
        <v>9.4849641205472403E-19</v>
      </c>
      <c r="CN160" s="24">
        <f t="shared" si="172"/>
        <v>0.85553709394169442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-8.3355189417488869E-14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250.11765444522138</v>
      </c>
      <c r="CZ160" s="62">
        <f t="shared" si="150"/>
        <v>241.42920565698913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0.2878459601264966</v>
      </c>
      <c r="DH160" s="23">
        <f>EXP(-LN(2)/2)*DH159+(1-EXP(-LN(2)/2))/(LN(2)/2)*DB160*DE160*VLOOKUP('Données projet'!$B$13,Paramètres!$A$1:$I$89,3,0)*0.475*44/12</f>
        <v>3.8448871344772946E-18</v>
      </c>
      <c r="DI160" s="24">
        <f t="shared" si="175"/>
        <v>0.2878459601264966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419.0448820879102</v>
      </c>
      <c r="T161" s="62">
        <f t="shared" si="142"/>
        <v>553.33038335026379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1.1945991259737092</v>
      </c>
      <c r="AA161" s="23">
        <f>EXP(-LN(2)/25)*AA160+(1-EXP(-LN(2)/25))/(LN(2)/25)*Calculateur!V161*Calculateur!X161*VLOOKUP('Données projet'!$B$9,Paramètres!$A$1:$I$89,3,0)*0.475*44/12</f>
        <v>0.67510050818555278</v>
      </c>
      <c r="AB161" s="23">
        <f>EXP(-LN(2)/2)*AB160+(1-EXP(-LN(2)/2))/(LN(2)/2)*V161*Y161*VLOOKUP('Données projet'!$B$9,Paramètres!$A$1:$I$89,3,0)*0.475*44/12</f>
        <v>9.7171646829792569E-19</v>
      </c>
      <c r="AC161" s="24">
        <f t="shared" si="163"/>
        <v>1.869699634159262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1.738044375088066E-13</v>
      </c>
      <c r="AK161" s="14">
        <f t="shared" si="164"/>
        <v>2.4483293633950478E-12</v>
      </c>
      <c r="AL161" s="22">
        <f t="shared" si="165"/>
        <v>4.566883036574213E-12</v>
      </c>
      <c r="AM161" s="62">
        <f t="shared" si="113"/>
        <v>287.56052422643654</v>
      </c>
      <c r="AN161" s="62">
        <f ca="1">AVERAGE(OFFSET($AM$3,0,0,'Données projet'!$E$10+1,1))-AVERAGE(OFFSET($H$3,0,0,'Données projet'!$E$10+1,1))</f>
        <v>341.62910675299065</v>
      </c>
      <c r="AO161" s="62">
        <f t="shared" si="144"/>
        <v>407.15938341104709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0.73561966634923504</v>
      </c>
      <c r="AW161" s="23">
        <f>EXP(-LN(2)/2)*AW160+(1-EXP(-LN(2)/2))/(LN(2)/2)*AQ161*AT161*VLOOKUP('Données projet'!$B$10,Paramètres!$A$1:$I$89,3,0)*0.475*44/12</f>
        <v>9.9022938734688231E-19</v>
      </c>
      <c r="AX161" s="23">
        <f t="shared" si="166"/>
        <v>0.73561966634923504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472.83070477639035</v>
      </c>
      <c r="BJ161" s="62">
        <f t="shared" si="146"/>
        <v>297.32483725004136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0.2625537103309008</v>
      </c>
      <c r="BR161" s="23">
        <f>EXP(-LN(2)/2)*BR160+(1-EXP(-LN(2)/2))/(LN(2)/2)*BL161*BO161*VLOOKUP('Données projet'!$B$11,Paramètres!$A$1:$I$89,3,0)*0.475*44/12</f>
        <v>8.082605030449351E-19</v>
      </c>
      <c r="BS161" s="24">
        <f t="shared" si="169"/>
        <v>0.2625537103309008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-1.7053025658242404E-13</v>
      </c>
      <c r="BZ161" s="14">
        <f>BY161*VLOOKUP('Données projet'!$B$12,Paramètres!$A$1:$I$89,3,0)*VLOOKUP('Données projet'!$B$12,Paramètres!$A$1:$I$89,5,0)</f>
        <v>-9.3109520094003535E-14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262.64209686767367</v>
      </c>
      <c r="CE161" s="62">
        <f t="shared" si="148"/>
        <v>381.0342365342517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0.46083608329605807</v>
      </c>
      <c r="CL161" s="23">
        <f>EXP(-LN(2)/25)*CL160+(1-EXP(-LN(2)/25))/(LN(2)/25)*Calculateur!CG161*Calculateur!CI161*VLOOKUP('Données projet'!$B$12,Paramètres!$A$1:$I$89,3,0)*0.475*44/12</f>
        <v>0.37494247942772657</v>
      </c>
      <c r="CM161" s="23">
        <f>EXP(-LN(2)/2)*CM160+(1-EXP(-LN(2)/2))/(LN(2)/2)*CG161*CJ161*VLOOKUP('Données projet'!$B$12,Paramètres!$A$1:$I$89,3,0)*0.475*44/12</f>
        <v>6.7068824489500517E-19</v>
      </c>
      <c r="CN161" s="24">
        <f t="shared" si="172"/>
        <v>0.83577856272378459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-8.3355189417488869E-14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250.11765444522138</v>
      </c>
      <c r="CZ161" s="62">
        <f t="shared" si="150"/>
        <v>241.42920565698913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0.27997479720967638</v>
      </c>
      <c r="DH161" s="23">
        <f>EXP(-LN(2)/2)*DH160+(1-EXP(-LN(2)/2))/(LN(2)/2)*DB161*DE161*VLOOKUP('Données projet'!$B$13,Paramètres!$A$1:$I$89,3,0)*0.475*44/12</f>
        <v>2.7187457656858081E-18</v>
      </c>
      <c r="DI161" s="24">
        <f t="shared" si="175"/>
        <v>0.27997479720967638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419.0448820879102</v>
      </c>
      <c r="T162" s="62">
        <f t="shared" si="142"/>
        <v>553.33038335026379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1.171173765746885</v>
      </c>
      <c r="AA162" s="23">
        <f>EXP(-LN(2)/25)*AA161+(1-EXP(-LN(2)/25))/(LN(2)/25)*Calculateur!V162*Calculateur!X162*VLOOKUP('Données projet'!$B$9,Paramètres!$A$1:$I$89,3,0)*0.475*44/12</f>
        <v>0.65663984928722607</v>
      </c>
      <c r="AB162" s="23">
        <f>EXP(-LN(2)/2)*AB161+(1-EXP(-LN(2)/2))/(LN(2)/2)*V162*Y162*VLOOKUP('Données projet'!$B$9,Paramètres!$A$1:$I$89,3,0)*0.475*44/12</f>
        <v>6.871073041241061E-19</v>
      </c>
      <c r="AC162" s="24">
        <f t="shared" si="163"/>
        <v>1.8278136150341111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1.738044375088066E-13</v>
      </c>
      <c r="AK162" s="14">
        <f t="shared" si="164"/>
        <v>2.4483293633950478E-12</v>
      </c>
      <c r="AL162" s="22">
        <f t="shared" si="165"/>
        <v>4.566883036574213E-12</v>
      </c>
      <c r="AM162" s="62">
        <f t="shared" si="113"/>
        <v>287.66066955837351</v>
      </c>
      <c r="AN162" s="62">
        <f ca="1">AVERAGE(OFFSET($AM$3,0,0,'Données projet'!$E$10+1,1))-AVERAGE(OFFSET($H$3,0,0,'Données projet'!$E$10+1,1))</f>
        <v>341.62910675299065</v>
      </c>
      <c r="AO162" s="62">
        <f t="shared" si="144"/>
        <v>407.15938341104709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0.71550410788835828</v>
      </c>
      <c r="AW162" s="23">
        <f>EXP(-LN(2)/2)*AW161+(1-EXP(-LN(2)/2))/(LN(2)/2)*AQ162*AT162*VLOOKUP('Données projet'!$B$10,Paramètres!$A$1:$I$89,3,0)*0.475*44/12</f>
        <v>7.0019791472318094E-19</v>
      </c>
      <c r="AX162" s="23">
        <f t="shared" si="166"/>
        <v>0.71550410788835828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472.83070477639035</v>
      </c>
      <c r="BJ162" s="62">
        <f t="shared" si="146"/>
        <v>297.32483725004136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0.25537416531480278</v>
      </c>
      <c r="BR162" s="23">
        <f>EXP(-LN(2)/2)*BR161+(1-EXP(-LN(2)/2))/(LN(2)/2)*BL162*BO162*VLOOKUP('Données projet'!$B$11,Paramètres!$A$1:$I$89,3,0)*0.475*44/12</f>
        <v>5.7152648266832375E-19</v>
      </c>
      <c r="BS162" s="24">
        <f t="shared" si="169"/>
        <v>0.25537416531480278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-1.7053025658242404E-13</v>
      </c>
      <c r="BZ162" s="14">
        <f>BY162*VLOOKUP('Données projet'!$B$12,Paramètres!$A$1:$I$89,3,0)*VLOOKUP('Données projet'!$B$12,Paramètres!$A$1:$I$89,5,0)</f>
        <v>-9.3109520094003535E-14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262.64209686767367</v>
      </c>
      <c r="CE162" s="62">
        <f t="shared" si="148"/>
        <v>381.0342365342517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0.45179936878487864</v>
      </c>
      <c r="CL162" s="23">
        <f>EXP(-LN(2)/25)*CL161+(1-EXP(-LN(2)/25))/(LN(2)/25)*Calculateur!CG162*Calculateur!CI162*VLOOKUP('Données projet'!$B$12,Paramètres!$A$1:$I$89,3,0)*0.475*44/12</f>
        <v>0.36468965761040734</v>
      </c>
      <c r="CM162" s="23">
        <f>EXP(-LN(2)/2)*CM161+(1-EXP(-LN(2)/2))/(LN(2)/2)*CG162*CJ162*VLOOKUP('Données projet'!$B$12,Paramètres!$A$1:$I$89,3,0)*0.475*44/12</f>
        <v>4.7424820602736202E-19</v>
      </c>
      <c r="CN162" s="24">
        <f t="shared" si="172"/>
        <v>0.81648902639528598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-8.3355189417488869E-14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250.11765444522138</v>
      </c>
      <c r="CZ162" s="62">
        <f t="shared" si="150"/>
        <v>241.42920565698913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0.27231887165674307</v>
      </c>
      <c r="DH162" s="23">
        <f>EXP(-LN(2)/2)*DH161+(1-EXP(-LN(2)/2))/(LN(2)/2)*DB162*DE162*VLOOKUP('Données projet'!$B$13,Paramètres!$A$1:$I$89,3,0)*0.475*44/12</f>
        <v>1.9224435672386473E-18</v>
      </c>
      <c r="DI162" s="24">
        <f t="shared" si="175"/>
        <v>0.27231887165674307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419.0448820879102</v>
      </c>
      <c r="T163" s="62">
        <f t="shared" si="142"/>
        <v>553.33038335026379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1.1482077625460501</v>
      </c>
      <c r="AA163" s="23">
        <f>EXP(-LN(2)/25)*AA162+(1-EXP(-LN(2)/25))/(LN(2)/25)*Calculateur!V163*Calculateur!X163*VLOOKUP('Données projet'!$B$9,Paramètres!$A$1:$I$89,3,0)*0.475*44/12</f>
        <v>0.63868399807727794</v>
      </c>
      <c r="AB163" s="23">
        <f>EXP(-LN(2)/2)*AB162+(1-EXP(-LN(2)/2))/(LN(2)/2)*V163*Y163*VLOOKUP('Données projet'!$B$9,Paramètres!$A$1:$I$89,3,0)*0.475*44/12</f>
        <v>4.8585823414896285E-19</v>
      </c>
      <c r="AC163" s="24">
        <f t="shared" si="163"/>
        <v>1.7868917606233281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1.738044375088066E-13</v>
      </c>
      <c r="AK163" s="14">
        <f t="shared" si="164"/>
        <v>2.4483293633950478E-12</v>
      </c>
      <c r="AL163" s="22">
        <f t="shared" si="165"/>
        <v>4.566883036574213E-12</v>
      </c>
      <c r="AM163" s="62">
        <f t="shared" si="113"/>
        <v>287.7590775926929</v>
      </c>
      <c r="AN163" s="62">
        <f ca="1">AVERAGE(OFFSET($AM$3,0,0,'Données projet'!$E$10+1,1))-AVERAGE(OFFSET($H$3,0,0,'Données projet'!$E$10+1,1))</f>
        <v>341.62910675299065</v>
      </c>
      <c r="AO163" s="62">
        <f t="shared" si="144"/>
        <v>407.15938341104709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0.69593861043142535</v>
      </c>
      <c r="AW163" s="23">
        <f>EXP(-LN(2)/2)*AW162+(1-EXP(-LN(2)/2))/(LN(2)/2)*AQ163*AT163*VLOOKUP('Données projet'!$B$10,Paramètres!$A$1:$I$89,3,0)*0.475*44/12</f>
        <v>4.9511469367344115E-19</v>
      </c>
      <c r="AX163" s="23">
        <f t="shared" si="166"/>
        <v>0.69593861043142535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472.83070477639035</v>
      </c>
      <c r="BJ163" s="62">
        <f t="shared" si="146"/>
        <v>297.32483725004136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0.2483909453347258</v>
      </c>
      <c r="BR163" s="23">
        <f>EXP(-LN(2)/2)*BR162+(1-EXP(-LN(2)/2))/(LN(2)/2)*BL163*BO163*VLOOKUP('Données projet'!$B$11,Paramètres!$A$1:$I$89,3,0)*0.475*44/12</f>
        <v>4.0413025152246755E-19</v>
      </c>
      <c r="BS163" s="24">
        <f t="shared" si="169"/>
        <v>0.2483909453347258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-1.7053025658242404E-13</v>
      </c>
      <c r="BZ163" s="14">
        <f>BY163*VLOOKUP('Données projet'!$B$12,Paramètres!$A$1:$I$89,3,0)*VLOOKUP('Données projet'!$B$12,Paramètres!$A$1:$I$89,5,0)</f>
        <v>-9.3109520094003535E-14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262.64209686767367</v>
      </c>
      <c r="CE163" s="62">
        <f t="shared" si="148"/>
        <v>381.0342365342517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0.4429398587334118</v>
      </c>
      <c r="CL163" s="23">
        <f>EXP(-LN(2)/25)*CL162+(1-EXP(-LN(2)/25))/(LN(2)/25)*Calculateur!CG163*Calculateur!CI163*VLOOKUP('Données projet'!$B$12,Paramètres!$A$1:$I$89,3,0)*0.475*44/12</f>
        <v>0.35471719974485516</v>
      </c>
      <c r="CM163" s="23">
        <f>EXP(-LN(2)/2)*CM162+(1-EXP(-LN(2)/2))/(LN(2)/2)*CG163*CJ163*VLOOKUP('Données projet'!$B$12,Paramètres!$A$1:$I$89,3,0)*0.475*44/12</f>
        <v>3.3534412244750259E-19</v>
      </c>
      <c r="CN163" s="24">
        <f t="shared" si="172"/>
        <v>0.79765705847826696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-8.3355189417488869E-14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250.11765444522138</v>
      </c>
      <c r="CZ163" s="62">
        <f t="shared" si="150"/>
        <v>241.42920565698913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0.26487229779066235</v>
      </c>
      <c r="DH163" s="23">
        <f>EXP(-LN(2)/2)*DH162+(1-EXP(-LN(2)/2))/(LN(2)/2)*DB163*DE163*VLOOKUP('Données projet'!$B$13,Paramètres!$A$1:$I$89,3,0)*0.475*44/12</f>
        <v>1.3593728828429041E-18</v>
      </c>
      <c r="DI163" s="24">
        <f t="shared" si="175"/>
        <v>0.26487229779066235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419.0448820879102</v>
      </c>
      <c r="T164" s="62">
        <f t="shared" si="142"/>
        <v>553.33038335026379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1.1256921086601046</v>
      </c>
      <c r="AA164" s="23">
        <f>EXP(-LN(2)/25)*AA163+(1-EXP(-LN(2)/25))/(LN(2)/25)*Calculateur!V164*Calculateur!X164*VLOOKUP('Données projet'!$B$9,Paramètres!$A$1:$I$89,3,0)*0.475*44/12</f>
        <v>0.62121915056292309</v>
      </c>
      <c r="AB164" s="23">
        <f>EXP(-LN(2)/2)*AB163+(1-EXP(-LN(2)/2))/(LN(2)/2)*V164*Y164*VLOOKUP('Données projet'!$B$9,Paramètres!$A$1:$I$89,3,0)*0.475*44/12</f>
        <v>3.4355365206205305E-19</v>
      </c>
      <c r="AC164" s="24">
        <f t="shared" si="163"/>
        <v>1.7469112592230278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1.738044375088066E-13</v>
      </c>
      <c r="AK164" s="14">
        <f t="shared" si="164"/>
        <v>2.4483293633950478E-12</v>
      </c>
      <c r="AL164" s="22">
        <f t="shared" si="165"/>
        <v>4.566883036574213E-12</v>
      </c>
      <c r="AM164" s="62">
        <f t="shared" si="113"/>
        <v>287.85577846762425</v>
      </c>
      <c r="AN164" s="62">
        <f ca="1">AVERAGE(OFFSET($AM$3,0,0,'Données projet'!$E$10+1,1))-AVERAGE(OFFSET($H$3,0,0,'Données projet'!$E$10+1,1))</f>
        <v>341.62910675299065</v>
      </c>
      <c r="AO164" s="62">
        <f t="shared" si="144"/>
        <v>407.15938341104709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0.67690813253135707</v>
      </c>
      <c r="AW164" s="23">
        <f>EXP(-LN(2)/2)*AW163+(1-EXP(-LN(2)/2))/(LN(2)/2)*AQ164*AT164*VLOOKUP('Données projet'!$B$10,Paramètres!$A$1:$I$89,3,0)*0.475*44/12</f>
        <v>3.5009895736159047E-19</v>
      </c>
      <c r="AX164" s="23">
        <f t="shared" si="166"/>
        <v>0.67690813253135707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472.83070477639035</v>
      </c>
      <c r="BJ164" s="62">
        <f t="shared" si="146"/>
        <v>297.32483725004136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0.24159868187223563</v>
      </c>
      <c r="BR164" s="23">
        <f>EXP(-LN(2)/2)*BR163+(1-EXP(-LN(2)/2))/(LN(2)/2)*BL164*BO164*VLOOKUP('Données projet'!$B$11,Paramètres!$A$1:$I$89,3,0)*0.475*44/12</f>
        <v>2.8576324133416187E-19</v>
      </c>
      <c r="BS164" s="24">
        <f t="shared" si="169"/>
        <v>0.24159868187223563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-1.7053025658242404E-13</v>
      </c>
      <c r="BZ164" s="14">
        <f>BY164*VLOOKUP('Données projet'!$B$12,Paramètres!$A$1:$I$89,3,0)*VLOOKUP('Données projet'!$B$12,Paramètres!$A$1:$I$89,5,0)</f>
        <v>-9.3109520094003535E-14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262.64209686767367</v>
      </c>
      <c r="CE164" s="62">
        <f t="shared" si="148"/>
        <v>381.0342365342517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0.43425407827028667</v>
      </c>
      <c r="CL164" s="23">
        <f>EXP(-LN(2)/25)*CL163+(1-EXP(-LN(2)/25))/(LN(2)/25)*Calculateur!CG164*Calculateur!CI164*VLOOKUP('Données projet'!$B$12,Paramètres!$A$1:$I$89,3,0)*0.475*44/12</f>
        <v>0.34501743926406531</v>
      </c>
      <c r="CM164" s="23">
        <f>EXP(-LN(2)/2)*CM163+(1-EXP(-LN(2)/2))/(LN(2)/2)*CG164*CJ164*VLOOKUP('Données projet'!$B$12,Paramètres!$A$1:$I$89,3,0)*0.475*44/12</f>
        <v>2.3712410301368101E-19</v>
      </c>
      <c r="CN164" s="24">
        <f t="shared" si="172"/>
        <v>0.77927151753435198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-8.3355189417488869E-14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250.11765444522138</v>
      </c>
      <c r="CZ164" s="62">
        <f t="shared" si="150"/>
        <v>241.42920565698913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0.25762935087854794</v>
      </c>
      <c r="DH164" s="23">
        <f>EXP(-LN(2)/2)*DH163+(1-EXP(-LN(2)/2))/(LN(2)/2)*DB164*DE164*VLOOKUP('Données projet'!$B$13,Paramètres!$A$1:$I$89,3,0)*0.475*44/12</f>
        <v>9.6122178361932365E-19</v>
      </c>
      <c r="DI164" s="24">
        <f t="shared" si="175"/>
        <v>0.25762935087854794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419.0448820879102</v>
      </c>
      <c r="T165" s="62">
        <f t="shared" si="142"/>
        <v>553.33038335026379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1.1036179730136697</v>
      </c>
      <c r="AA165" s="23">
        <f>EXP(-LN(2)/25)*AA164+(1-EXP(-LN(2)/25))/(LN(2)/25)*Calculateur!V165*Calculateur!X165*VLOOKUP('Données projet'!$B$9,Paramètres!$A$1:$I$89,3,0)*0.475*44/12</f>
        <v>0.60423188022228469</v>
      </c>
      <c r="AB165" s="23">
        <f>EXP(-LN(2)/2)*AB164+(1-EXP(-LN(2)/2))/(LN(2)/2)*V165*Y165*VLOOKUP('Données projet'!$B$9,Paramètres!$A$1:$I$89,3,0)*0.475*44/12</f>
        <v>2.4292911707448142E-19</v>
      </c>
      <c r="AC165" s="24">
        <f t="shared" si="163"/>
        <v>1.7078498532359543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1.738044375088066E-13</v>
      </c>
      <c r="AK165" s="14">
        <f t="shared" si="164"/>
        <v>2.4483293633950478E-12</v>
      </c>
      <c r="AL165" s="22">
        <f t="shared" si="165"/>
        <v>4.566883036574213E-12</v>
      </c>
      <c r="AM165" s="62">
        <f t="shared" si="113"/>
        <v>287.95080179856626</v>
      </c>
      <c r="AN165" s="62">
        <f ca="1">AVERAGE(OFFSET($AM$3,0,0,'Données projet'!$E$10+1,1))-AVERAGE(OFFSET($H$3,0,0,'Données projet'!$E$10+1,1))</f>
        <v>341.62910675299065</v>
      </c>
      <c r="AO165" s="62">
        <f t="shared" si="144"/>
        <v>407.15938341104709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0.6583980440502355</v>
      </c>
      <c r="AW165" s="23">
        <f>EXP(-LN(2)/2)*AW164+(1-EXP(-LN(2)/2))/(LN(2)/2)*AQ165*AT165*VLOOKUP('Données projet'!$B$10,Paramètres!$A$1:$I$89,3,0)*0.475*44/12</f>
        <v>2.4755734683672058E-19</v>
      </c>
      <c r="AX165" s="23">
        <f t="shared" si="166"/>
        <v>0.6583980440502355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472.83070477639035</v>
      </c>
      <c r="BJ165" s="62">
        <f t="shared" si="146"/>
        <v>297.32483725004136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0.23499215321131683</v>
      </c>
      <c r="BR165" s="23">
        <f>EXP(-LN(2)/2)*BR164+(1-EXP(-LN(2)/2))/(LN(2)/2)*BL165*BO165*VLOOKUP('Données projet'!$B$11,Paramètres!$A$1:$I$89,3,0)*0.475*44/12</f>
        <v>2.0206512576123377E-19</v>
      </c>
      <c r="BS165" s="24">
        <f t="shared" si="169"/>
        <v>0.23499215321131683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-1.7053025658242404E-13</v>
      </c>
      <c r="BZ165" s="14">
        <f>BY165*VLOOKUP('Données projet'!$B$12,Paramètres!$A$1:$I$89,3,0)*VLOOKUP('Données projet'!$B$12,Paramètres!$A$1:$I$89,5,0)</f>
        <v>-9.3109520094003535E-14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262.64209686767367</v>
      </c>
      <c r="CE165" s="62">
        <f t="shared" si="148"/>
        <v>381.0342365342517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0.42573862066424045</v>
      </c>
      <c r="CL165" s="23">
        <f>EXP(-LN(2)/25)*CL164+(1-EXP(-LN(2)/25))/(LN(2)/25)*Calculateur!CG165*Calculateur!CI165*VLOOKUP('Données projet'!$B$12,Paramètres!$A$1:$I$89,3,0)*0.475*44/12</f>
        <v>0.33558291924371086</v>
      </c>
      <c r="CM165" s="23">
        <f>EXP(-LN(2)/2)*CM164+(1-EXP(-LN(2)/2))/(LN(2)/2)*CG165*CJ165*VLOOKUP('Données projet'!$B$12,Paramètres!$A$1:$I$89,3,0)*0.475*44/12</f>
        <v>1.6767206122375129E-19</v>
      </c>
      <c r="CN165" s="24">
        <f t="shared" si="172"/>
        <v>0.76132153990795137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-8.3355189417488869E-14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250.11765444522138</v>
      </c>
      <c r="CZ165" s="62">
        <f t="shared" si="150"/>
        <v>241.42920565698913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0.25058446273063528</v>
      </c>
      <c r="DH165" s="23">
        <f>EXP(-LN(2)/2)*DH164+(1-EXP(-LN(2)/2))/(LN(2)/2)*DB165*DE165*VLOOKUP('Données projet'!$B$13,Paramètres!$A$1:$I$89,3,0)*0.475*44/12</f>
        <v>6.7968644142145203E-19</v>
      </c>
      <c r="DI165" s="24">
        <f t="shared" si="175"/>
        <v>0.25058446273063528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419.0448820879102</v>
      </c>
      <c r="T166" s="62">
        <f t="shared" si="142"/>
        <v>553.33038335026379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1.081976697703368</v>
      </c>
      <c r="AA166" s="23">
        <f>EXP(-LN(2)/25)*AA165+(1-EXP(-LN(2)/25))/(LN(2)/25)*Calculateur!V166*Calculateur!X166*VLOOKUP('Données projet'!$B$9,Paramètres!$A$1:$I$89,3,0)*0.475*44/12</f>
        <v>0.58770912768243277</v>
      </c>
      <c r="AB166" s="23">
        <f>EXP(-LN(2)/2)*AB165+(1-EXP(-LN(2)/2))/(LN(2)/2)*V166*Y166*VLOOKUP('Données projet'!$B$9,Paramètres!$A$1:$I$89,3,0)*0.475*44/12</f>
        <v>1.7177682603102652E-19</v>
      </c>
      <c r="AC166" s="24">
        <f t="shared" si="163"/>
        <v>1.6696858253858009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1.738044375088066E-13</v>
      </c>
      <c r="AK166" s="14">
        <f t="shared" si="164"/>
        <v>2.4483293633950478E-12</v>
      </c>
      <c r="AL166" s="22">
        <f t="shared" si="165"/>
        <v>4.566883036574213E-12</v>
      </c>
      <c r="AM166" s="62">
        <f t="shared" si="113"/>
        <v>288.04417668715678</v>
      </c>
      <c r="AN166" s="62">
        <f ca="1">AVERAGE(OFFSET($AM$3,0,0,'Données projet'!$E$10+1,1))-AVERAGE(OFFSET($H$3,0,0,'Données projet'!$E$10+1,1))</f>
        <v>341.62910675299065</v>
      </c>
      <c r="AO166" s="62">
        <f t="shared" si="144"/>
        <v>407.15938341104709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0.64039411491203346</v>
      </c>
      <c r="AW166" s="23">
        <f>EXP(-LN(2)/2)*AW165+(1-EXP(-LN(2)/2))/(LN(2)/2)*AQ166*AT166*VLOOKUP('Données projet'!$B$10,Paramètres!$A$1:$I$89,3,0)*0.475*44/12</f>
        <v>1.7504947868079523E-19</v>
      </c>
      <c r="AX166" s="23">
        <f t="shared" si="166"/>
        <v>0.64039411491203346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472.83070477639035</v>
      </c>
      <c r="BJ166" s="62">
        <f t="shared" si="146"/>
        <v>297.32483725004136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0.22856628042405311</v>
      </c>
      <c r="BR166" s="23">
        <f>EXP(-LN(2)/2)*BR165+(1-EXP(-LN(2)/2))/(LN(2)/2)*BL166*BO166*VLOOKUP('Données projet'!$B$11,Paramètres!$A$1:$I$89,3,0)*0.475*44/12</f>
        <v>1.4288162066708094E-19</v>
      </c>
      <c r="BS166" s="24">
        <f t="shared" si="169"/>
        <v>0.22856628042405311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-1.7053025658242404E-13</v>
      </c>
      <c r="BZ166" s="14">
        <f>BY166*VLOOKUP('Données projet'!$B$12,Paramètres!$A$1:$I$89,3,0)*VLOOKUP('Données projet'!$B$12,Paramètres!$A$1:$I$89,5,0)</f>
        <v>-9.3109520094003535E-14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262.64209686767367</v>
      </c>
      <c r="CE166" s="62">
        <f t="shared" si="148"/>
        <v>381.0342365342517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0.41739014598793256</v>
      </c>
      <c r="CL166" s="23">
        <f>EXP(-LN(2)/25)*CL165+(1-EXP(-LN(2)/25))/(LN(2)/25)*Calculateur!CG166*Calculateur!CI166*VLOOKUP('Données projet'!$B$12,Paramètres!$A$1:$I$89,3,0)*0.475*44/12</f>
        <v>0.32640638666945287</v>
      </c>
      <c r="CM166" s="23">
        <f>EXP(-LN(2)/2)*CM165+(1-EXP(-LN(2)/2))/(LN(2)/2)*CG166*CJ166*VLOOKUP('Données projet'!$B$12,Paramètres!$A$1:$I$89,3,0)*0.475*44/12</f>
        <v>1.185620515068405E-19</v>
      </c>
      <c r="CN166" s="24">
        <f t="shared" si="172"/>
        <v>0.74379653265738543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-8.3355189417488869E-14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250.11765444522138</v>
      </c>
      <c r="CZ166" s="62">
        <f t="shared" si="150"/>
        <v>241.42920565698913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0.24373221741960188</v>
      </c>
      <c r="DH166" s="23">
        <f>EXP(-LN(2)/2)*DH165+(1-EXP(-LN(2)/2))/(LN(2)/2)*DB166*DE166*VLOOKUP('Données projet'!$B$13,Paramètres!$A$1:$I$89,3,0)*0.475*44/12</f>
        <v>4.8061089180966182E-19</v>
      </c>
      <c r="DI166" s="24">
        <f t="shared" si="175"/>
        <v>0.24373221741960188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419.0448820879102</v>
      </c>
      <c r="T167" s="62">
        <f t="shared" si="142"/>
        <v>553.33038335026379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1.0607597946020269</v>
      </c>
      <c r="AA167" s="23">
        <f>EXP(-LN(2)/25)*AA166+(1-EXP(-LN(2)/25))/(LN(2)/25)*Calculateur!V167*Calculateur!X167*VLOOKUP('Données projet'!$B$9,Paramètres!$A$1:$I$89,3,0)*0.475*44/12</f>
        <v>0.57163819067967681</v>
      </c>
      <c r="AB167" s="23">
        <f>EXP(-LN(2)/2)*AB166+(1-EXP(-LN(2)/2))/(LN(2)/2)*V167*Y167*VLOOKUP('Données projet'!$B$9,Paramètres!$A$1:$I$89,3,0)*0.475*44/12</f>
        <v>1.2146455853724071E-19</v>
      </c>
      <c r="AC167" s="24">
        <f t="shared" si="163"/>
        <v>1.6323979852817037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1.738044375088066E-13</v>
      </c>
      <c r="AK167" s="14">
        <f t="shared" si="164"/>
        <v>2.4483293633950478E-12</v>
      </c>
      <c r="AL167" s="22">
        <f t="shared" si="165"/>
        <v>4.566883036574213E-12</v>
      </c>
      <c r="AM167" s="62">
        <f t="shared" si="113"/>
        <v>288.13593173018523</v>
      </c>
      <c r="AN167" s="62">
        <f ca="1">AVERAGE(OFFSET($AM$3,0,0,'Données projet'!$E$10+1,1))-AVERAGE(OFFSET($H$3,0,0,'Données projet'!$E$10+1,1))</f>
        <v>341.62910675299065</v>
      </c>
      <c r="AO167" s="62">
        <f t="shared" si="144"/>
        <v>407.15938341104709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0.62288250416290103</v>
      </c>
      <c r="AW167" s="23">
        <f>EXP(-LN(2)/2)*AW166+(1-EXP(-LN(2)/2))/(LN(2)/2)*AQ167*AT167*VLOOKUP('Données projet'!$B$10,Paramètres!$A$1:$I$89,3,0)*0.475*44/12</f>
        <v>1.2377867341836029E-19</v>
      </c>
      <c r="AX167" s="23">
        <f t="shared" si="166"/>
        <v>0.62288250416290103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472.83070477639035</v>
      </c>
      <c r="BJ167" s="62">
        <f t="shared" si="146"/>
        <v>297.32483725004136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0.2223161234660791</v>
      </c>
      <c r="BR167" s="23">
        <f>EXP(-LN(2)/2)*BR166+(1-EXP(-LN(2)/2))/(LN(2)/2)*BL167*BO167*VLOOKUP('Données projet'!$B$11,Paramètres!$A$1:$I$89,3,0)*0.475*44/12</f>
        <v>1.0103256288061689E-19</v>
      </c>
      <c r="BS167" s="24">
        <f t="shared" si="169"/>
        <v>0.2223161234660791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-1.7053025658242404E-13</v>
      </c>
      <c r="BZ167" s="14">
        <f>BY167*VLOOKUP('Données projet'!$B$12,Paramètres!$A$1:$I$89,3,0)*VLOOKUP('Données projet'!$B$12,Paramètres!$A$1:$I$89,5,0)</f>
        <v>-9.3109520094003535E-14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262.64209686767367</v>
      </c>
      <c r="CE167" s="62">
        <f t="shared" si="148"/>
        <v>381.0342365342517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0.40920537980796029</v>
      </c>
      <c r="CL167" s="23">
        <f>EXP(-LN(2)/25)*CL166+(1-EXP(-LN(2)/25))/(LN(2)/25)*Calculateur!CG167*Calculateur!CI167*VLOOKUP('Données projet'!$B$12,Paramètres!$A$1:$I$89,3,0)*0.475*44/12</f>
        <v>0.31748078686101083</v>
      </c>
      <c r="CM167" s="23">
        <f>EXP(-LN(2)/2)*CM166+(1-EXP(-LN(2)/2))/(LN(2)/2)*CG167*CJ167*VLOOKUP('Données projet'!$B$12,Paramètres!$A$1:$I$89,3,0)*0.475*44/12</f>
        <v>8.3836030611875647E-20</v>
      </c>
      <c r="CN167" s="24">
        <f t="shared" si="172"/>
        <v>0.72668616666897112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-8.3355189417488869E-14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250.11765444522138</v>
      </c>
      <c r="CZ167" s="62">
        <f t="shared" si="150"/>
        <v>241.42920565698913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0.23706734711694261</v>
      </c>
      <c r="DH167" s="23">
        <f>EXP(-LN(2)/2)*DH166+(1-EXP(-LN(2)/2))/(LN(2)/2)*DB167*DE167*VLOOKUP('Données projet'!$B$13,Paramètres!$A$1:$I$89,3,0)*0.475*44/12</f>
        <v>3.3984322071072601E-19</v>
      </c>
      <c r="DI167" s="24">
        <f t="shared" si="175"/>
        <v>0.23706734711694261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419.0448820879102</v>
      </c>
      <c r="T168" s="62">
        <f t="shared" si="142"/>
        <v>553.33038335026379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1.0399589420294699</v>
      </c>
      <c r="AA168" s="23">
        <f>EXP(-LN(2)/25)*AA167+(1-EXP(-LN(2)/25))/(LN(2)/25)*Calculateur!V168*Calculateur!X168*VLOOKUP('Données projet'!$B$9,Paramètres!$A$1:$I$89,3,0)*0.475*44/12</f>
        <v>0.55600671429439508</v>
      </c>
      <c r="AB168" s="23">
        <f>EXP(-LN(2)/2)*AB167+(1-EXP(-LN(2)/2))/(LN(2)/2)*V168*Y168*VLOOKUP('Données projet'!$B$9,Paramètres!$A$1:$I$89,3,0)*0.475*44/12</f>
        <v>8.5888413015513262E-20</v>
      </c>
      <c r="AC168" s="24">
        <f t="shared" si="163"/>
        <v>1.5959656563238651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1.738044375088066E-13</v>
      </c>
      <c r="AK168" s="14">
        <f t="shared" si="164"/>
        <v>2.4483293633950478E-12</v>
      </c>
      <c r="AL168" s="22">
        <f t="shared" si="165"/>
        <v>4.566883036574213E-12</v>
      </c>
      <c r="AM168" s="62">
        <f t="shared" si="113"/>
        <v>288.2260950283507</v>
      </c>
      <c r="AN168" s="62">
        <f ca="1">AVERAGE(OFFSET($AM$3,0,0,'Données projet'!$E$10+1,1))-AVERAGE(OFFSET($H$3,0,0,'Données projet'!$E$10+1,1))</f>
        <v>341.62910675299065</v>
      </c>
      <c r="AO168" s="62">
        <f t="shared" si="144"/>
        <v>407.15938341104709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0.60584974933059921</v>
      </c>
      <c r="AW168" s="23">
        <f>EXP(-LN(2)/2)*AW167+(1-EXP(-LN(2)/2))/(LN(2)/2)*AQ168*AT168*VLOOKUP('Données projet'!$B$10,Paramètres!$A$1:$I$89,3,0)*0.475*44/12</f>
        <v>8.7524739340397617E-20</v>
      </c>
      <c r="AX168" s="23">
        <f t="shared" si="166"/>
        <v>0.60584974933059921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472.83070477639035</v>
      </c>
      <c r="BJ168" s="62">
        <f t="shared" si="146"/>
        <v>297.32483725004136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0.21623687737880234</v>
      </c>
      <c r="BR168" s="23">
        <f>EXP(-LN(2)/2)*BR167+(1-EXP(-LN(2)/2))/(LN(2)/2)*BL168*BO168*VLOOKUP('Données projet'!$B$11,Paramètres!$A$1:$I$89,3,0)*0.475*44/12</f>
        <v>7.1440810333540468E-20</v>
      </c>
      <c r="BS168" s="24">
        <f t="shared" si="169"/>
        <v>0.21623687737880234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-1.7053025658242404E-13</v>
      </c>
      <c r="BZ168" s="14">
        <f>BY168*VLOOKUP('Données projet'!$B$12,Paramètres!$A$1:$I$89,3,0)*VLOOKUP('Données projet'!$B$12,Paramètres!$A$1:$I$89,5,0)</f>
        <v>-9.3109520094003535E-14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262.64209686767367</v>
      </c>
      <c r="CE168" s="62">
        <f t="shared" si="148"/>
        <v>381.0342365342517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0.40118111190056283</v>
      </c>
      <c r="CL168" s="23">
        <f>EXP(-LN(2)/25)*CL167+(1-EXP(-LN(2)/25))/(LN(2)/25)*Calculateur!CG168*Calculateur!CI168*VLOOKUP('Données projet'!$B$12,Paramètres!$A$1:$I$89,3,0)*0.475*44/12</f>
        <v>0.3087992580487075</v>
      </c>
      <c r="CM168" s="23">
        <f>EXP(-LN(2)/2)*CM167+(1-EXP(-LN(2)/2))/(LN(2)/2)*CG168*CJ168*VLOOKUP('Données projet'!$B$12,Paramètres!$A$1:$I$89,3,0)*0.475*44/12</f>
        <v>5.9281025753420252E-20</v>
      </c>
      <c r="CN168" s="24">
        <f t="shared" si="172"/>
        <v>0.70998036994927038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-8.3355189417488869E-14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250.11765444522138</v>
      </c>
      <c r="CZ168" s="62">
        <f t="shared" si="150"/>
        <v>241.42920565698913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0.23058472804319985</v>
      </c>
      <c r="DH168" s="23">
        <f>EXP(-LN(2)/2)*DH167+(1-EXP(-LN(2)/2))/(LN(2)/2)*DB168*DE168*VLOOKUP('Données projet'!$B$13,Paramètres!$A$1:$I$89,3,0)*0.475*44/12</f>
        <v>2.4030544590483091E-19</v>
      </c>
      <c r="DI168" s="24">
        <f t="shared" si="175"/>
        <v>0.23058472804319985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419.0448820879102</v>
      </c>
      <c r="T169" s="62">
        <f t="shared" si="142"/>
        <v>553.33038335026379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1.0195659814885936</v>
      </c>
      <c r="AA169" s="23">
        <f>EXP(-LN(2)/25)*AA168+(1-EXP(-LN(2)/25))/(LN(2)/25)*Calculateur!V169*Calculateur!X169*VLOOKUP('Données projet'!$B$9,Paramètres!$A$1:$I$89,3,0)*0.475*44/12</f>
        <v>0.54080268145289256</v>
      </c>
      <c r="AB169" s="23">
        <f>EXP(-LN(2)/2)*AB168+(1-EXP(-LN(2)/2))/(LN(2)/2)*V169*Y169*VLOOKUP('Données projet'!$B$9,Paramètres!$A$1:$I$89,3,0)*0.475*44/12</f>
        <v>6.0732279268620356E-20</v>
      </c>
      <c r="AC169" s="24">
        <f t="shared" si="163"/>
        <v>1.5603686629414861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1.738044375088066E-13</v>
      </c>
      <c r="AK169" s="14">
        <f t="shared" si="164"/>
        <v>2.4483293633950478E-12</v>
      </c>
      <c r="AL169" s="22">
        <f t="shared" si="165"/>
        <v>4.566883036574213E-12</v>
      </c>
      <c r="AM169" s="62">
        <f t="shared" si="113"/>
        <v>288.31469419486797</v>
      </c>
      <c r="AN169" s="62">
        <f ca="1">AVERAGE(OFFSET($AM$3,0,0,'Données projet'!$E$10+1,1))-AVERAGE(OFFSET($H$3,0,0,'Données projet'!$E$10+1,1))</f>
        <v>341.62910675299065</v>
      </c>
      <c r="AO169" s="62">
        <f t="shared" si="144"/>
        <v>407.15938341104709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0.58928275607490033</v>
      </c>
      <c r="AW169" s="23">
        <f>EXP(-LN(2)/2)*AW168+(1-EXP(-LN(2)/2))/(LN(2)/2)*AQ169*AT169*VLOOKUP('Données projet'!$B$10,Paramètres!$A$1:$I$89,3,0)*0.475*44/12</f>
        <v>6.1889336709180144E-20</v>
      </c>
      <c r="AX169" s="23">
        <f t="shared" si="166"/>
        <v>0.58928275607490033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472.83070477639035</v>
      </c>
      <c r="BJ169" s="62">
        <f t="shared" si="146"/>
        <v>297.32483725004136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0.21032386859547583</v>
      </c>
      <c r="BR169" s="23">
        <f>EXP(-LN(2)/2)*BR168+(1-EXP(-LN(2)/2))/(LN(2)/2)*BL169*BO169*VLOOKUP('Données projet'!$B$11,Paramètres!$A$1:$I$89,3,0)*0.475*44/12</f>
        <v>5.0516281440308444E-20</v>
      </c>
      <c r="BS169" s="24">
        <f t="shared" si="169"/>
        <v>0.21032386859547583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projet'!$B$12,Paramètres!$A$1:$I$89,3,0)*VLOOKUP('Données projet'!$B$12,Paramètres!$A$1:$I$89,5,0)</f>
        <v>-9.3109520094003535E-14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262.64209686767367</v>
      </c>
      <c r="CE169" s="62">
        <f t="shared" si="148"/>
        <v>381.0342365342517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0.3933141949925093</v>
      </c>
      <c r="CL169" s="23">
        <f>EXP(-LN(2)/25)*CL168+(1-EXP(-LN(2)/25))/(LN(2)/25)*Calculateur!CG169*Calculateur!CI169*VLOOKUP('Données projet'!$B$12,Paramètres!$A$1:$I$89,3,0)*0.475*44/12</f>
        <v>0.30035512609831838</v>
      </c>
      <c r="CM169" s="23">
        <f>EXP(-LN(2)/2)*CM168+(1-EXP(-LN(2)/2))/(LN(2)/2)*CG169*CJ169*VLOOKUP('Données projet'!$B$12,Paramètres!$A$1:$I$89,3,0)*0.475*44/12</f>
        <v>4.1918015305937823E-20</v>
      </c>
      <c r="CN169" s="24">
        <f t="shared" si="172"/>
        <v>0.69366932109082768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-8.3355189417488869E-14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250.11765444522138</v>
      </c>
      <c r="CZ169" s="62">
        <f t="shared" si="150"/>
        <v>241.42920565698913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0.2242793765289347</v>
      </c>
      <c r="DH169" s="23">
        <f>EXP(-LN(2)/2)*DH168+(1-EXP(-LN(2)/2))/(LN(2)/2)*DB169*DE169*VLOOKUP('Données projet'!$B$13,Paramètres!$A$1:$I$89,3,0)*0.475*44/12</f>
        <v>1.6992161035536301E-19</v>
      </c>
      <c r="DI169" s="24">
        <f t="shared" si="175"/>
        <v>0.2242793765289347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419.0448820879102</v>
      </c>
      <c r="T170" s="62">
        <f t="shared" si="142"/>
        <v>553.33038335026379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0.99957291446544605</v>
      </c>
      <c r="AA170" s="23">
        <f>EXP(-LN(2)/25)*AA169+(1-EXP(-LN(2)/25))/(LN(2)/25)*Calculateur!V170*Calculateur!X170*VLOOKUP('Données projet'!$B$9,Paramètres!$A$1:$I$89,3,0)*0.475*44/12</f>
        <v>0.52601440368898622</v>
      </c>
      <c r="AB170" s="23">
        <f>EXP(-LN(2)/2)*AB169+(1-EXP(-LN(2)/2))/(LN(2)/2)*V170*Y170*VLOOKUP('Données projet'!$B$9,Paramètres!$A$1:$I$89,3,0)*0.475*44/12</f>
        <v>4.2944206507756631E-20</v>
      </c>
      <c r="AC170" s="24">
        <f t="shared" si="163"/>
        <v>1.5255873181544324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1.738044375088066E-13</v>
      </c>
      <c r="AK170" s="14">
        <f t="shared" si="164"/>
        <v>2.4483293633950478E-12</v>
      </c>
      <c r="AL170" s="22">
        <f t="shared" si="165"/>
        <v>4.566883036574213E-12</v>
      </c>
      <c r="AM170" s="62">
        <f t="shared" si="113"/>
        <v>288.40175636392416</v>
      </c>
      <c r="AN170" s="62">
        <f ca="1">AVERAGE(OFFSET($AM$3,0,0,'Données projet'!$E$10+1,1))-AVERAGE(OFFSET($H$3,0,0,'Données projet'!$E$10+1,1))</f>
        <v>341.62910675299065</v>
      </c>
      <c r="AO170" s="62">
        <f t="shared" si="144"/>
        <v>407.15938341104709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0.57316878812099881</v>
      </c>
      <c r="AW170" s="23">
        <f>EXP(-LN(2)/2)*AW169+(1-EXP(-LN(2)/2))/(LN(2)/2)*AQ170*AT170*VLOOKUP('Données projet'!$B$10,Paramètres!$A$1:$I$89,3,0)*0.475*44/12</f>
        <v>4.3762369670198808E-20</v>
      </c>
      <c r="AX170" s="23">
        <f t="shared" si="166"/>
        <v>0.57316878812099881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472.83070477639035</v>
      </c>
      <c r="BJ170" s="62">
        <f t="shared" si="146"/>
        <v>297.32483725004136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0.20457255134828101</v>
      </c>
      <c r="BR170" s="23">
        <f>EXP(-LN(2)/2)*BR169+(1-EXP(-LN(2)/2))/(LN(2)/2)*BL170*BO170*VLOOKUP('Données projet'!$B$11,Paramètres!$A$1:$I$89,3,0)*0.475*44/12</f>
        <v>3.5720405166770234E-20</v>
      </c>
      <c r="BS170" s="24">
        <f t="shared" si="169"/>
        <v>0.20457255134828101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projet'!$B$12,Paramètres!$A$1:$I$89,3,0)*VLOOKUP('Données projet'!$B$12,Paramètres!$A$1:$I$89,5,0)</f>
        <v>-9.3109520094003535E-14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262.64209686767367</v>
      </c>
      <c r="CE170" s="62">
        <f t="shared" si="148"/>
        <v>381.0342365342517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0.38560154352667719</v>
      </c>
      <c r="CL170" s="23">
        <f>EXP(-LN(2)/25)*CL169+(1-EXP(-LN(2)/25))/(LN(2)/25)*Calculateur!CG170*Calculateur!CI170*VLOOKUP('Données projet'!$B$12,Paramètres!$A$1:$I$89,3,0)*0.475*44/12</f>
        <v>0.29214189938017027</v>
      </c>
      <c r="CM170" s="23">
        <f>EXP(-LN(2)/2)*CM169+(1-EXP(-LN(2)/2))/(LN(2)/2)*CG170*CJ170*VLOOKUP('Données projet'!$B$12,Paramètres!$A$1:$I$89,3,0)*0.475*44/12</f>
        <v>2.9640512876710126E-20</v>
      </c>
      <c r="CN170" s="24">
        <f t="shared" si="172"/>
        <v>0.6777434429068474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-8.3355189417488869E-14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250.11765444522138</v>
      </c>
      <c r="CZ170" s="62">
        <f t="shared" si="150"/>
        <v>241.42920565698913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0.21814644518341117</v>
      </c>
      <c r="DH170" s="23">
        <f>EXP(-LN(2)/2)*DH169+(1-EXP(-LN(2)/2))/(LN(2)/2)*DB170*DE170*VLOOKUP('Données projet'!$B$13,Paramètres!$A$1:$I$89,3,0)*0.475*44/12</f>
        <v>1.2015272295241546E-19</v>
      </c>
      <c r="DI170" s="24">
        <f t="shared" si="175"/>
        <v>0.21814644518341117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419.0448820879102</v>
      </c>
      <c r="T171" s="62">
        <f t="shared" si="142"/>
        <v>553.33038335026379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0.97997189929205564</v>
      </c>
      <c r="AA171" s="23">
        <f>EXP(-LN(2)/25)*AA170+(1-EXP(-LN(2)/25))/(LN(2)/25)*Calculateur!V171*Calculateur!X171*VLOOKUP('Données projet'!$B$9,Paramètres!$A$1:$I$89,3,0)*0.475*44/12</f>
        <v>0.51163051215821564</v>
      </c>
      <c r="AB171" s="23">
        <f>EXP(-LN(2)/2)*AB170+(1-EXP(-LN(2)/2))/(LN(2)/2)*V171*Y171*VLOOKUP('Données projet'!$B$9,Paramètres!$A$1:$I$89,3,0)*0.475*44/12</f>
        <v>3.0366139634310178E-20</v>
      </c>
      <c r="AC171" s="24">
        <f t="shared" si="163"/>
        <v>1.4916024114502713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1.738044375088066E-13</v>
      </c>
      <c r="AK171" s="14">
        <f t="shared" si="164"/>
        <v>2.4483293633950478E-12</v>
      </c>
      <c r="AL171" s="22">
        <f t="shared" si="165"/>
        <v>4.566883036574213E-12</v>
      </c>
      <c r="AM171" s="62">
        <f t="shared" si="113"/>
        <v>288.48730819898907</v>
      </c>
      <c r="AN171" s="62">
        <f ca="1">AVERAGE(OFFSET($AM$3,0,0,'Données projet'!$E$10+1,1))-AVERAGE(OFFSET($H$3,0,0,'Données projet'!$E$10+1,1))</f>
        <v>341.62910675299065</v>
      </c>
      <c r="AO171" s="62">
        <f t="shared" si="144"/>
        <v>407.15938341104709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0.55749545746819351</v>
      </c>
      <c r="AW171" s="23">
        <f>EXP(-LN(2)/2)*AW170+(1-EXP(-LN(2)/2))/(LN(2)/2)*AQ171*AT171*VLOOKUP('Données projet'!$B$10,Paramètres!$A$1:$I$89,3,0)*0.475*44/12</f>
        <v>3.0944668354590072E-20</v>
      </c>
      <c r="AX171" s="23">
        <f t="shared" si="166"/>
        <v>0.55749545746819351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472.83070477639035</v>
      </c>
      <c r="BJ171" s="62">
        <f t="shared" si="146"/>
        <v>297.32483725004136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0.19897850417365934</v>
      </c>
      <c r="BR171" s="23">
        <f>EXP(-LN(2)/2)*BR170+(1-EXP(-LN(2)/2))/(LN(2)/2)*BL171*BO171*VLOOKUP('Données projet'!$B$11,Paramètres!$A$1:$I$89,3,0)*0.475*44/12</f>
        <v>2.5258140720154222E-20</v>
      </c>
      <c r="BS171" s="24">
        <f t="shared" si="169"/>
        <v>0.19897850417365934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projet'!$B$12,Paramètres!$A$1:$I$89,3,0)*VLOOKUP('Données projet'!$B$12,Paramètres!$A$1:$I$89,5,0)</f>
        <v>-9.3109520094003535E-14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262.64209686767367</v>
      </c>
      <c r="CE171" s="62">
        <f t="shared" si="148"/>
        <v>381.0342365342517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0.37804013245183715</v>
      </c>
      <c r="CL171" s="23">
        <f>EXP(-LN(2)/25)*CL170+(1-EXP(-LN(2)/25))/(LN(2)/25)*Calculateur!CG171*Calculateur!CI171*VLOOKUP('Données projet'!$B$12,Paramètres!$A$1:$I$89,3,0)*0.475*44/12</f>
        <v>0.28415326377854472</v>
      </c>
      <c r="CM171" s="23">
        <f>EXP(-LN(2)/2)*CM170+(1-EXP(-LN(2)/2))/(LN(2)/2)*CG171*CJ171*VLOOKUP('Données projet'!$B$12,Paramètres!$A$1:$I$89,3,0)*0.475*44/12</f>
        <v>2.0959007652968912E-20</v>
      </c>
      <c r="CN171" s="24">
        <f t="shared" si="172"/>
        <v>0.66219339623038187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-8.3355189417488869E-14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250.11765444522138</v>
      </c>
      <c r="CZ171" s="62">
        <f t="shared" si="150"/>
        <v>241.42920565698913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0.21218121916804783</v>
      </c>
      <c r="DH171" s="23">
        <f>EXP(-LN(2)/2)*DH170+(1-EXP(-LN(2)/2))/(LN(2)/2)*DB171*DE171*VLOOKUP('Données projet'!$B$13,Paramètres!$A$1:$I$89,3,0)*0.475*44/12</f>
        <v>8.4960805177681503E-20</v>
      </c>
      <c r="DI171" s="24">
        <f t="shared" si="175"/>
        <v>0.21218121916804783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419.0448820879102</v>
      </c>
      <c r="T172" s="62">
        <f t="shared" si="142"/>
        <v>553.33038335026379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0.96075524807077661</v>
      </c>
      <c r="AA172" s="23">
        <f>EXP(-LN(2)/25)*AA171+(1-EXP(-LN(2)/25))/(LN(2)/25)*Calculateur!V172*Calculateur!X172*VLOOKUP('Données projet'!$B$9,Paramètres!$A$1:$I$89,3,0)*0.475*44/12</f>
        <v>0.49763994889776997</v>
      </c>
      <c r="AB172" s="23">
        <f>EXP(-LN(2)/2)*AB171+(1-EXP(-LN(2)/2))/(LN(2)/2)*V172*Y172*VLOOKUP('Données projet'!$B$9,Paramètres!$A$1:$I$89,3,0)*0.475*44/12</f>
        <v>2.1472103253878316E-20</v>
      </c>
      <c r="AC172" s="24">
        <f t="shared" si="163"/>
        <v>1.4583951969685467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1.738044375088066E-13</v>
      </c>
      <c r="AK172" s="14">
        <f t="shared" si="164"/>
        <v>2.4483293633950478E-12</v>
      </c>
      <c r="AL172" s="22">
        <f t="shared" si="165"/>
        <v>4.566883036574213E-12</v>
      </c>
      <c r="AM172" s="62">
        <f t="shared" si="113"/>
        <v>288.57137590098097</v>
      </c>
      <c r="AN172" s="62">
        <f ca="1">AVERAGE(OFFSET($AM$3,0,0,'Données projet'!$E$10+1,1))-AVERAGE(OFFSET($H$3,0,0,'Données projet'!$E$10+1,1))</f>
        <v>341.62910675299065</v>
      </c>
      <c r="AO172" s="62">
        <f t="shared" si="144"/>
        <v>407.15938341104709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0.54225071486631382</v>
      </c>
      <c r="AW172" s="23">
        <f>EXP(-LN(2)/2)*AW171+(1-EXP(-LN(2)/2))/(LN(2)/2)*AQ172*AT172*VLOOKUP('Données projet'!$B$10,Paramètres!$A$1:$I$89,3,0)*0.475*44/12</f>
        <v>2.1881184835099404E-20</v>
      </c>
      <c r="AX172" s="23">
        <f t="shared" si="166"/>
        <v>0.54225071486631382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472.83070477639035</v>
      </c>
      <c r="BJ172" s="62">
        <f t="shared" si="146"/>
        <v>297.32483725004136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0.19353742651320585</v>
      </c>
      <c r="BR172" s="23">
        <f>EXP(-LN(2)/2)*BR171+(1-EXP(-LN(2)/2))/(LN(2)/2)*BL172*BO172*VLOOKUP('Données projet'!$B$11,Paramètres!$A$1:$I$89,3,0)*0.475*44/12</f>
        <v>1.7860202583385117E-20</v>
      </c>
      <c r="BS172" s="24">
        <f t="shared" si="169"/>
        <v>0.19353742651320585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projet'!$B$12,Paramètres!$A$1:$I$89,3,0)*VLOOKUP('Données projet'!$B$12,Paramètres!$A$1:$I$89,5,0)</f>
        <v>-9.3109520094003535E-14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262.64209686767367</v>
      </c>
      <c r="CE172" s="62">
        <f t="shared" si="148"/>
        <v>381.0342365342517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0.37062699603616939</v>
      </c>
      <c r="CL172" s="23">
        <f>EXP(-LN(2)/25)*CL171+(1-EXP(-LN(2)/25))/(LN(2)/25)*Calculateur!CG172*Calculateur!CI172*VLOOKUP('Données projet'!$B$12,Paramètres!$A$1:$I$89,3,0)*0.475*44/12</f>
        <v>0.27638307783754973</v>
      </c>
      <c r="CM172" s="23">
        <f>EXP(-LN(2)/2)*CM171+(1-EXP(-LN(2)/2))/(LN(2)/2)*CG172*CJ172*VLOOKUP('Données projet'!$B$12,Paramètres!$A$1:$I$89,3,0)*0.475*44/12</f>
        <v>1.4820256438355063E-20</v>
      </c>
      <c r="CN172" s="24">
        <f t="shared" si="172"/>
        <v>0.64701007387371912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-8.3355189417488869E-14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250.11765444522138</v>
      </c>
      <c r="CZ172" s="62">
        <f t="shared" si="150"/>
        <v>241.42920565698913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0.20637911257177219</v>
      </c>
      <c r="DH172" s="23">
        <f>EXP(-LN(2)/2)*DH171+(1-EXP(-LN(2)/2))/(LN(2)/2)*DB172*DE172*VLOOKUP('Données projet'!$B$13,Paramètres!$A$1:$I$89,3,0)*0.475*44/12</f>
        <v>6.0076361476207728E-20</v>
      </c>
      <c r="DI172" s="24">
        <f t="shared" si="175"/>
        <v>0.20637911257177219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419.0448820879102</v>
      </c>
      <c r="T173" s="62">
        <f t="shared" si="142"/>
        <v>553.33038335026379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0.94191542365894698</v>
      </c>
      <c r="AA173" s="23">
        <f>EXP(-LN(2)/25)*AA172+(1-EXP(-LN(2)/25))/(LN(2)/25)*Calculateur!V173*Calculateur!X173*VLOOKUP('Données projet'!$B$9,Paramètres!$A$1:$I$89,3,0)*0.475*44/12</f>
        <v>0.4840319583254129</v>
      </c>
      <c r="AB173" s="23">
        <f>EXP(-LN(2)/2)*AB172+(1-EXP(-LN(2)/2))/(LN(2)/2)*V173*Y173*VLOOKUP('Données projet'!$B$9,Paramètres!$A$1:$I$89,3,0)*0.475*44/12</f>
        <v>1.5183069817155089E-20</v>
      </c>
      <c r="AC173" s="24">
        <f t="shared" si="163"/>
        <v>1.42594738198436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1.738044375088066E-13</v>
      </c>
      <c r="AK173" s="14">
        <f t="shared" si="164"/>
        <v>2.4483293633950478E-12</v>
      </c>
      <c r="AL173" s="22">
        <f t="shared" si="165"/>
        <v>4.566883036574213E-12</v>
      </c>
      <c r="AM173" s="62">
        <f t="shared" si="113"/>
        <v>288.65398521629044</v>
      </c>
      <c r="AN173" s="62">
        <f ca="1">AVERAGE(OFFSET($AM$3,0,0,'Données projet'!$E$10+1,1))-AVERAGE(OFFSET($H$3,0,0,'Données projet'!$E$10+1,1))</f>
        <v>341.62910675299065</v>
      </c>
      <c r="AO173" s="62">
        <f t="shared" si="144"/>
        <v>407.15938341104709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0.52742284055256872</v>
      </c>
      <c r="AW173" s="23">
        <f>EXP(-LN(2)/2)*AW172+(1-EXP(-LN(2)/2))/(LN(2)/2)*AQ173*AT173*VLOOKUP('Données projet'!$B$10,Paramètres!$A$1:$I$89,3,0)*0.475*44/12</f>
        <v>1.5472334177295036E-20</v>
      </c>
      <c r="AX173" s="23">
        <f t="shared" si="166"/>
        <v>0.52742284055256872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472.83070477639035</v>
      </c>
      <c r="BJ173" s="62">
        <f t="shared" si="146"/>
        <v>297.32483725004136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0.18824513540751131</v>
      </c>
      <c r="BR173" s="23">
        <f>EXP(-LN(2)/2)*BR172+(1-EXP(-LN(2)/2))/(LN(2)/2)*BL173*BO173*VLOOKUP('Données projet'!$B$11,Paramètres!$A$1:$I$89,3,0)*0.475*44/12</f>
        <v>1.2629070360077111E-20</v>
      </c>
      <c r="BS173" s="24">
        <f t="shared" si="169"/>
        <v>0.18824513540751131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projet'!$B$12,Paramètres!$A$1:$I$89,3,0)*VLOOKUP('Données projet'!$B$12,Paramètres!$A$1:$I$89,5,0)</f>
        <v>-9.3109520094003535E-14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262.64209686767367</v>
      </c>
      <c r="CE173" s="62">
        <f t="shared" si="148"/>
        <v>381.0342365342517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0.36335922670404608</v>
      </c>
      <c r="CL173" s="23">
        <f>EXP(-LN(2)/25)*CL172+(1-EXP(-LN(2)/25))/(LN(2)/25)*Calculateur!CG173*Calculateur!CI173*VLOOKUP('Données projet'!$B$12,Paramètres!$A$1:$I$89,3,0)*0.475*44/12</f>
        <v>0.26882536803972756</v>
      </c>
      <c r="CM173" s="23">
        <f>EXP(-LN(2)/2)*CM172+(1-EXP(-LN(2)/2))/(LN(2)/2)*CG173*CJ173*VLOOKUP('Données projet'!$B$12,Paramètres!$A$1:$I$89,3,0)*0.475*44/12</f>
        <v>1.0479503826484456E-20</v>
      </c>
      <c r="CN173" s="24">
        <f t="shared" si="172"/>
        <v>0.63218459474377364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-8.3355189417488869E-14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250.11765444522138</v>
      </c>
      <c r="CZ173" s="62">
        <f t="shared" si="150"/>
        <v>241.42920565698913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0.20073566488549124</v>
      </c>
      <c r="DH173" s="23">
        <f>EXP(-LN(2)/2)*DH172+(1-EXP(-LN(2)/2))/(LN(2)/2)*DB173*DE173*VLOOKUP('Données projet'!$B$13,Paramètres!$A$1:$I$89,3,0)*0.475*44/12</f>
        <v>4.2480402588840752E-20</v>
      </c>
      <c r="DI173" s="24">
        <f t="shared" si="175"/>
        <v>0.20073566488549124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419.0448820879102</v>
      </c>
      <c r="T174" s="62">
        <f t="shared" si="142"/>
        <v>553.33038335026379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0.92344503671267519</v>
      </c>
      <c r="AA174" s="23">
        <f>EXP(-LN(2)/25)*AA173+(1-EXP(-LN(2)/25))/(LN(2)/25)*Calculateur!V174*Calculateur!X174*VLOOKUP('Données projet'!$B$9,Paramètres!$A$1:$I$89,3,0)*0.475*44/12</f>
        <v>0.47079607897087006</v>
      </c>
      <c r="AB174" s="23">
        <f>EXP(-LN(2)/2)*AB173+(1-EXP(-LN(2)/2))/(LN(2)/2)*V174*Y174*VLOOKUP('Données projet'!$B$9,Paramètres!$A$1:$I$89,3,0)*0.475*44/12</f>
        <v>1.0736051626939158E-20</v>
      </c>
      <c r="AC174" s="24">
        <f t="shared" si="163"/>
        <v>1.3942411156835453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1.738044375088066E-13</v>
      </c>
      <c r="AK174" s="14">
        <f t="shared" si="164"/>
        <v>2.4483293633950478E-12</v>
      </c>
      <c r="AL174" s="22">
        <f t="shared" si="165"/>
        <v>4.566883036574213E-12</v>
      </c>
      <c r="AM174" s="62">
        <f t="shared" si="113"/>
        <v>288.73516144466606</v>
      </c>
      <c r="AN174" s="62">
        <f ca="1">AVERAGE(OFFSET($AM$3,0,0,'Données projet'!$E$10+1,1))-AVERAGE(OFFSET($H$3,0,0,'Données projet'!$E$10+1,1))</f>
        <v>341.62910675299065</v>
      </c>
      <c r="AO174" s="62">
        <f t="shared" si="144"/>
        <v>407.15938341104709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0.51300043524169703</v>
      </c>
      <c r="AW174" s="23">
        <f>EXP(-LN(2)/2)*AW173+(1-EXP(-LN(2)/2))/(LN(2)/2)*AQ174*AT174*VLOOKUP('Données projet'!$B$10,Paramètres!$A$1:$I$89,3,0)*0.475*44/12</f>
        <v>1.0940592417549702E-20</v>
      </c>
      <c r="AX174" s="23">
        <f t="shared" si="166"/>
        <v>0.51300043524169703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472.83070477639035</v>
      </c>
      <c r="BJ174" s="62">
        <f t="shared" si="146"/>
        <v>297.32483725004136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0.18309756228041149</v>
      </c>
      <c r="BR174" s="23">
        <f>EXP(-LN(2)/2)*BR173+(1-EXP(-LN(2)/2))/(LN(2)/2)*BL174*BO174*VLOOKUP('Données projet'!$B$11,Paramètres!$A$1:$I$89,3,0)*0.475*44/12</f>
        <v>8.9301012916925585E-21</v>
      </c>
      <c r="BS174" s="24">
        <f t="shared" si="169"/>
        <v>0.18309756228041149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projet'!$B$12,Paramètres!$A$1:$I$89,3,0)*VLOOKUP('Données projet'!$B$12,Paramètres!$A$1:$I$89,5,0)</f>
        <v>-9.3109520094003535E-14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262.64209686767367</v>
      </c>
      <c r="CE174" s="62">
        <f t="shared" si="148"/>
        <v>381.0342365342517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0.35623397389562417</v>
      </c>
      <c r="CL174" s="23">
        <f>EXP(-LN(2)/25)*CL173+(1-EXP(-LN(2)/25))/(LN(2)/25)*Calculateur!CG174*Calculateur!CI174*VLOOKUP('Données projet'!$B$12,Paramètres!$A$1:$I$89,3,0)*0.475*44/12</f>
        <v>0.26147432421376954</v>
      </c>
      <c r="CM174" s="23">
        <f>EXP(-LN(2)/2)*CM173+(1-EXP(-LN(2)/2))/(LN(2)/2)*CG174*CJ174*VLOOKUP('Données projet'!$B$12,Paramètres!$A$1:$I$89,3,0)*0.475*44/12</f>
        <v>7.4101282191775315E-21</v>
      </c>
      <c r="CN174" s="24">
        <f t="shared" si="172"/>
        <v>0.61770829810939376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-8.3355189417488869E-14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250.11765444522138</v>
      </c>
      <c r="CZ174" s="62">
        <f t="shared" si="150"/>
        <v>241.42920565698913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0.19524653757296764</v>
      </c>
      <c r="DH174" s="23">
        <f>EXP(-LN(2)/2)*DH173+(1-EXP(-LN(2)/2))/(LN(2)/2)*DB174*DE174*VLOOKUP('Données projet'!$B$13,Paramètres!$A$1:$I$89,3,0)*0.475*44/12</f>
        <v>3.0038180738103864E-20</v>
      </c>
      <c r="DI174" s="24">
        <f t="shared" si="175"/>
        <v>0.19524653757296764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419.0448820879102</v>
      </c>
      <c r="T175" s="62">
        <f t="shared" si="142"/>
        <v>553.33038335026379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0.90533684278859616</v>
      </c>
      <c r="AA175" s="23">
        <f>EXP(-LN(2)/25)*AA174+(1-EXP(-LN(2)/25))/(LN(2)/25)*Calculateur!V175*Calculateur!X175*VLOOKUP('Données projet'!$B$9,Paramètres!$A$1:$I$89,3,0)*0.475*44/12</f>
        <v>0.45792213543332183</v>
      </c>
      <c r="AB175" s="23">
        <f>EXP(-LN(2)/2)*AB174+(1-EXP(-LN(2)/2))/(LN(2)/2)*V175*Y175*VLOOKUP('Données projet'!$B$9,Paramètres!$A$1:$I$89,3,0)*0.475*44/12</f>
        <v>7.5915349085775445E-21</v>
      </c>
      <c r="AC175" s="24">
        <f t="shared" si="163"/>
        <v>1.363258978221918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1.738044375088066E-13</v>
      </c>
      <c r="AK175" s="14">
        <f t="shared" si="164"/>
        <v>2.4483293633950478E-12</v>
      </c>
      <c r="AL175" s="22">
        <f t="shared" si="165"/>
        <v>4.566883036574213E-12</v>
      </c>
      <c r="AM175" s="62">
        <f t="shared" si="113"/>
        <v>288.8149294469622</v>
      </c>
      <c r="AN175" s="62">
        <f ca="1">AVERAGE(OFFSET($AM$3,0,0,'Données projet'!$E$10+1,1))-AVERAGE(OFFSET($H$3,0,0,'Données projet'!$E$10+1,1))</f>
        <v>341.62910675299065</v>
      </c>
      <c r="AO175" s="62">
        <f t="shared" si="144"/>
        <v>407.15938341104709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0.49897241136249243</v>
      </c>
      <c r="AW175" s="23">
        <f>EXP(-LN(2)/2)*AW174+(1-EXP(-LN(2)/2))/(LN(2)/2)*AQ175*AT175*VLOOKUP('Données projet'!$B$10,Paramètres!$A$1:$I$89,3,0)*0.475*44/12</f>
        <v>7.736167088647518E-21</v>
      </c>
      <c r="AX175" s="23">
        <f t="shared" si="166"/>
        <v>0.49897241136249243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472.83070477639035</v>
      </c>
      <c r="BJ175" s="62">
        <f t="shared" si="146"/>
        <v>297.32483725004136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0.17809074981117132</v>
      </c>
      <c r="BR175" s="23">
        <f>EXP(-LN(2)/2)*BR174+(1-EXP(-LN(2)/2))/(LN(2)/2)*BL175*BO175*VLOOKUP('Données projet'!$B$11,Paramètres!$A$1:$I$89,3,0)*0.475*44/12</f>
        <v>6.3145351800385555E-21</v>
      </c>
      <c r="BS175" s="24">
        <f t="shared" si="169"/>
        <v>0.17809074981117132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projet'!$B$12,Paramètres!$A$1:$I$89,3,0)*VLOOKUP('Données projet'!$B$12,Paramètres!$A$1:$I$89,5,0)</f>
        <v>-9.3109520094003535E-14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262.64209686767367</v>
      </c>
      <c r="CE175" s="62">
        <f t="shared" si="148"/>
        <v>381.0342365342517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0.34924844294880031</v>
      </c>
      <c r="CL175" s="23">
        <f>EXP(-LN(2)/25)*CL174+(1-EXP(-LN(2)/25))/(LN(2)/25)*Calculateur!CG175*Calculateur!CI175*VLOOKUP('Données projet'!$B$12,Paramètres!$A$1:$I$89,3,0)*0.475*44/12</f>
        <v>0.2543242950678069</v>
      </c>
      <c r="CM175" s="23">
        <f>EXP(-LN(2)/2)*CM174+(1-EXP(-LN(2)/2))/(LN(2)/2)*CG175*CJ175*VLOOKUP('Données projet'!$B$12,Paramètres!$A$1:$I$89,3,0)*0.475*44/12</f>
        <v>5.2397519132422279E-21</v>
      </c>
      <c r="CN175" s="24">
        <f t="shared" si="172"/>
        <v>0.60357273801660716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-8.3355189417488869E-14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250.11765444522138</v>
      </c>
      <c r="CZ175" s="62">
        <f t="shared" si="150"/>
        <v>241.42920565698913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0.18990751073546566</v>
      </c>
      <c r="DH175" s="23">
        <f>EXP(-LN(2)/2)*DH174+(1-EXP(-LN(2)/2))/(LN(2)/2)*DB175*DE175*VLOOKUP('Données projet'!$B$13,Paramètres!$A$1:$I$89,3,0)*0.475*44/12</f>
        <v>2.1240201294420376E-20</v>
      </c>
      <c r="DI175" s="24">
        <f t="shared" si="175"/>
        <v>0.18990751073546566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419.0448820879102</v>
      </c>
      <c r="T176" s="62">
        <f t="shared" si="142"/>
        <v>553.33038335026379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0.88758373950246061</v>
      </c>
      <c r="AA176" s="23">
        <f>EXP(-LN(2)/25)*AA175+(1-EXP(-LN(2)/25))/(LN(2)/25)*Calculateur!V176*Calculateur!X176*VLOOKUP('Données projet'!$B$9,Paramètres!$A$1:$I$89,3,0)*0.475*44/12</f>
        <v>0.44540023055881917</v>
      </c>
      <c r="AB176" s="23">
        <f>EXP(-LN(2)/2)*AB175+(1-EXP(-LN(2)/2))/(LN(2)/2)*V176*Y176*VLOOKUP('Données projet'!$B$9,Paramètres!$A$1:$I$89,3,0)*0.475*44/12</f>
        <v>5.3680258134695789E-21</v>
      </c>
      <c r="AC176" s="24">
        <f t="shared" si="163"/>
        <v>1.3329839700612798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1.738044375088066E-13</v>
      </c>
      <c r="AK176" s="14">
        <f t="shared" si="164"/>
        <v>2.4483293633950478E-12</v>
      </c>
      <c r="AL176" s="22">
        <f t="shared" si="165"/>
        <v>4.566883036574213E-12</v>
      </c>
      <c r="AM176" s="62">
        <f t="shared" si="113"/>
        <v>288.89331365275302</v>
      </c>
      <c r="AN176" s="62">
        <f ca="1">AVERAGE(OFFSET($AM$3,0,0,'Données projet'!$E$10+1,1))-AVERAGE(OFFSET($H$3,0,0,'Données projet'!$E$10+1,1))</f>
        <v>341.62910675299065</v>
      </c>
      <c r="AO176" s="62">
        <f t="shared" si="144"/>
        <v>407.15938341104709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0.48532798453396636</v>
      </c>
      <c r="AW176" s="23">
        <f>EXP(-LN(2)/2)*AW175+(1-EXP(-LN(2)/2))/(LN(2)/2)*AQ176*AT176*VLOOKUP('Données projet'!$B$10,Paramètres!$A$1:$I$89,3,0)*0.475*44/12</f>
        <v>5.4702962087748511E-21</v>
      </c>
      <c r="AX176" s="23">
        <f t="shared" si="166"/>
        <v>0.48532798453396636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472.83070477639035</v>
      </c>
      <c r="BJ176" s="62">
        <f t="shared" si="146"/>
        <v>297.32483725004136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0.17322084889219933</v>
      </c>
      <c r="BR176" s="23">
        <f>EXP(-LN(2)/2)*BR175+(1-EXP(-LN(2)/2))/(LN(2)/2)*BL176*BO176*VLOOKUP('Données projet'!$B$11,Paramètres!$A$1:$I$89,3,0)*0.475*44/12</f>
        <v>4.4650506458462793E-21</v>
      </c>
      <c r="BS176" s="24">
        <f t="shared" si="169"/>
        <v>0.17322084889219933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projet'!$B$12,Paramètres!$A$1:$I$89,3,0)*VLOOKUP('Données projet'!$B$12,Paramètres!$A$1:$I$89,5,0)</f>
        <v>-9.3109520094003535E-14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262.64209686767367</v>
      </c>
      <c r="CE176" s="62">
        <f t="shared" si="148"/>
        <v>381.0342365342517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0.34239989400309051</v>
      </c>
      <c r="CL176" s="23">
        <f>EXP(-LN(2)/25)*CL175+(1-EXP(-LN(2)/25))/(LN(2)/25)*Calculateur!CG176*Calculateur!CI176*VLOOKUP('Données projet'!$B$12,Paramètres!$A$1:$I$89,3,0)*0.475*44/12</f>
        <v>0.24736978384484432</v>
      </c>
      <c r="CM176" s="23">
        <f>EXP(-LN(2)/2)*CM175+(1-EXP(-LN(2)/2))/(LN(2)/2)*CG176*CJ176*VLOOKUP('Données projet'!$B$12,Paramètres!$A$1:$I$89,3,0)*0.475*44/12</f>
        <v>3.7050641095887657E-21</v>
      </c>
      <c r="CN176" s="24">
        <f t="shared" si="172"/>
        <v>0.58976967784793488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-8.3355189417488869E-14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250.11765444522138</v>
      </c>
      <c r="CZ176" s="62">
        <f t="shared" si="150"/>
        <v>241.42920565698913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0.18471447986760239</v>
      </c>
      <c r="DH176" s="23">
        <f>EXP(-LN(2)/2)*DH175+(1-EXP(-LN(2)/2))/(LN(2)/2)*DB176*DE176*VLOOKUP('Données projet'!$B$13,Paramètres!$A$1:$I$89,3,0)*0.475*44/12</f>
        <v>1.5019090369051932E-20</v>
      </c>
      <c r="DI176" s="24">
        <f t="shared" si="175"/>
        <v>0.18471447986760239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419.0448820879102</v>
      </c>
      <c r="T177" s="62">
        <f t="shared" si="142"/>
        <v>553.33038335026379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0.87017876374344238</v>
      </c>
      <c r="AA177" s="23">
        <f>EXP(-LN(2)/25)*AA176+(1-EXP(-LN(2)/25))/(LN(2)/25)*Calculateur!V177*Calculateur!X177*VLOOKUP('Données projet'!$B$9,Paramètres!$A$1:$I$89,3,0)*0.475*44/12</f>
        <v>0.43322073783160808</v>
      </c>
      <c r="AB177" s="23">
        <f>EXP(-LN(2)/2)*AB176+(1-EXP(-LN(2)/2))/(LN(2)/2)*V177*Y177*VLOOKUP('Données projet'!$B$9,Paramètres!$A$1:$I$89,3,0)*0.475*44/12</f>
        <v>3.7957674542887722E-21</v>
      </c>
      <c r="AC177" s="24">
        <f t="shared" si="163"/>
        <v>1.3033995015750506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1.738044375088066E-13</v>
      </c>
      <c r="AK177" s="14">
        <f t="shared" si="164"/>
        <v>2.4483293633950478E-12</v>
      </c>
      <c r="AL177" s="22">
        <f t="shared" si="165"/>
        <v>4.566883036574213E-12</v>
      </c>
      <c r="AM177" s="62">
        <f t="shared" si="113"/>
        <v>288.97033806781428</v>
      </c>
      <c r="AN177" s="62">
        <f ca="1">AVERAGE(OFFSET($AM$3,0,0,'Données projet'!$E$10+1,1))-AVERAGE(OFFSET($H$3,0,0,'Données projet'!$E$10+1,1))</f>
        <v>341.62910675299065</v>
      </c>
      <c r="AO177" s="62">
        <f t="shared" si="144"/>
        <v>407.15938341104709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0.47205666527459555</v>
      </c>
      <c r="AW177" s="23">
        <f>EXP(-LN(2)/2)*AW176+(1-EXP(-LN(2)/2))/(LN(2)/2)*AQ177*AT177*VLOOKUP('Données projet'!$B$10,Paramètres!$A$1:$I$89,3,0)*0.475*44/12</f>
        <v>3.868083544323759E-21</v>
      </c>
      <c r="AX177" s="23">
        <f t="shared" si="166"/>
        <v>0.47205666527459555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472.83070477639035</v>
      </c>
      <c r="BJ177" s="62">
        <f t="shared" si="146"/>
        <v>297.32483725004136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0.16848411566995358</v>
      </c>
      <c r="BR177" s="23">
        <f>EXP(-LN(2)/2)*BR176+(1-EXP(-LN(2)/2))/(LN(2)/2)*BL177*BO177*VLOOKUP('Données projet'!$B$11,Paramètres!$A$1:$I$89,3,0)*0.475*44/12</f>
        <v>3.1572675900192777E-21</v>
      </c>
      <c r="BS177" s="24">
        <f t="shared" si="169"/>
        <v>0.16848411566995358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projet'!$B$12,Paramètres!$A$1:$I$89,3,0)*VLOOKUP('Données projet'!$B$12,Paramètres!$A$1:$I$89,5,0)</f>
        <v>-9.3109520094003535E-14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262.64209686767367</v>
      </c>
      <c r="CE177" s="62">
        <f t="shared" si="148"/>
        <v>381.0342365342517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0.33568564092500369</v>
      </c>
      <c r="CL177" s="23">
        <f>EXP(-LN(2)/25)*CL176+(1-EXP(-LN(2)/25))/(LN(2)/25)*Calculateur!CG177*Calculateur!CI177*VLOOKUP('Données projet'!$B$12,Paramètres!$A$1:$I$89,3,0)*0.475*44/12</f>
        <v>0.2406054440969955</v>
      </c>
      <c r="CM177" s="23">
        <f>EXP(-LN(2)/2)*CM176+(1-EXP(-LN(2)/2))/(LN(2)/2)*CG177*CJ177*VLOOKUP('Données projet'!$B$12,Paramètres!$A$1:$I$89,3,0)*0.475*44/12</f>
        <v>2.619875956621114E-21</v>
      </c>
      <c r="CN177" s="24">
        <f t="shared" si="172"/>
        <v>0.57629108502199922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-8.3355189417488869E-14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250.11765444522138</v>
      </c>
      <c r="CZ177" s="62">
        <f t="shared" si="150"/>
        <v>241.42920565698913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0.17966345270191048</v>
      </c>
      <c r="DH177" s="23">
        <f>EXP(-LN(2)/2)*DH176+(1-EXP(-LN(2)/2))/(LN(2)/2)*DB177*DE177*VLOOKUP('Données projet'!$B$13,Paramètres!$A$1:$I$89,3,0)*0.475*44/12</f>
        <v>1.0620100647210188E-20</v>
      </c>
      <c r="DI177" s="24">
        <f t="shared" si="175"/>
        <v>0.17966345270191048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419.0448820879102</v>
      </c>
      <c r="T178" s="62">
        <f t="shared" si="142"/>
        <v>553.33038335026379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0.85311508894307153</v>
      </c>
      <c r="AA178" s="23">
        <f>EXP(-LN(2)/25)*AA177+(1-EXP(-LN(2)/25))/(LN(2)/25)*Calculateur!V178*Calculateur!X178*VLOOKUP('Données projet'!$B$9,Paramètres!$A$1:$I$89,3,0)*0.475*44/12</f>
        <v>0.42137429397351428</v>
      </c>
      <c r="AB178" s="23">
        <f>EXP(-LN(2)/2)*AB177+(1-EXP(-LN(2)/2))/(LN(2)/2)*V178*Y178*VLOOKUP('Données projet'!$B$9,Paramètres!$A$1:$I$89,3,0)*0.475*44/12</f>
        <v>2.6840129067347894E-21</v>
      </c>
      <c r="AC178" s="24">
        <f t="shared" si="163"/>
        <v>1.2744893829165858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1.738044375088066E-13</v>
      </c>
      <c r="AK178" s="14">
        <f t="shared" si="164"/>
        <v>2.4483293633950478E-12</v>
      </c>
      <c r="AL178" s="22">
        <f t="shared" si="165"/>
        <v>4.566883036574213E-12</v>
      </c>
      <c r="AM178" s="62">
        <f t="shared" si="113"/>
        <v>289.04602628147495</v>
      </c>
      <c r="AN178" s="62">
        <f ca="1">AVERAGE(OFFSET($AM$3,0,0,'Données projet'!$E$10+1,1))-AVERAGE(OFFSET($H$3,0,0,'Données projet'!$E$10+1,1))</f>
        <v>341.62910675299065</v>
      </c>
      <c r="AO178" s="62">
        <f t="shared" si="144"/>
        <v>407.15938341104709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0.4591482509382806</v>
      </c>
      <c r="AW178" s="23">
        <f>EXP(-LN(2)/2)*AW177+(1-EXP(-LN(2)/2))/(LN(2)/2)*AQ178*AT178*VLOOKUP('Données projet'!$B$10,Paramètres!$A$1:$I$89,3,0)*0.475*44/12</f>
        <v>2.7351481043874255E-21</v>
      </c>
      <c r="AX178" s="23">
        <f t="shared" si="166"/>
        <v>0.4591482509382806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472.83070477639035</v>
      </c>
      <c r="BJ178" s="62">
        <f t="shared" si="146"/>
        <v>297.32483725004136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0.16387690866676413</v>
      </c>
      <c r="BR178" s="23">
        <f>EXP(-LN(2)/2)*BR177+(1-EXP(-LN(2)/2))/(LN(2)/2)*BL178*BO178*VLOOKUP('Données projet'!$B$11,Paramètres!$A$1:$I$89,3,0)*0.475*44/12</f>
        <v>2.2325253229231396E-21</v>
      </c>
      <c r="BS178" s="24">
        <f t="shared" si="169"/>
        <v>0.16387690866676413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projet'!$B$12,Paramètres!$A$1:$I$89,3,0)*VLOOKUP('Données projet'!$B$12,Paramètres!$A$1:$I$89,5,0)</f>
        <v>-9.3109520094003535E-14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262.64209686767367</v>
      </c>
      <c r="CE178" s="62">
        <f t="shared" si="148"/>
        <v>381.0342365342517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0.32910305025448816</v>
      </c>
      <c r="CL178" s="23">
        <f>EXP(-LN(2)/25)*CL177+(1-EXP(-LN(2)/25))/(LN(2)/25)*Calculateur!CG178*Calculateur!CI178*VLOOKUP('Données projet'!$B$12,Paramètres!$A$1:$I$89,3,0)*0.475*44/12</f>
        <v>0.23402607557527277</v>
      </c>
      <c r="CM178" s="23">
        <f>EXP(-LN(2)/2)*CM177+(1-EXP(-LN(2)/2))/(LN(2)/2)*CG178*CJ178*VLOOKUP('Données projet'!$B$12,Paramètres!$A$1:$I$89,3,0)*0.475*44/12</f>
        <v>1.8525320547943829E-21</v>
      </c>
      <c r="CN178" s="24">
        <f t="shared" si="172"/>
        <v>0.56312912582976093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-8.3355189417488869E-14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250.11765444522138</v>
      </c>
      <c r="CZ178" s="62">
        <f t="shared" si="150"/>
        <v>241.42920565698913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0.17475054613968638</v>
      </c>
      <c r="DH178" s="23">
        <f>EXP(-LN(2)/2)*DH177+(1-EXP(-LN(2)/2))/(LN(2)/2)*DB178*DE178*VLOOKUP('Données projet'!$B$13,Paramètres!$A$1:$I$89,3,0)*0.475*44/12</f>
        <v>7.509545184525966E-21</v>
      </c>
      <c r="DI178" s="24">
        <f t="shared" si="175"/>
        <v>0.17475054613968638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419.0448820879102</v>
      </c>
      <c r="T179" s="62">
        <f t="shared" si="142"/>
        <v>553.33038335026379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0.83638602239772197</v>
      </c>
      <c r="AA179" s="23">
        <f>EXP(-LN(2)/25)*AA178+(1-EXP(-LN(2)/25))/(LN(2)/25)*Calculateur!V179*Calculateur!X179*VLOOKUP('Données projet'!$B$9,Paramètres!$A$1:$I$89,3,0)*0.475*44/12</f>
        <v>0.40985179174569747</v>
      </c>
      <c r="AB179" s="23">
        <f>EXP(-LN(2)/2)*AB178+(1-EXP(-LN(2)/2))/(LN(2)/2)*V179*Y179*VLOOKUP('Données projet'!$B$9,Paramètres!$A$1:$I$89,3,0)*0.475*44/12</f>
        <v>1.8978837271443861E-21</v>
      </c>
      <c r="AC179" s="24">
        <f t="shared" si="163"/>
        <v>1.2462378141434194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1.738044375088066E-13</v>
      </c>
      <c r="AK179" s="14">
        <f t="shared" si="164"/>
        <v>2.4483293633950478E-12</v>
      </c>
      <c r="AL179" s="22">
        <f t="shared" si="165"/>
        <v>4.566883036574213E-12</v>
      </c>
      <c r="AM179" s="62">
        <f t="shared" si="113"/>
        <v>289.12040147384215</v>
      </c>
      <c r="AN179" s="62">
        <f ca="1">AVERAGE(OFFSET($AM$3,0,0,'Données projet'!$E$10+1,1))-AVERAGE(OFFSET($H$3,0,0,'Données projet'!$E$10+1,1))</f>
        <v>341.62910675299065</v>
      </c>
      <c r="AO179" s="62">
        <f t="shared" si="144"/>
        <v>407.15938341104709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0.44659281787081617</v>
      </c>
      <c r="AW179" s="23">
        <f>EXP(-LN(2)/2)*AW178+(1-EXP(-LN(2)/2))/(LN(2)/2)*AQ179*AT179*VLOOKUP('Données projet'!$B$10,Paramètres!$A$1:$I$89,3,0)*0.475*44/12</f>
        <v>1.9340417721618795E-21</v>
      </c>
      <c r="AX179" s="23">
        <f t="shared" si="166"/>
        <v>0.44659281787081617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472.83070477639035</v>
      </c>
      <c r="BJ179" s="62">
        <f t="shared" si="146"/>
        <v>297.32483725004136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0.15939568598135939</v>
      </c>
      <c r="BR179" s="23">
        <f>EXP(-LN(2)/2)*BR178+(1-EXP(-LN(2)/2))/(LN(2)/2)*BL179*BO179*VLOOKUP('Données projet'!$B$11,Paramètres!$A$1:$I$89,3,0)*0.475*44/12</f>
        <v>1.5786337950096389E-21</v>
      </c>
      <c r="BS179" s="24">
        <f t="shared" si="169"/>
        <v>0.15939568598135939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projet'!$B$12,Paramètres!$A$1:$I$89,3,0)*VLOOKUP('Données projet'!$B$12,Paramètres!$A$1:$I$89,5,0)</f>
        <v>-9.3109520094003535E-14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262.64209686767367</v>
      </c>
      <c r="CE179" s="62">
        <f t="shared" si="148"/>
        <v>381.0342365342517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0.32264954017203756</v>
      </c>
      <c r="CL179" s="23">
        <f>EXP(-LN(2)/25)*CL178+(1-EXP(-LN(2)/25))/(LN(2)/25)*Calculateur!CG179*Calculateur!CI179*VLOOKUP('Données projet'!$B$12,Paramètres!$A$1:$I$89,3,0)*0.475*44/12</f>
        <v>0.22762662023177049</v>
      </c>
      <c r="CM179" s="23">
        <f>EXP(-LN(2)/2)*CM178+(1-EXP(-LN(2)/2))/(LN(2)/2)*CG179*CJ179*VLOOKUP('Données projet'!$B$12,Paramètres!$A$1:$I$89,3,0)*0.475*44/12</f>
        <v>1.309937978310557E-21</v>
      </c>
      <c r="CN179" s="24">
        <f t="shared" si="172"/>
        <v>0.550276160403808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-8.3355189417488869E-14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250.11765444522138</v>
      </c>
      <c r="CZ179" s="62">
        <f t="shared" si="150"/>
        <v>241.42920565698913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0.16997198326576482</v>
      </c>
      <c r="DH179" s="23">
        <f>EXP(-LN(2)/2)*DH178+(1-EXP(-LN(2)/2))/(LN(2)/2)*DB179*DE179*VLOOKUP('Données projet'!$B$13,Paramètres!$A$1:$I$89,3,0)*0.475*44/12</f>
        <v>5.310050323605094E-21</v>
      </c>
      <c r="DI179" s="24">
        <f t="shared" si="175"/>
        <v>0.16997198326576482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419.0448820879102</v>
      </c>
      <c r="T180" s="62">
        <f t="shared" si="142"/>
        <v>553.33038335026379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0.81998500264360363</v>
      </c>
      <c r="AA180" s="23">
        <f>EXP(-LN(2)/25)*AA179+(1-EXP(-LN(2)/25))/(LN(2)/25)*Calculateur!V180*Calculateur!X180*VLOOKUP('Données projet'!$B$9,Paramètres!$A$1:$I$89,3,0)*0.475*44/12</f>
        <v>0.39864437294724236</v>
      </c>
      <c r="AB180" s="23">
        <f>EXP(-LN(2)/2)*AB179+(1-EXP(-LN(2)/2))/(LN(2)/2)*V180*Y180*VLOOKUP('Données projet'!$B$9,Paramètres!$A$1:$I$89,3,0)*0.475*44/12</f>
        <v>1.3420064533673947E-21</v>
      </c>
      <c r="AC180" s="24">
        <f t="shared" si="163"/>
        <v>1.2186293755908459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1.738044375088066E-13</v>
      </c>
      <c r="AK180" s="14">
        <f t="shared" si="164"/>
        <v>2.4483293633950478E-12</v>
      </c>
      <c r="AL180" s="22">
        <f t="shared" si="165"/>
        <v>4.566883036574213E-12</v>
      </c>
      <c r="AM180" s="62">
        <f t="shared" si="113"/>
        <v>289.19348642289981</v>
      </c>
      <c r="AN180" s="62">
        <f ca="1">AVERAGE(OFFSET($AM$3,0,0,'Données projet'!$E$10+1,1))-AVERAGE(OFFSET($H$3,0,0,'Données projet'!$E$10+1,1))</f>
        <v>341.62910675299065</v>
      </c>
      <c r="AO180" s="62">
        <f t="shared" si="144"/>
        <v>407.15938341104709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0.43438071378084309</v>
      </c>
      <c r="AW180" s="23">
        <f>EXP(-LN(2)/2)*AW179+(1-EXP(-LN(2)/2))/(LN(2)/2)*AQ180*AT180*VLOOKUP('Données projet'!$B$10,Paramètres!$A$1:$I$89,3,0)*0.475*44/12</f>
        <v>1.3675740521937128E-21</v>
      </c>
      <c r="AX180" s="23">
        <f t="shared" si="166"/>
        <v>0.43438071378084309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472.83070477639035</v>
      </c>
      <c r="BJ180" s="62">
        <f t="shared" si="146"/>
        <v>297.32483725004136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0.1550370025659443</v>
      </c>
      <c r="BR180" s="23">
        <f>EXP(-LN(2)/2)*BR179+(1-EXP(-LN(2)/2))/(LN(2)/2)*BL180*BO180*VLOOKUP('Données projet'!$B$11,Paramètres!$A$1:$I$89,3,0)*0.475*44/12</f>
        <v>1.1162626614615698E-21</v>
      </c>
      <c r="BS180" s="24">
        <f t="shared" si="169"/>
        <v>0.1550370025659443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projet'!$B$12,Paramètres!$A$1:$I$89,3,0)*VLOOKUP('Données projet'!$B$12,Paramètres!$A$1:$I$89,5,0)</f>
        <v>-9.3109520094003535E-14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262.64209686767367</v>
      </c>
      <c r="CE180" s="62">
        <f t="shared" si="148"/>
        <v>381.0342365342517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0.31632257948605136</v>
      </c>
      <c r="CL180" s="23">
        <f>EXP(-LN(2)/25)*CL179+(1-EXP(-LN(2)/25))/(LN(2)/25)*Calculateur!CG180*Calculateur!CI180*VLOOKUP('Données projet'!$B$12,Paramètres!$A$1:$I$89,3,0)*0.475*44/12</f>
        <v>0.22140215833116902</v>
      </c>
      <c r="CM180" s="23">
        <f>EXP(-LN(2)/2)*CM179+(1-EXP(-LN(2)/2))/(LN(2)/2)*CG180*CJ180*VLOOKUP('Données projet'!$B$12,Paramètres!$A$1:$I$89,3,0)*0.475*44/12</f>
        <v>9.2626602739719144E-22</v>
      </c>
      <c r="CN180" s="24">
        <f t="shared" si="172"/>
        <v>0.53772473781722041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-8.3355189417488869E-14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250.11765444522138</v>
      </c>
      <c r="CZ180" s="62">
        <f t="shared" si="150"/>
        <v>241.42920565698913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0.16532409044492435</v>
      </c>
      <c r="DH180" s="23">
        <f>EXP(-LN(2)/2)*DH179+(1-EXP(-LN(2)/2))/(LN(2)/2)*DB180*DE180*VLOOKUP('Données projet'!$B$13,Paramètres!$A$1:$I$89,3,0)*0.475*44/12</f>
        <v>3.754772592262983E-21</v>
      </c>
      <c r="DI180" s="24">
        <f t="shared" si="175"/>
        <v>0.16532409044492435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419.0448820879102</v>
      </c>
      <c r="T181" s="62">
        <f t="shared" si="142"/>
        <v>553.33038335026379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0.80390559688322927</v>
      </c>
      <c r="AA181" s="23">
        <f>EXP(-LN(2)/25)*AA180+(1-EXP(-LN(2)/25))/(LN(2)/25)*Calculateur!V181*Calculateur!X181*VLOOKUP('Données projet'!$B$9,Paramètres!$A$1:$I$89,3,0)*0.475*44/12</f>
        <v>0.38774342160520359</v>
      </c>
      <c r="AB181" s="23">
        <f>EXP(-LN(2)/2)*AB180+(1-EXP(-LN(2)/2))/(LN(2)/2)*V181*Y181*VLOOKUP('Données projet'!$B$9,Paramètres!$A$1:$I$89,3,0)*0.475*44/12</f>
        <v>9.4894186357219306E-22</v>
      </c>
      <c r="AC181" s="24">
        <f t="shared" si="163"/>
        <v>1.191649018488433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1.738044375088066E-13</v>
      </c>
      <c r="AK181" s="14">
        <f t="shared" si="164"/>
        <v>2.4483293633950478E-12</v>
      </c>
      <c r="AL181" s="22">
        <f t="shared" si="165"/>
        <v>4.566883036574213E-12</v>
      </c>
      <c r="AM181" s="62">
        <f t="shared" si="113"/>
        <v>289.26530351148472</v>
      </c>
      <c r="AN181" s="62">
        <f ca="1">AVERAGE(OFFSET($AM$3,0,0,'Données projet'!$E$10+1,1))-AVERAGE(OFFSET($H$3,0,0,'Données projet'!$E$10+1,1))</f>
        <v>341.62910675299065</v>
      </c>
      <c r="AO181" s="62">
        <f t="shared" si="144"/>
        <v>407.15938341104709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0.42250255031941697</v>
      </c>
      <c r="AW181" s="23">
        <f>EXP(-LN(2)/2)*AW180+(1-EXP(-LN(2)/2))/(LN(2)/2)*AQ181*AT181*VLOOKUP('Données projet'!$B$10,Paramètres!$A$1:$I$89,3,0)*0.475*44/12</f>
        <v>9.6702088608093975E-22</v>
      </c>
      <c r="AX181" s="23">
        <f t="shared" si="166"/>
        <v>0.42250255031941697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472.83070477639035</v>
      </c>
      <c r="BJ181" s="62">
        <f t="shared" si="146"/>
        <v>297.32483725004136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0.15079750757773694</v>
      </c>
      <c r="BR181" s="23">
        <f>EXP(-LN(2)/2)*BR180+(1-EXP(-LN(2)/2))/(LN(2)/2)*BL181*BO181*VLOOKUP('Données projet'!$B$11,Paramètres!$A$1:$I$89,3,0)*0.475*44/12</f>
        <v>7.8931689750481943E-22</v>
      </c>
      <c r="BS181" s="24">
        <f t="shared" si="169"/>
        <v>0.15079750757773694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projet'!$B$12,Paramètres!$A$1:$I$89,3,0)*VLOOKUP('Données projet'!$B$12,Paramètres!$A$1:$I$89,5,0)</f>
        <v>-9.3109520094003535E-14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262.64209686767367</v>
      </c>
      <c r="CE181" s="62">
        <f t="shared" si="148"/>
        <v>381.0342365342517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0.31011968664005235</v>
      </c>
      <c r="CL181" s="23">
        <f>EXP(-LN(2)/25)*CL180+(1-EXP(-LN(2)/25))/(LN(2)/25)*Calculateur!CG181*Calculateur!CI181*VLOOKUP('Données projet'!$B$12,Paramètres!$A$1:$I$89,3,0)*0.475*44/12</f>
        <v>0.21534790466856973</v>
      </c>
      <c r="CM181" s="23">
        <f>EXP(-LN(2)/2)*CM180+(1-EXP(-LN(2)/2))/(LN(2)/2)*CG181*CJ181*VLOOKUP('Données projet'!$B$12,Paramètres!$A$1:$I$89,3,0)*0.475*44/12</f>
        <v>6.5496898915527849E-22</v>
      </c>
      <c r="CN181" s="24">
        <f t="shared" si="172"/>
        <v>0.52546759130862208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-8.3355189417488869E-14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250.11765444522138</v>
      </c>
      <c r="CZ181" s="62">
        <f t="shared" si="150"/>
        <v>241.42920565698913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0.16080329449769185</v>
      </c>
      <c r="DH181" s="23">
        <f>EXP(-LN(2)/2)*DH180+(1-EXP(-LN(2)/2))/(LN(2)/2)*DB181*DE181*VLOOKUP('Données projet'!$B$13,Paramètres!$A$1:$I$89,3,0)*0.475*44/12</f>
        <v>2.655025161802547E-21</v>
      </c>
      <c r="DI181" s="24">
        <f t="shared" si="175"/>
        <v>0.16080329449769185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419.0448820879102</v>
      </c>
      <c r="T182" s="62">
        <f t="shared" si="142"/>
        <v>553.33038335026379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0.78814149846234682</v>
      </c>
      <c r="AA182" s="23">
        <f>EXP(-LN(2)/25)*AA181+(1-EXP(-LN(2)/25))/(LN(2)/25)*Calculateur!V182*Calculateur!X182*VLOOKUP('Données projet'!$B$9,Paramètres!$A$1:$I$89,3,0)*0.475*44/12</f>
        <v>0.37714055735086893</v>
      </c>
      <c r="AB182" s="23">
        <f>EXP(-LN(2)/2)*AB181+(1-EXP(-LN(2)/2))/(LN(2)/2)*V182*Y182*VLOOKUP('Données projet'!$B$9,Paramètres!$A$1:$I$89,3,0)*0.475*44/12</f>
        <v>6.7100322668369736E-22</v>
      </c>
      <c r="AC182" s="24">
        <f t="shared" si="163"/>
        <v>1.1652820558132158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1.738044375088066E-13</v>
      </c>
      <c r="AK182" s="14">
        <f t="shared" si="164"/>
        <v>2.4483293633950478E-12</v>
      </c>
      <c r="AL182" s="22">
        <f t="shared" si="165"/>
        <v>4.566883036574213E-12</v>
      </c>
      <c r="AM182" s="62">
        <f t="shared" si="113"/>
        <v>289.33587473414167</v>
      </c>
      <c r="AN182" s="62">
        <f ca="1">AVERAGE(OFFSET($AM$3,0,0,'Données projet'!$E$10+1,1))-AVERAGE(OFFSET($H$3,0,0,'Données projet'!$E$10+1,1))</f>
        <v>341.62910675299065</v>
      </c>
      <c r="AO182" s="62">
        <f t="shared" si="144"/>
        <v>407.15938341104709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0.41094919586248901</v>
      </c>
      <c r="AW182" s="23">
        <f>EXP(-LN(2)/2)*AW181+(1-EXP(-LN(2)/2))/(LN(2)/2)*AQ182*AT182*VLOOKUP('Données projet'!$B$10,Paramètres!$A$1:$I$89,3,0)*0.475*44/12</f>
        <v>6.8378702609685638E-22</v>
      </c>
      <c r="AX182" s="23">
        <f t="shared" si="166"/>
        <v>0.41094919586248901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472.83070477639035</v>
      </c>
      <c r="BJ182" s="62">
        <f t="shared" si="146"/>
        <v>297.32483725004136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0.14667394180292745</v>
      </c>
      <c r="BR182" s="23">
        <f>EXP(-LN(2)/2)*BR181+(1-EXP(-LN(2)/2))/(LN(2)/2)*BL182*BO182*VLOOKUP('Données projet'!$B$11,Paramètres!$A$1:$I$89,3,0)*0.475*44/12</f>
        <v>5.5813133073078491E-22</v>
      </c>
      <c r="BS182" s="24">
        <f t="shared" si="169"/>
        <v>0.14667394180292745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projet'!$B$12,Paramètres!$A$1:$I$89,3,0)*VLOOKUP('Données projet'!$B$12,Paramètres!$A$1:$I$89,5,0)</f>
        <v>-9.3109520094003535E-14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262.64209686767367</v>
      </c>
      <c r="CE182" s="62">
        <f t="shared" si="148"/>
        <v>381.0342365342517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0.30403842873937231</v>
      </c>
      <c r="CL182" s="23">
        <f>EXP(-LN(2)/25)*CL181+(1-EXP(-LN(2)/25))/(LN(2)/25)*Calculateur!CG182*Calculateur!CI182*VLOOKUP('Données projet'!$B$12,Paramètres!$A$1:$I$89,3,0)*0.475*44/12</f>
        <v>0.20945920489075356</v>
      </c>
      <c r="CM182" s="23">
        <f>EXP(-LN(2)/2)*CM181+(1-EXP(-LN(2)/2))/(LN(2)/2)*CG182*CJ182*VLOOKUP('Données projet'!$B$12,Paramètres!$A$1:$I$89,3,0)*0.475*44/12</f>
        <v>4.6313301369859572E-22</v>
      </c>
      <c r="CN182" s="24">
        <f t="shared" si="172"/>
        <v>0.5134976336301259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-8.3355189417488869E-14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250.11765444522138</v>
      </c>
      <c r="CZ182" s="62">
        <f t="shared" si="150"/>
        <v>241.42920565698913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0.15640611995337472</v>
      </c>
      <c r="DH182" s="23">
        <f>EXP(-LN(2)/2)*DH181+(1-EXP(-LN(2)/2))/(LN(2)/2)*DB182*DE182*VLOOKUP('Données projet'!$B$13,Paramètres!$A$1:$I$89,3,0)*0.475*44/12</f>
        <v>1.8773862961314915E-21</v>
      </c>
      <c r="DI182" s="24">
        <f t="shared" si="175"/>
        <v>0.15640611995337472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419.0448820879102</v>
      </c>
      <c r="T183" s="62">
        <f t="shared" si="142"/>
        <v>553.33038335026379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0.77268652439634722</v>
      </c>
      <c r="AA183" s="23">
        <f>EXP(-LN(2)/25)*AA182+(1-EXP(-LN(2)/25))/(LN(2)/25)*Calculateur!V183*Calculateur!X183*VLOOKUP('Données projet'!$B$9,Paramètres!$A$1:$I$89,3,0)*0.475*44/12</f>
        <v>0.36682762897714949</v>
      </c>
      <c r="AB183" s="23">
        <f>EXP(-LN(2)/2)*AB182+(1-EXP(-LN(2)/2))/(LN(2)/2)*V183*Y183*VLOOKUP('Données projet'!$B$9,Paramètres!$A$1:$I$89,3,0)*0.475*44/12</f>
        <v>4.7447093178609653E-22</v>
      </c>
      <c r="AC183" s="24">
        <f t="shared" si="163"/>
        <v>1.1395141533734967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1.738044375088066E-13</v>
      </c>
      <c r="AK183" s="14">
        <f t="shared" si="164"/>
        <v>2.4483293633950478E-12</v>
      </c>
      <c r="AL183" s="22">
        <f t="shared" si="165"/>
        <v>4.566883036574213E-12</v>
      </c>
      <c r="AM183" s="62">
        <f t="shared" si="113"/>
        <v>289.40522170385918</v>
      </c>
      <c r="AN183" s="62">
        <f ca="1">AVERAGE(OFFSET($AM$3,0,0,'Données projet'!$E$10+1,1))-AVERAGE(OFFSET($H$3,0,0,'Données projet'!$E$10+1,1))</f>
        <v>341.62910675299065</v>
      </c>
      <c r="AO183" s="62">
        <f t="shared" si="144"/>
        <v>407.15938341104709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0.3997117684907503</v>
      </c>
      <c r="AW183" s="23">
        <f>EXP(-LN(2)/2)*AW182+(1-EXP(-LN(2)/2))/(LN(2)/2)*AQ183*AT183*VLOOKUP('Données projet'!$B$10,Paramètres!$A$1:$I$89,3,0)*0.475*44/12</f>
        <v>4.8351044304046988E-22</v>
      </c>
      <c r="AX183" s="23">
        <f t="shared" si="166"/>
        <v>0.3997117684907503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472.83070477639035</v>
      </c>
      <c r="BJ183" s="62">
        <f t="shared" si="146"/>
        <v>297.32483725004136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0.14266313515107903</v>
      </c>
      <c r="BR183" s="23">
        <f>EXP(-LN(2)/2)*BR182+(1-EXP(-LN(2)/2))/(LN(2)/2)*BL183*BO183*VLOOKUP('Données projet'!$B$11,Paramètres!$A$1:$I$89,3,0)*0.475*44/12</f>
        <v>3.9465844875240972E-22</v>
      </c>
      <c r="BS183" s="24">
        <f t="shared" si="169"/>
        <v>0.14266313515107903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projet'!$B$12,Paramètres!$A$1:$I$89,3,0)*VLOOKUP('Données projet'!$B$12,Paramètres!$A$1:$I$89,5,0)</f>
        <v>-9.3109520094003535E-14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262.64209686767367</v>
      </c>
      <c r="CE183" s="62">
        <f t="shared" si="148"/>
        <v>381.0342365342517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0.29807642059692357</v>
      </c>
      <c r="CL183" s="23">
        <f>EXP(-LN(2)/25)*CL182+(1-EXP(-LN(2)/25))/(LN(2)/25)*Calculateur!CG183*Calculateur!CI183*VLOOKUP('Données projet'!$B$12,Paramètres!$A$1:$I$89,3,0)*0.475*44/12</f>
        <v>0.20373153191803506</v>
      </c>
      <c r="CM183" s="23">
        <f>EXP(-LN(2)/2)*CM182+(1-EXP(-LN(2)/2))/(LN(2)/2)*CG183*CJ183*VLOOKUP('Données projet'!$B$12,Paramètres!$A$1:$I$89,3,0)*0.475*44/12</f>
        <v>3.2748449457763924E-22</v>
      </c>
      <c r="CN183" s="24">
        <f t="shared" si="172"/>
        <v>0.50180795251495858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-8.3355189417488869E-14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250.11765444522138</v>
      </c>
      <c r="CZ183" s="62">
        <f t="shared" si="150"/>
        <v>241.42920565698913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0.15212918637820932</v>
      </c>
      <c r="DH183" s="23">
        <f>EXP(-LN(2)/2)*DH182+(1-EXP(-LN(2)/2))/(LN(2)/2)*DB183*DE183*VLOOKUP('Données projet'!$B$13,Paramètres!$A$1:$I$89,3,0)*0.475*44/12</f>
        <v>1.3275125809012735E-21</v>
      </c>
      <c r="DI183" s="24">
        <f t="shared" si="175"/>
        <v>0.15212918637820932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419.0448820879102</v>
      </c>
      <c r="T184" s="62">
        <f t="shared" si="142"/>
        <v>553.33038335026379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0.75753461294517854</v>
      </c>
      <c r="AA184" s="23">
        <f>EXP(-LN(2)/25)*AA183+(1-EXP(-LN(2)/25))/(LN(2)/25)*Calculateur!V184*Calculateur!X184*VLOOKUP('Données projet'!$B$9,Paramètres!$A$1:$I$89,3,0)*0.475*44/12</f>
        <v>0.35679670817214271</v>
      </c>
      <c r="AB184" s="23">
        <f>EXP(-LN(2)/2)*AB183+(1-EXP(-LN(2)/2))/(LN(2)/2)*V184*Y184*VLOOKUP('Données projet'!$B$9,Paramètres!$A$1:$I$89,3,0)*0.475*44/12</f>
        <v>3.3550161334184868E-22</v>
      </c>
      <c r="AC184" s="24">
        <f t="shared" si="163"/>
        <v>1.1143313211173211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1.738044375088066E-13</v>
      </c>
      <c r="AK184" s="14">
        <f t="shared" si="164"/>
        <v>2.4483293633950478E-12</v>
      </c>
      <c r="AL184" s="22">
        <f t="shared" si="165"/>
        <v>4.566883036574213E-12</v>
      </c>
      <c r="AM184" s="62">
        <f t="shared" si="113"/>
        <v>289.47336565868864</v>
      </c>
      <c r="AN184" s="62">
        <f ca="1">AVERAGE(OFFSET($AM$3,0,0,'Données projet'!$E$10+1,1))-AVERAGE(OFFSET($H$3,0,0,'Données projet'!$E$10+1,1))</f>
        <v>341.62910675299065</v>
      </c>
      <c r="AO184" s="62">
        <f t="shared" si="144"/>
        <v>407.15938341104709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0.38878162916144238</v>
      </c>
      <c r="AW184" s="23">
        <f>EXP(-LN(2)/2)*AW183+(1-EXP(-LN(2)/2))/(LN(2)/2)*AQ184*AT184*VLOOKUP('Données projet'!$B$10,Paramètres!$A$1:$I$89,3,0)*0.475*44/12</f>
        <v>3.4189351304842819E-22</v>
      </c>
      <c r="AX184" s="23">
        <f t="shared" si="166"/>
        <v>0.38878162916144238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472.83070477639035</v>
      </c>
      <c r="BJ184" s="62">
        <f t="shared" si="146"/>
        <v>297.32483725004136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0.13876200421804455</v>
      </c>
      <c r="BR184" s="23">
        <f>EXP(-LN(2)/2)*BR183+(1-EXP(-LN(2)/2))/(LN(2)/2)*BL184*BO184*VLOOKUP('Données projet'!$B$11,Paramètres!$A$1:$I$89,3,0)*0.475*44/12</f>
        <v>2.7906566536539245E-22</v>
      </c>
      <c r="BS184" s="24">
        <f t="shared" si="169"/>
        <v>0.13876200421804455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projet'!$B$12,Paramètres!$A$1:$I$89,3,0)*VLOOKUP('Données projet'!$B$12,Paramètres!$A$1:$I$89,5,0)</f>
        <v>-9.3109520094003535E-14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262.64209686767367</v>
      </c>
      <c r="CE184" s="62">
        <f t="shared" si="148"/>
        <v>381.0342365342517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0.29223132379768235</v>
      </c>
      <c r="CL184" s="23">
        <f>EXP(-LN(2)/25)*CL183+(1-EXP(-LN(2)/25))/(LN(2)/25)*Calculateur!CG184*Calculateur!CI184*VLOOKUP('Données projet'!$B$12,Paramètres!$A$1:$I$89,3,0)*0.475*44/12</f>
        <v>0.19816048246396076</v>
      </c>
      <c r="CM184" s="23">
        <f>EXP(-LN(2)/2)*CM183+(1-EXP(-LN(2)/2))/(LN(2)/2)*CG184*CJ184*VLOOKUP('Données projet'!$B$12,Paramètres!$A$1:$I$89,3,0)*0.475*44/12</f>
        <v>2.3156650684929786E-22</v>
      </c>
      <c r="CN184" s="24">
        <f t="shared" si="172"/>
        <v>0.49039180626164314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-8.3355189417488869E-14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250.11765444522138</v>
      </c>
      <c r="CZ184" s="62">
        <f t="shared" si="150"/>
        <v>241.42920565698913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0.14796920577657097</v>
      </c>
      <c r="DH184" s="23">
        <f>EXP(-LN(2)/2)*DH183+(1-EXP(-LN(2)/2))/(LN(2)/2)*DB184*DE184*VLOOKUP('Données projet'!$B$13,Paramètres!$A$1:$I$89,3,0)*0.475*44/12</f>
        <v>9.3869314806574575E-22</v>
      </c>
      <c r="DI184" s="24">
        <f t="shared" si="175"/>
        <v>0.14796920577657097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419.0448820879102</v>
      </c>
      <c r="T185" s="62">
        <f t="shared" si="142"/>
        <v>553.33038335026379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0.74267982123581378</v>
      </c>
      <c r="AA185" s="23">
        <f>EXP(-LN(2)/25)*AA184+(1-EXP(-LN(2)/25))/(LN(2)/25)*Calculateur!V185*Calculateur!X185*VLOOKUP('Données projet'!$B$9,Paramètres!$A$1:$I$89,3,0)*0.475*44/12</f>
        <v>0.34704008342405207</v>
      </c>
      <c r="AB185" s="23">
        <f>EXP(-LN(2)/2)*AB184+(1-EXP(-LN(2)/2))/(LN(2)/2)*V185*Y185*VLOOKUP('Données projet'!$B$9,Paramètres!$A$1:$I$89,3,0)*0.475*44/12</f>
        <v>2.3723546589304826E-22</v>
      </c>
      <c r="AC185" s="24">
        <f t="shared" si="163"/>
        <v>1.0897199046598658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1.738044375088066E-13</v>
      </c>
      <c r="AK185" s="14">
        <f t="shared" si="164"/>
        <v>2.4483293633950478E-12</v>
      </c>
      <c r="AL185" s="22">
        <f t="shared" si="165"/>
        <v>4.566883036574213E-12</v>
      </c>
      <c r="AM185" s="62">
        <f t="shared" si="113"/>
        <v>289.54032746824896</v>
      </c>
      <c r="AN185" s="62">
        <f ca="1">AVERAGE(OFFSET($AM$3,0,0,'Données projet'!$E$10+1,1))-AVERAGE(OFFSET($H$3,0,0,'Données projet'!$E$10+1,1))</f>
        <v>341.62910675299065</v>
      </c>
      <c r="AO185" s="62">
        <f t="shared" si="144"/>
        <v>407.15938341104709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0.37815037506688542</v>
      </c>
      <c r="AW185" s="23">
        <f>EXP(-LN(2)/2)*AW184+(1-EXP(-LN(2)/2))/(LN(2)/2)*AQ185*AT185*VLOOKUP('Données projet'!$B$10,Paramètres!$A$1:$I$89,3,0)*0.475*44/12</f>
        <v>2.4175522152023494E-22</v>
      </c>
      <c r="AX185" s="23">
        <f t="shared" si="166"/>
        <v>0.37815037506688542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472.83070477639035</v>
      </c>
      <c r="BJ185" s="62">
        <f t="shared" si="146"/>
        <v>297.32483725004136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0.13496754991552545</v>
      </c>
      <c r="BR185" s="23">
        <f>EXP(-LN(2)/2)*BR184+(1-EXP(-LN(2)/2))/(LN(2)/2)*BL185*BO185*VLOOKUP('Données projet'!$B$11,Paramètres!$A$1:$I$89,3,0)*0.475*44/12</f>
        <v>1.9732922437620486E-22</v>
      </c>
      <c r="BS185" s="24">
        <f t="shared" si="169"/>
        <v>0.13496754991552545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projet'!$B$12,Paramètres!$A$1:$I$89,3,0)*VLOOKUP('Données projet'!$B$12,Paramètres!$A$1:$I$89,5,0)</f>
        <v>-9.3109520094003535E-14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262.64209686767367</v>
      </c>
      <c r="CE185" s="62">
        <f t="shared" si="148"/>
        <v>381.0342365342517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0.28650084578151724</v>
      </c>
      <c r="CL185" s="23">
        <f>EXP(-LN(2)/25)*CL184+(1-EXP(-LN(2)/25))/(LN(2)/25)*Calculateur!CG185*Calculateur!CI185*VLOOKUP('Données projet'!$B$12,Paramètres!$A$1:$I$89,3,0)*0.475*44/12</f>
        <v>0.19274177365017689</v>
      </c>
      <c r="CM185" s="23">
        <f>EXP(-LN(2)/2)*CM184+(1-EXP(-LN(2)/2))/(LN(2)/2)*CG185*CJ185*VLOOKUP('Données projet'!$B$12,Paramètres!$A$1:$I$89,3,0)*0.475*44/12</f>
        <v>1.6374224728881962E-22</v>
      </c>
      <c r="CN185" s="24">
        <f t="shared" si="172"/>
        <v>0.47924261943169411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-8.3355189417488869E-14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250.11765444522138</v>
      </c>
      <c r="CZ185" s="62">
        <f t="shared" si="150"/>
        <v>241.42920565698913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0.1439229800632483</v>
      </c>
      <c r="DH185" s="23">
        <f>EXP(-LN(2)/2)*DH184+(1-EXP(-LN(2)/2))/(LN(2)/2)*DB185*DE185*VLOOKUP('Données projet'!$B$13,Paramètres!$A$1:$I$89,3,0)*0.475*44/12</f>
        <v>6.6375629045063674E-22</v>
      </c>
      <c r="DI185" s="24">
        <f t="shared" si="175"/>
        <v>0.1439229800632483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419.0448820879102</v>
      </c>
      <c r="T186" s="62">
        <f t="shared" si="142"/>
        <v>553.33038335026379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0.72811632293134143</v>
      </c>
      <c r="AA186" s="23">
        <f>EXP(-LN(2)/25)*AA185+(1-EXP(-LN(2)/25))/(LN(2)/25)*Calculateur!V186*Calculateur!X186*VLOOKUP('Données projet'!$B$9,Paramètres!$A$1:$I$89,3,0)*0.475*44/12</f>
        <v>0.33755025409277656</v>
      </c>
      <c r="AB186" s="23">
        <f>EXP(-LN(2)/2)*AB185+(1-EXP(-LN(2)/2))/(LN(2)/2)*V186*Y186*VLOOKUP('Données projet'!$B$9,Paramètres!$A$1:$I$89,3,0)*0.475*44/12</f>
        <v>1.6775080667092434E-22</v>
      </c>
      <c r="AC186" s="24">
        <f t="shared" si="163"/>
        <v>1.065666577024118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1.738044375088066E-13</v>
      </c>
      <c r="AK186" s="14">
        <f t="shared" si="164"/>
        <v>2.4483293633950478E-12</v>
      </c>
      <c r="AL186" s="22">
        <f t="shared" si="165"/>
        <v>4.566883036574213E-12</v>
      </c>
      <c r="AM186" s="62">
        <f t="shared" si="113"/>
        <v>289.60612764011751</v>
      </c>
      <c r="AN186" s="62">
        <f ca="1">AVERAGE(OFFSET($AM$3,0,0,'Données projet'!$E$10+1,1))-AVERAGE(OFFSET($H$3,0,0,'Données projet'!$E$10+1,1))</f>
        <v>341.62910675299065</v>
      </c>
      <c r="AO186" s="62">
        <f t="shared" si="144"/>
        <v>407.15938341104709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0.36780983317461752</v>
      </c>
      <c r="AW186" s="23">
        <f>EXP(-LN(2)/2)*AW185+(1-EXP(-LN(2)/2))/(LN(2)/2)*AQ186*AT186*VLOOKUP('Données projet'!$B$10,Paramètres!$A$1:$I$89,3,0)*0.475*44/12</f>
        <v>1.709467565242141E-22</v>
      </c>
      <c r="AX186" s="23">
        <f t="shared" si="166"/>
        <v>0.36780983317461752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472.83070477639035</v>
      </c>
      <c r="BJ186" s="62">
        <f t="shared" si="146"/>
        <v>297.32483725004136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0.13127685516545043</v>
      </c>
      <c r="BR186" s="23">
        <f>EXP(-LN(2)/2)*BR185+(1-EXP(-LN(2)/2))/(LN(2)/2)*BL186*BO186*VLOOKUP('Données projet'!$B$11,Paramètres!$A$1:$I$89,3,0)*0.475*44/12</f>
        <v>1.3953283268269623E-22</v>
      </c>
      <c r="BS186" s="24">
        <f t="shared" si="169"/>
        <v>0.13127685516545043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projet'!$B$12,Paramètres!$A$1:$I$89,3,0)*VLOOKUP('Données projet'!$B$12,Paramètres!$A$1:$I$89,5,0)</f>
        <v>-9.3109520094003535E-14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262.64209686767367</v>
      </c>
      <c r="CE186" s="62">
        <f t="shared" si="148"/>
        <v>381.0342365342517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0.28088273894400267</v>
      </c>
      <c r="CL186" s="23">
        <f>EXP(-LN(2)/25)*CL185+(1-EXP(-LN(2)/25))/(LN(2)/25)*Calculateur!CG186*Calculateur!CI186*VLOOKUP('Données projet'!$B$12,Paramètres!$A$1:$I$89,3,0)*0.475*44/12</f>
        <v>0.18747123971386345</v>
      </c>
      <c r="CM186" s="23">
        <f>EXP(-LN(2)/2)*CM185+(1-EXP(-LN(2)/2))/(LN(2)/2)*CG186*CJ186*VLOOKUP('Données projet'!$B$12,Paramètres!$A$1:$I$89,3,0)*0.475*44/12</f>
        <v>1.1578325342464893E-22</v>
      </c>
      <c r="CN186" s="24">
        <f t="shared" si="172"/>
        <v>0.4683539786578661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-8.3355189417488869E-14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250.11765444522138</v>
      </c>
      <c r="CZ186" s="62">
        <f t="shared" si="150"/>
        <v>241.42920565698913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0.13998739860483819</v>
      </c>
      <c r="DH186" s="23">
        <f>EXP(-LN(2)/2)*DH185+(1-EXP(-LN(2)/2))/(LN(2)/2)*DB186*DE186*VLOOKUP('Données projet'!$B$13,Paramètres!$A$1:$I$89,3,0)*0.475*44/12</f>
        <v>4.6934657403287287E-22</v>
      </c>
      <c r="DI186" s="24">
        <f t="shared" si="175"/>
        <v>0.13998739860483819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419.0448820879102</v>
      </c>
      <c r="T187" s="62">
        <f t="shared" si="142"/>
        <v>553.33038335026379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0.71383840594576287</v>
      </c>
      <c r="AA187" s="23">
        <f>EXP(-LN(2)/25)*AA186+(1-EXP(-LN(2)/25))/(LN(2)/25)*Calculateur!V187*Calculateur!X187*VLOOKUP('Données projet'!$B$9,Paramètres!$A$1:$I$89,3,0)*0.475*44/12</f>
        <v>0.3283199246436132</v>
      </c>
      <c r="AB187" s="23">
        <f>EXP(-LN(2)/2)*AB186+(1-EXP(-LN(2)/2))/(LN(2)/2)*V187*Y187*VLOOKUP('Données projet'!$B$9,Paramètres!$A$1:$I$89,3,0)*0.475*44/12</f>
        <v>1.1861773294652413E-22</v>
      </c>
      <c r="AC187" s="24">
        <f t="shared" si="163"/>
        <v>1.042158330589376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1.738044375088066E-13</v>
      </c>
      <c r="AK187" s="14">
        <f t="shared" si="164"/>
        <v>2.4483293633950478E-12</v>
      </c>
      <c r="AL187" s="22">
        <f t="shared" si="165"/>
        <v>4.566883036574213E-12</v>
      </c>
      <c r="AM187" s="62">
        <f t="shared" si="113"/>
        <v>289.67078632611128</v>
      </c>
      <c r="AN187" s="62">
        <f ca="1">AVERAGE(OFFSET($AM$3,0,0,'Données projet'!$E$10+1,1))-AVERAGE(OFFSET($H$3,0,0,'Données projet'!$E$10+1,1))</f>
        <v>341.62910675299065</v>
      </c>
      <c r="AO187" s="62">
        <f t="shared" si="144"/>
        <v>407.15938341104709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0.35775205394417914</v>
      </c>
      <c r="AW187" s="23">
        <f>EXP(-LN(2)/2)*AW186+(1-EXP(-LN(2)/2))/(LN(2)/2)*AQ187*AT187*VLOOKUP('Données projet'!$B$10,Paramètres!$A$1:$I$89,3,0)*0.475*44/12</f>
        <v>1.2087761076011747E-22</v>
      </c>
      <c r="AX187" s="23">
        <f t="shared" si="166"/>
        <v>0.35775205394417914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472.83070477639035</v>
      </c>
      <c r="BJ187" s="62">
        <f t="shared" si="146"/>
        <v>297.32483725004136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0.12768708265740142</v>
      </c>
      <c r="BR187" s="23">
        <f>EXP(-LN(2)/2)*BR186+(1-EXP(-LN(2)/2))/(LN(2)/2)*BL187*BO187*VLOOKUP('Données projet'!$B$11,Paramètres!$A$1:$I$89,3,0)*0.475*44/12</f>
        <v>9.8664612188102429E-23</v>
      </c>
      <c r="BS187" s="24">
        <f t="shared" si="169"/>
        <v>0.12768708265740142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projet'!$B$12,Paramètres!$A$1:$I$89,3,0)*VLOOKUP('Données projet'!$B$12,Paramètres!$A$1:$I$89,5,0)</f>
        <v>-9.3109520094003535E-14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262.64209686767367</v>
      </c>
      <c r="CE187" s="62">
        <f t="shared" si="148"/>
        <v>381.0342365342517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0.27537479975486495</v>
      </c>
      <c r="CL187" s="23">
        <f>EXP(-LN(2)/25)*CL186+(1-EXP(-LN(2)/25))/(LN(2)/25)*Calculateur!CG187*Calculateur!CI187*VLOOKUP('Données projet'!$B$12,Paramètres!$A$1:$I$89,3,0)*0.475*44/12</f>
        <v>0.18234482880520383</v>
      </c>
      <c r="CM187" s="23">
        <f>EXP(-LN(2)/2)*CM186+(1-EXP(-LN(2)/2))/(LN(2)/2)*CG187*CJ187*VLOOKUP('Données projet'!$B$12,Paramètres!$A$1:$I$89,3,0)*0.475*44/12</f>
        <v>8.1871123644409811E-23</v>
      </c>
      <c r="CN187" s="24">
        <f t="shared" si="172"/>
        <v>0.45771962856006876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-8.3355189417488869E-14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250.11765444522138</v>
      </c>
      <c r="CZ187" s="62">
        <f t="shared" si="150"/>
        <v>241.42920565698913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0.13615943582837153</v>
      </c>
      <c r="DH187" s="23">
        <f>EXP(-LN(2)/2)*DH186+(1-EXP(-LN(2)/2))/(LN(2)/2)*DB187*DE187*VLOOKUP('Données projet'!$B$13,Paramètres!$A$1:$I$89,3,0)*0.475*44/12</f>
        <v>3.3187814522531837E-22</v>
      </c>
      <c r="DI187" s="24">
        <f t="shared" si="175"/>
        <v>0.13615943582837153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419.0448820879102</v>
      </c>
      <c r="T188" s="62">
        <f t="shared" si="142"/>
        <v>553.33038335026379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0.69984047020360207</v>
      </c>
      <c r="AA188" s="23">
        <f>EXP(-LN(2)/25)*AA187+(1-EXP(-LN(2)/25))/(LN(2)/25)*Calculateur!V188*Calculateur!X188*VLOOKUP('Données projet'!$B$9,Paramètres!$A$1:$I$89,3,0)*0.475*44/12</f>
        <v>0.31934199903863913</v>
      </c>
      <c r="AB188" s="23">
        <f>EXP(-LN(2)/2)*AB187+(1-EXP(-LN(2)/2))/(LN(2)/2)*V188*Y188*VLOOKUP('Données projet'!$B$9,Paramètres!$A$1:$I$89,3,0)*0.475*44/12</f>
        <v>8.387540333546217E-23</v>
      </c>
      <c r="AC188" s="24">
        <f t="shared" si="163"/>
        <v>1.0191824692422413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1.738044375088066E-13</v>
      </c>
      <c r="AK188" s="14">
        <f t="shared" si="164"/>
        <v>2.4483293633950478E-12</v>
      </c>
      <c r="AL188" s="22">
        <f t="shared" si="165"/>
        <v>4.566883036574213E-12</v>
      </c>
      <c r="AM188" s="62">
        <f t="shared" si="113"/>
        <v>289.73432332845829</v>
      </c>
      <c r="AN188" s="62">
        <f ca="1">AVERAGE(OFFSET($AM$3,0,0,'Données projet'!$E$10+1,1))-AVERAGE(OFFSET($H$3,0,0,'Données projet'!$E$10+1,1))</f>
        <v>341.62910675299065</v>
      </c>
      <c r="AO188" s="62">
        <f t="shared" si="144"/>
        <v>407.15938341104709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0.34796930521571268</v>
      </c>
      <c r="AW188" s="23">
        <f>EXP(-LN(2)/2)*AW187+(1-EXP(-LN(2)/2))/(LN(2)/2)*AQ188*AT188*VLOOKUP('Données projet'!$B$10,Paramètres!$A$1:$I$89,3,0)*0.475*44/12</f>
        <v>8.5473378262107048E-23</v>
      </c>
      <c r="AX188" s="23">
        <f t="shared" si="166"/>
        <v>0.34796930521571268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472.83070477639035</v>
      </c>
      <c r="BJ188" s="62">
        <f t="shared" si="146"/>
        <v>297.32483725004136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0.12419547266736293</v>
      </c>
      <c r="BR188" s="23">
        <f>EXP(-LN(2)/2)*BR187+(1-EXP(-LN(2)/2))/(LN(2)/2)*BL188*BO188*VLOOKUP('Données projet'!$B$11,Paramètres!$A$1:$I$89,3,0)*0.475*44/12</f>
        <v>6.9766416341348114E-23</v>
      </c>
      <c r="BS188" s="24">
        <f t="shared" si="169"/>
        <v>0.12419547266736293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projet'!$B$12,Paramètres!$A$1:$I$89,3,0)*VLOOKUP('Données projet'!$B$12,Paramètres!$A$1:$I$89,5,0)</f>
        <v>-9.3109520094003535E-14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262.64209686767367</v>
      </c>
      <c r="CE188" s="62">
        <f t="shared" si="148"/>
        <v>381.0342365342517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0.26997486789371505</v>
      </c>
      <c r="CL188" s="23">
        <f>EXP(-LN(2)/25)*CL187+(1-EXP(-LN(2)/25))/(LN(2)/25)*Calculateur!CG188*Calculateur!CI188*VLOOKUP('Données projet'!$B$12,Paramètres!$A$1:$I$89,3,0)*0.475*44/12</f>
        <v>0.17735859987242775</v>
      </c>
      <c r="CM188" s="23">
        <f>EXP(-LN(2)/2)*CM187+(1-EXP(-LN(2)/2))/(LN(2)/2)*CG188*CJ188*VLOOKUP('Données projet'!$B$12,Paramètres!$A$1:$I$89,3,0)*0.475*44/12</f>
        <v>5.7891626712324465E-23</v>
      </c>
      <c r="CN188" s="24">
        <f t="shared" si="172"/>
        <v>0.4473334677661428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-8.3355189417488869E-14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250.11765444522138</v>
      </c>
      <c r="CZ188" s="62">
        <f t="shared" si="150"/>
        <v>241.42920565698913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0.13243614889533117</v>
      </c>
      <c r="DH188" s="23">
        <f>EXP(-LN(2)/2)*DH187+(1-EXP(-LN(2)/2))/(LN(2)/2)*DB188*DE188*VLOOKUP('Données projet'!$B$13,Paramètres!$A$1:$I$89,3,0)*0.475*44/12</f>
        <v>2.3467328701643644E-22</v>
      </c>
      <c r="DI188" s="24">
        <f t="shared" si="175"/>
        <v>0.13243614889533117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419.0448820879102</v>
      </c>
      <c r="T189" s="62">
        <f t="shared" si="142"/>
        <v>553.33038335026379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0.68611702544344733</v>
      </c>
      <c r="AA189" s="23">
        <f>EXP(-LN(2)/25)*AA188+(1-EXP(-LN(2)/25))/(LN(2)/25)*Calculateur!V189*Calculateur!X189*VLOOKUP('Données projet'!$B$9,Paramètres!$A$1:$I$89,3,0)*0.475*44/12</f>
        <v>0.31060957528146166</v>
      </c>
      <c r="AB189" s="23">
        <f>EXP(-LN(2)/2)*AB188+(1-EXP(-LN(2)/2))/(LN(2)/2)*V189*Y189*VLOOKUP('Données projet'!$B$9,Paramètres!$A$1:$I$89,3,0)*0.475*44/12</f>
        <v>5.9308866473262066E-23</v>
      </c>
      <c r="AC189" s="24">
        <f t="shared" si="163"/>
        <v>0.99672660072490893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1.738044375088066E-13</v>
      </c>
      <c r="AK189" s="14">
        <f t="shared" si="164"/>
        <v>2.4483293633950478E-12</v>
      </c>
      <c r="AL189" s="22">
        <f t="shared" si="165"/>
        <v>4.566883036574213E-12</v>
      </c>
      <c r="AM189" s="62">
        <f t="shared" si="113"/>
        <v>289.79675810586195</v>
      </c>
      <c r="AN189" s="62">
        <f ca="1">AVERAGE(OFFSET($AM$3,0,0,'Données projet'!$E$10+1,1))-AVERAGE(OFFSET($H$3,0,0,'Données projet'!$E$10+1,1))</f>
        <v>341.62910675299065</v>
      </c>
      <c r="AO189" s="62">
        <f t="shared" si="144"/>
        <v>407.15938341104709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0.33845406626567853</v>
      </c>
      <c r="AW189" s="23">
        <f>EXP(-LN(2)/2)*AW188+(1-EXP(-LN(2)/2))/(LN(2)/2)*AQ189*AT189*VLOOKUP('Données projet'!$B$10,Paramètres!$A$1:$I$89,3,0)*0.475*44/12</f>
        <v>6.0438805380058735E-23</v>
      </c>
      <c r="AX189" s="23">
        <f t="shared" si="166"/>
        <v>0.33845406626567853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472.83070477639035</v>
      </c>
      <c r="BJ189" s="62">
        <f t="shared" si="146"/>
        <v>297.32483725004136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0.12079934093611784</v>
      </c>
      <c r="BR189" s="23">
        <f>EXP(-LN(2)/2)*BR188+(1-EXP(-LN(2)/2))/(LN(2)/2)*BL189*BO189*VLOOKUP('Données projet'!$B$11,Paramètres!$A$1:$I$89,3,0)*0.475*44/12</f>
        <v>4.9332306094051215E-23</v>
      </c>
      <c r="BS189" s="24">
        <f t="shared" si="169"/>
        <v>0.12079934093611784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projet'!$B$12,Paramètres!$A$1:$I$89,3,0)*VLOOKUP('Données projet'!$B$12,Paramètres!$A$1:$I$89,5,0)</f>
        <v>-9.3109520094003535E-14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262.64209686767367</v>
      </c>
      <c r="CE189" s="62">
        <f t="shared" si="148"/>
        <v>381.0342365342517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0.26468082540272908</v>
      </c>
      <c r="CL189" s="23">
        <f>EXP(-LN(2)/25)*CL188+(1-EXP(-LN(2)/25))/(LN(2)/25)*Calculateur!CG189*Calculateur!CI189*VLOOKUP('Données projet'!$B$12,Paramètres!$A$1:$I$89,3,0)*0.475*44/12</f>
        <v>0.17250871963203279</v>
      </c>
      <c r="CM189" s="23">
        <f>EXP(-LN(2)/2)*CM188+(1-EXP(-LN(2)/2))/(LN(2)/2)*CG189*CJ189*VLOOKUP('Données projet'!$B$12,Paramètres!$A$1:$I$89,3,0)*0.475*44/12</f>
        <v>4.0935561822204906E-23</v>
      </c>
      <c r="CN189" s="24">
        <f t="shared" si="172"/>
        <v>0.43718954503476187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-8.3355189417488869E-14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250.11765444522138</v>
      </c>
      <c r="CZ189" s="62">
        <f t="shared" si="150"/>
        <v>241.42920565698913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0.12881467543927397</v>
      </c>
      <c r="DH189" s="23">
        <f>EXP(-LN(2)/2)*DH188+(1-EXP(-LN(2)/2))/(LN(2)/2)*DB189*DE189*VLOOKUP('Données projet'!$B$13,Paramètres!$A$1:$I$89,3,0)*0.475*44/12</f>
        <v>1.6593907261265919E-22</v>
      </c>
      <c r="DI189" s="24">
        <f t="shared" si="175"/>
        <v>0.12881467543927397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419.0448820879102</v>
      </c>
      <c r="T190" s="62">
        <f t="shared" si="142"/>
        <v>553.33038335026379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0.67266268906456439</v>
      </c>
      <c r="AA190" s="23">
        <f>EXP(-LN(2)/25)*AA189+(1-EXP(-LN(2)/25))/(LN(2)/25)*Calculateur!V190*Calculateur!X190*VLOOKUP('Données projet'!$B$9,Paramètres!$A$1:$I$89,3,0)*0.475*44/12</f>
        <v>0.30211594011114246</v>
      </c>
      <c r="AB190" s="23">
        <f>EXP(-LN(2)/2)*AB189+(1-EXP(-LN(2)/2))/(LN(2)/2)*V190*Y190*VLOOKUP('Données projet'!$B$9,Paramètres!$A$1:$I$89,3,0)*0.475*44/12</f>
        <v>4.1937701667731085E-23</v>
      </c>
      <c r="AC190" s="24">
        <f t="shared" si="163"/>
        <v>0.97477862917570679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1.738044375088066E-13</v>
      </c>
      <c r="AK190" s="14">
        <f t="shared" si="164"/>
        <v>2.4483293633950478E-12</v>
      </c>
      <c r="AL190" s="22">
        <f t="shared" si="165"/>
        <v>4.566883036574213E-12</v>
      </c>
      <c r="AM190" s="62">
        <f t="shared" si="113"/>
        <v>289.85810977946096</v>
      </c>
      <c r="AN190" s="62">
        <f ca="1">AVERAGE(OFFSET($AM$3,0,0,'Données projet'!$E$10+1,1))-AVERAGE(OFFSET($H$3,0,0,'Données projet'!$E$10+1,1))</f>
        <v>341.62910675299065</v>
      </c>
      <c r="AO190" s="62">
        <f t="shared" si="144"/>
        <v>407.15938341104709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0.32919902202511775</v>
      </c>
      <c r="AW190" s="23">
        <f>EXP(-LN(2)/2)*AW189+(1-EXP(-LN(2)/2))/(LN(2)/2)*AQ190*AT190*VLOOKUP('Données projet'!$B$10,Paramètres!$A$1:$I$89,3,0)*0.475*44/12</f>
        <v>4.2736689131053524E-23</v>
      </c>
      <c r="AX190" s="23">
        <f t="shared" si="166"/>
        <v>0.32919902202511775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472.83070477639035</v>
      </c>
      <c r="BJ190" s="62">
        <f t="shared" si="146"/>
        <v>297.32483725004136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0.11749607660565844</v>
      </c>
      <c r="BR190" s="23">
        <f>EXP(-LN(2)/2)*BR189+(1-EXP(-LN(2)/2))/(LN(2)/2)*BL190*BO190*VLOOKUP('Données projet'!$B$11,Paramètres!$A$1:$I$89,3,0)*0.475*44/12</f>
        <v>3.4883208170674057E-23</v>
      </c>
      <c r="BS190" s="24">
        <f t="shared" si="169"/>
        <v>0.11749607660565844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projet'!$B$12,Paramètres!$A$1:$I$89,3,0)*VLOOKUP('Données projet'!$B$12,Paramètres!$A$1:$I$89,5,0)</f>
        <v>-9.3109520094003535E-14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262.64209686767367</v>
      </c>
      <c r="CE190" s="62">
        <f t="shared" si="148"/>
        <v>381.0342365342517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0.25949059585594425</v>
      </c>
      <c r="CL190" s="23">
        <f>EXP(-LN(2)/25)*CL189+(1-EXP(-LN(2)/25))/(LN(2)/25)*Calculateur!CG190*Calculateur!CI190*VLOOKUP('Données projet'!$B$12,Paramètres!$A$1:$I$89,3,0)*0.475*44/12</f>
        <v>0.16779145962185557</v>
      </c>
      <c r="CM190" s="23">
        <f>EXP(-LN(2)/2)*CM189+(1-EXP(-LN(2)/2))/(LN(2)/2)*CG190*CJ190*VLOOKUP('Données projet'!$B$12,Paramètres!$A$1:$I$89,3,0)*0.475*44/12</f>
        <v>2.8945813356162232E-23</v>
      </c>
      <c r="CN190" s="24">
        <f t="shared" si="172"/>
        <v>0.42728205547779985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-8.3355189417488869E-14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250.11765444522138</v>
      </c>
      <c r="CZ190" s="62">
        <f t="shared" si="150"/>
        <v>241.42920565698913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0.12529223136531764</v>
      </c>
      <c r="DH190" s="23">
        <f>EXP(-LN(2)/2)*DH189+(1-EXP(-LN(2)/2))/(LN(2)/2)*DB190*DE190*VLOOKUP('Données projet'!$B$13,Paramètres!$A$1:$I$89,3,0)*0.475*44/12</f>
        <v>1.1733664350821822E-22</v>
      </c>
      <c r="DI190" s="24">
        <f t="shared" si="175"/>
        <v>0.12529223136531764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419.0448820879102</v>
      </c>
      <c r="T191" s="62">
        <f t="shared" si="142"/>
        <v>553.33038335026379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0.65947218401573648</v>
      </c>
      <c r="AA191" s="23">
        <f>EXP(-LN(2)/25)*AA190+(1-EXP(-LN(2)/25))/(LN(2)/25)*Calculateur!V191*Calculateur!X191*VLOOKUP('Données projet'!$B$9,Paramètres!$A$1:$I$89,3,0)*0.475*44/12</f>
        <v>0.29385456384121644</v>
      </c>
      <c r="AB191" s="23">
        <f>EXP(-LN(2)/2)*AB190+(1-EXP(-LN(2)/2))/(LN(2)/2)*V191*Y191*VLOOKUP('Données projet'!$B$9,Paramètres!$A$1:$I$89,3,0)*0.475*44/12</f>
        <v>2.9654433236631033E-23</v>
      </c>
      <c r="AC191" s="24">
        <f t="shared" si="163"/>
        <v>0.95332674785695293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1.738044375088066E-13</v>
      </c>
      <c r="AK191" s="14">
        <f t="shared" si="164"/>
        <v>2.4483293633950478E-12</v>
      </c>
      <c r="AL191" s="22">
        <f t="shared" si="165"/>
        <v>4.566883036574213E-12</v>
      </c>
      <c r="AM191" s="62">
        <f t="shared" si="113"/>
        <v>289.91839713868478</v>
      </c>
      <c r="AN191" s="62">
        <f ca="1">AVERAGE(OFFSET($AM$3,0,0,'Données projet'!$E$10+1,1))-AVERAGE(OFFSET($H$3,0,0,'Données projet'!$E$10+1,1))</f>
        <v>341.62910675299065</v>
      </c>
      <c r="AO191" s="62">
        <f t="shared" si="144"/>
        <v>407.15938341104709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0.32019705745601673</v>
      </c>
      <c r="AW191" s="23">
        <f>EXP(-LN(2)/2)*AW190+(1-EXP(-LN(2)/2))/(LN(2)/2)*AQ191*AT191*VLOOKUP('Données projet'!$B$10,Paramètres!$A$1:$I$89,3,0)*0.475*44/12</f>
        <v>3.0219402690029367E-23</v>
      </c>
      <c r="AX191" s="23">
        <f t="shared" si="166"/>
        <v>0.32019705745601673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472.83070477639035</v>
      </c>
      <c r="BJ191" s="62">
        <f t="shared" si="146"/>
        <v>297.32483725004136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0.11428314021202658</v>
      </c>
      <c r="BR191" s="23">
        <f>EXP(-LN(2)/2)*BR190+(1-EXP(-LN(2)/2))/(LN(2)/2)*BL191*BO191*VLOOKUP('Données projet'!$B$11,Paramètres!$A$1:$I$89,3,0)*0.475*44/12</f>
        <v>2.4666153047025607E-23</v>
      </c>
      <c r="BS191" s="24">
        <f t="shared" si="169"/>
        <v>0.11428314021202658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projet'!$B$12,Paramètres!$A$1:$I$89,3,0)*VLOOKUP('Données projet'!$B$12,Paramètres!$A$1:$I$89,5,0)</f>
        <v>-9.3109520094003535E-14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262.64209686767367</v>
      </c>
      <c r="CE191" s="62">
        <f t="shared" si="148"/>
        <v>381.0342365342517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0.25440214354484442</v>
      </c>
      <c r="CL191" s="23">
        <f>EXP(-LN(2)/25)*CL190+(1-EXP(-LN(2)/25))/(LN(2)/25)*Calculateur!CG191*Calculateur!CI191*VLOOKUP('Données projet'!$B$12,Paramètres!$A$1:$I$89,3,0)*0.475*44/12</f>
        <v>0.16320319333472655</v>
      </c>
      <c r="CM191" s="23">
        <f>EXP(-LN(2)/2)*CM190+(1-EXP(-LN(2)/2))/(LN(2)/2)*CG191*CJ191*VLOOKUP('Données projet'!$B$12,Paramètres!$A$1:$I$89,3,0)*0.475*44/12</f>
        <v>2.0467780911102453E-23</v>
      </c>
      <c r="CN191" s="24">
        <f t="shared" si="172"/>
        <v>0.41760533687957097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-8.3355189417488869E-14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250.11765444522138</v>
      </c>
      <c r="CZ191" s="62">
        <f t="shared" si="150"/>
        <v>241.42920565698913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0.12186610870980094</v>
      </c>
      <c r="DH191" s="23">
        <f>EXP(-LN(2)/2)*DH190+(1-EXP(-LN(2)/2))/(LN(2)/2)*DB191*DE191*VLOOKUP('Données projet'!$B$13,Paramètres!$A$1:$I$89,3,0)*0.475*44/12</f>
        <v>8.2969536306329593E-23</v>
      </c>
      <c r="DI191" s="24">
        <f t="shared" si="175"/>
        <v>0.12186610870980094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419.0448820879102</v>
      </c>
      <c r="T192" s="62">
        <f t="shared" si="142"/>
        <v>553.33038335026379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0.64654033672550237</v>
      </c>
      <c r="AA192" s="23">
        <f>EXP(-LN(2)/25)*AA191+(1-EXP(-LN(2)/25))/(LN(2)/25)*Calculateur!V192*Calculateur!X192*VLOOKUP('Données projet'!$B$9,Paramètres!$A$1:$I$89,3,0)*0.475*44/12</f>
        <v>0.28581909533983846</v>
      </c>
      <c r="AB192" s="23">
        <f>EXP(-LN(2)/2)*AB191+(1-EXP(-LN(2)/2))/(LN(2)/2)*V192*Y192*VLOOKUP('Données projet'!$B$9,Paramètres!$A$1:$I$89,3,0)*0.475*44/12</f>
        <v>2.0968850833865543E-23</v>
      </c>
      <c r="AC192" s="24">
        <f t="shared" si="163"/>
        <v>0.93235943206534078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1.738044375088066E-13</v>
      </c>
      <c r="AK192" s="14">
        <f t="shared" si="164"/>
        <v>2.4483293633950478E-12</v>
      </c>
      <c r="AL192" s="22">
        <f t="shared" si="165"/>
        <v>4.566883036574213E-12</v>
      </c>
      <c r="AM192" s="62">
        <f t="shared" si="113"/>
        <v>289.9776386470084</v>
      </c>
      <c r="AN192" s="62">
        <f ca="1">AVERAGE(OFFSET($AM$3,0,0,'Données projet'!$E$10+1,1))-AVERAGE(OFFSET($H$3,0,0,'Données projet'!$E$10+1,1))</f>
        <v>341.62910675299065</v>
      </c>
      <c r="AO192" s="62">
        <f t="shared" si="144"/>
        <v>407.15938341104709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0.31144125208145051</v>
      </c>
      <c r="AW192" s="23">
        <f>EXP(-LN(2)/2)*AW191+(1-EXP(-LN(2)/2))/(LN(2)/2)*AQ192*AT192*VLOOKUP('Données projet'!$B$10,Paramètres!$A$1:$I$89,3,0)*0.475*44/12</f>
        <v>2.1368344565526762E-23</v>
      </c>
      <c r="AX192" s="23">
        <f t="shared" si="166"/>
        <v>0.31144125208145051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472.83070477639035</v>
      </c>
      <c r="BJ192" s="62">
        <f t="shared" si="146"/>
        <v>297.32483725004136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0.11115806173303958</v>
      </c>
      <c r="BR192" s="23">
        <f>EXP(-LN(2)/2)*BR191+(1-EXP(-LN(2)/2))/(LN(2)/2)*BL192*BO192*VLOOKUP('Données projet'!$B$11,Paramètres!$A$1:$I$89,3,0)*0.475*44/12</f>
        <v>1.7441604085337028E-23</v>
      </c>
      <c r="BS192" s="24">
        <f t="shared" si="169"/>
        <v>0.11115806173303958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projet'!$B$12,Paramètres!$A$1:$I$89,3,0)*VLOOKUP('Données projet'!$B$12,Paramètres!$A$1:$I$89,5,0)</f>
        <v>-9.3109520094003535E-14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262.64209686767367</v>
      </c>
      <c r="CE192" s="62">
        <f t="shared" si="148"/>
        <v>381.0342365342517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0.24941347267991582</v>
      </c>
      <c r="CL192" s="23">
        <f>EXP(-LN(2)/25)*CL191+(1-EXP(-LN(2)/25))/(LN(2)/25)*Calculateur!CG192*Calculateur!CI192*VLOOKUP('Données projet'!$B$12,Paramètres!$A$1:$I$89,3,0)*0.475*44/12</f>
        <v>0.15874039343050553</v>
      </c>
      <c r="CM192" s="23">
        <f>EXP(-LN(2)/2)*CM191+(1-EXP(-LN(2)/2))/(LN(2)/2)*CG192*CJ192*VLOOKUP('Données projet'!$B$12,Paramètres!$A$1:$I$89,3,0)*0.475*44/12</f>
        <v>1.4472906678081116E-23</v>
      </c>
      <c r="CN192" s="24">
        <f t="shared" si="172"/>
        <v>0.40815386611042137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-8.3355189417488869E-14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250.11765444522138</v>
      </c>
      <c r="CZ192" s="62">
        <f t="shared" si="150"/>
        <v>241.42920565698913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0.1185336735584713</v>
      </c>
      <c r="DH192" s="23">
        <f>EXP(-LN(2)/2)*DH191+(1-EXP(-LN(2)/2))/(LN(2)/2)*DB192*DE192*VLOOKUP('Données projet'!$B$13,Paramètres!$A$1:$I$89,3,0)*0.475*44/12</f>
        <v>5.8668321754109109E-23</v>
      </c>
      <c r="DI192" s="24">
        <f t="shared" si="175"/>
        <v>0.1185336735584713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419.0448820879102</v>
      </c>
      <c r="T193" s="62">
        <f t="shared" si="142"/>
        <v>553.33038335026379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0.63386207507298176</v>
      </c>
      <c r="AA193" s="23">
        <f>EXP(-LN(2)/25)*AA192+(1-EXP(-LN(2)/25))/(LN(2)/25)*Calculateur!V193*Calculateur!X193*VLOOKUP('Données projet'!$B$9,Paramètres!$A$1:$I$89,3,0)*0.475*44/12</f>
        <v>0.27800335714719759</v>
      </c>
      <c r="AB193" s="23">
        <f>EXP(-LN(2)/2)*AB192+(1-EXP(-LN(2)/2))/(LN(2)/2)*V193*Y193*VLOOKUP('Données projet'!$B$9,Paramètres!$A$1:$I$89,3,0)*0.475*44/12</f>
        <v>1.4827216618315517E-23</v>
      </c>
      <c r="AC193" s="24">
        <f t="shared" si="163"/>
        <v>0.91186543222017935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1.738044375088066E-13</v>
      </c>
      <c r="AK193" s="14">
        <f t="shared" si="164"/>
        <v>2.4483293633950478E-12</v>
      </c>
      <c r="AL193" s="22">
        <f t="shared" si="165"/>
        <v>4.566883036574213E-12</v>
      </c>
      <c r="AM193" s="62">
        <f t="shared" si="113"/>
        <v>290.03585244760683</v>
      </c>
      <c r="AN193" s="62">
        <f ca="1">AVERAGE(OFFSET($AM$3,0,0,'Données projet'!$E$10+1,1))-AVERAGE(OFFSET($H$3,0,0,'Données projet'!$E$10+1,1))</f>
        <v>341.62910675299065</v>
      </c>
      <c r="AO193" s="62">
        <f t="shared" si="144"/>
        <v>407.15938341104709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0.3029248746652996</v>
      </c>
      <c r="AW193" s="23">
        <f>EXP(-LN(2)/2)*AW192+(1-EXP(-LN(2)/2))/(LN(2)/2)*AQ193*AT193*VLOOKUP('Données projet'!$B$10,Paramètres!$A$1:$I$89,3,0)*0.475*44/12</f>
        <v>1.5109701345014684E-23</v>
      </c>
      <c r="AX193" s="23">
        <f t="shared" si="166"/>
        <v>0.3029248746652996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472.83070477639035</v>
      </c>
      <c r="BJ193" s="62">
        <f t="shared" si="146"/>
        <v>297.32483725004136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0.1081184386894012</v>
      </c>
      <c r="BR193" s="23">
        <f>EXP(-LN(2)/2)*BR192+(1-EXP(-LN(2)/2))/(LN(2)/2)*BL193*BO193*VLOOKUP('Données projet'!$B$11,Paramètres!$A$1:$I$89,3,0)*0.475*44/12</f>
        <v>1.2333076523512804E-23</v>
      </c>
      <c r="BS193" s="24">
        <f t="shared" si="169"/>
        <v>0.1081184386894012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projet'!$B$12,Paramètres!$A$1:$I$89,3,0)*VLOOKUP('Données projet'!$B$12,Paramètres!$A$1:$I$89,5,0)</f>
        <v>-9.3109520094003535E-14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262.64209686767367</v>
      </c>
      <c r="CE193" s="62">
        <f t="shared" si="148"/>
        <v>381.0342365342517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0.2445226266078597</v>
      </c>
      <c r="CL193" s="23">
        <f>EXP(-LN(2)/25)*CL192+(1-EXP(-LN(2)/25))/(LN(2)/25)*Calculateur!CG193*Calculateur!CI193*VLOOKUP('Données projet'!$B$12,Paramètres!$A$1:$I$89,3,0)*0.475*44/12</f>
        <v>0.15439962902435386</v>
      </c>
      <c r="CM193" s="23">
        <f>EXP(-LN(2)/2)*CM192+(1-EXP(-LN(2)/2))/(LN(2)/2)*CG193*CJ193*VLOOKUP('Données projet'!$B$12,Paramètres!$A$1:$I$89,3,0)*0.475*44/12</f>
        <v>1.0233890455551226E-23</v>
      </c>
      <c r="CN193" s="24">
        <f t="shared" si="172"/>
        <v>0.39892225563221356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-8.3355189417488869E-14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250.11765444522138</v>
      </c>
      <c r="CZ193" s="62">
        <f t="shared" si="150"/>
        <v>241.42920565698913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0.11529236402159992</v>
      </c>
      <c r="DH193" s="23">
        <f>EXP(-LN(2)/2)*DH192+(1-EXP(-LN(2)/2))/(LN(2)/2)*DB193*DE193*VLOOKUP('Données projet'!$B$13,Paramètres!$A$1:$I$89,3,0)*0.475*44/12</f>
        <v>4.1484768153164797E-23</v>
      </c>
      <c r="DI193" s="24">
        <f t="shared" si="175"/>
        <v>0.11529236402159992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419.0448820879102</v>
      </c>
      <c r="T194" s="62">
        <f t="shared" si="142"/>
        <v>553.33038335026379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0.62143242639849106</v>
      </c>
      <c r="AA194" s="23">
        <f>EXP(-LN(2)/25)*AA193+(1-EXP(-LN(2)/25))/(LN(2)/25)*Calculateur!V194*Calculateur!X194*VLOOKUP('Données projet'!$B$9,Paramètres!$A$1:$I$89,3,0)*0.475*44/12</f>
        <v>0.27040134072644628</v>
      </c>
      <c r="AB194" s="23">
        <f>EXP(-LN(2)/2)*AB193+(1-EXP(-LN(2)/2))/(LN(2)/2)*V194*Y194*VLOOKUP('Données projet'!$B$9,Paramètres!$A$1:$I$89,3,0)*0.475*44/12</f>
        <v>1.0484425416932771E-23</v>
      </c>
      <c r="AC194" s="24">
        <f t="shared" si="163"/>
        <v>0.89183376712493734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1.738044375088066E-13</v>
      </c>
      <c r="AK194" s="14">
        <f t="shared" si="164"/>
        <v>2.4483293633950478E-12</v>
      </c>
      <c r="AL194" s="22">
        <f t="shared" si="165"/>
        <v>4.566883036574213E-12</v>
      </c>
      <c r="AM194" s="62">
        <f t="shared" si="113"/>
        <v>290.09305636891139</v>
      </c>
      <c r="AN194" s="62">
        <f ca="1">AVERAGE(OFFSET($AM$3,0,0,'Données projet'!$E$10+1,1))-AVERAGE(OFFSET($H$3,0,0,'Données projet'!$E$10+1,1))</f>
        <v>341.62910675299065</v>
      </c>
      <c r="AO194" s="62">
        <f t="shared" si="144"/>
        <v>407.15938341104709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0.29464137803745016</v>
      </c>
      <c r="AW194" s="23">
        <f>EXP(-LN(2)/2)*AW193+(1-EXP(-LN(2)/2))/(LN(2)/2)*AQ194*AT194*VLOOKUP('Données projet'!$B$10,Paramètres!$A$1:$I$89,3,0)*0.475*44/12</f>
        <v>1.0684172282763381E-23</v>
      </c>
      <c r="AX194" s="23">
        <f t="shared" si="166"/>
        <v>0.29464137803745016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472.83070477639035</v>
      </c>
      <c r="BJ194" s="62">
        <f t="shared" si="146"/>
        <v>297.32483725004136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0.10516193429773794</v>
      </c>
      <c r="BR194" s="23">
        <f>EXP(-LN(2)/2)*BR193+(1-EXP(-LN(2)/2))/(LN(2)/2)*BL194*BO194*VLOOKUP('Données projet'!$B$11,Paramètres!$A$1:$I$89,3,0)*0.475*44/12</f>
        <v>8.7208020426685142E-24</v>
      </c>
      <c r="BS194" s="24">
        <f t="shared" si="169"/>
        <v>0.10516193429773794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projet'!$B$12,Paramètres!$A$1:$I$89,3,0)*VLOOKUP('Données projet'!$B$12,Paramètres!$A$1:$I$89,5,0)</f>
        <v>-9.3109520094003535E-14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262.64209686767367</v>
      </c>
      <c r="CE194" s="62">
        <f t="shared" si="148"/>
        <v>381.0342365342517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0.23972768704415504</v>
      </c>
      <c r="CL194" s="23">
        <f>EXP(-LN(2)/25)*CL193+(1-EXP(-LN(2)/25))/(LN(2)/25)*Calculateur!CG194*Calculateur!CI194*VLOOKUP('Données projet'!$B$12,Paramètres!$A$1:$I$89,3,0)*0.475*44/12</f>
        <v>0.1501775630491593</v>
      </c>
      <c r="CM194" s="23">
        <f>EXP(-LN(2)/2)*CM193+(1-EXP(-LN(2)/2))/(LN(2)/2)*CG194*CJ194*VLOOKUP('Données projet'!$B$12,Paramètres!$A$1:$I$89,3,0)*0.475*44/12</f>
        <v>7.2364533390405581E-24</v>
      </c>
      <c r="CN194" s="24">
        <f t="shared" si="172"/>
        <v>0.38990525009331434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-8.3355189417488869E-14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250.11765444522138</v>
      </c>
      <c r="CZ194" s="62">
        <f t="shared" si="150"/>
        <v>241.42920565698913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0.11213968826446735</v>
      </c>
      <c r="DH194" s="23">
        <f>EXP(-LN(2)/2)*DH193+(1-EXP(-LN(2)/2))/(LN(2)/2)*DB194*DE194*VLOOKUP('Données projet'!$B$13,Paramètres!$A$1:$I$89,3,0)*0.475*44/12</f>
        <v>2.9334160877054555E-23</v>
      </c>
      <c r="DI194" s="24">
        <f t="shared" si="175"/>
        <v>0.11213968826446735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419.0448820879102</v>
      </c>
      <c r="T195" s="62">
        <f t="shared" si="142"/>
        <v>553.33038335026379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0.60924651555317</v>
      </c>
      <c r="AA195" s="23">
        <f>EXP(-LN(2)/25)*AA194+(1-EXP(-LN(2)/25))/(LN(2)/25)*Calculateur!V195*Calculateur!X195*VLOOKUP('Données projet'!$B$9,Paramètres!$A$1:$I$89,3,0)*0.475*44/12</f>
        <v>0.26300720184449311</v>
      </c>
      <c r="AB195" s="23">
        <f>EXP(-LN(2)/2)*AB194+(1-EXP(-LN(2)/2))/(LN(2)/2)*V195*Y195*VLOOKUP('Données projet'!$B$9,Paramètres!$A$1:$I$89,3,0)*0.475*44/12</f>
        <v>7.4136083091577583E-24</v>
      </c>
      <c r="AC195" s="24">
        <f t="shared" si="163"/>
        <v>0.87225371739766311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1.738044375088066E-13</v>
      </c>
      <c r="AK195" s="14">
        <f t="shared" si="164"/>
        <v>2.4483293633950478E-12</v>
      </c>
      <c r="AL195" s="22">
        <f t="shared" si="165"/>
        <v>4.566883036574213E-12</v>
      </c>
      <c r="AM195" s="62">
        <f t="shared" si="113"/>
        <v>290.14926793007021</v>
      </c>
      <c r="AN195" s="62">
        <f ca="1">AVERAGE(OFFSET($AM$3,0,0,'Données projet'!$E$10+1,1))-AVERAGE(OFFSET($H$3,0,0,'Données projet'!$E$10+1,1))</f>
        <v>341.62910675299065</v>
      </c>
      <c r="AO195" s="62">
        <f t="shared" si="144"/>
        <v>407.15938341104709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0.2865843940604994</v>
      </c>
      <c r="AW195" s="23">
        <f>EXP(-LN(2)/2)*AW194+(1-EXP(-LN(2)/2))/(LN(2)/2)*AQ195*AT195*VLOOKUP('Données projet'!$B$10,Paramètres!$A$1:$I$89,3,0)*0.475*44/12</f>
        <v>7.5548506725073418E-24</v>
      </c>
      <c r="AX195" s="23">
        <f t="shared" si="166"/>
        <v>0.2865843940604994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472.83070477639035</v>
      </c>
      <c r="BJ195" s="62">
        <f t="shared" si="146"/>
        <v>297.32483725004136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0.10228627567414053</v>
      </c>
      <c r="BR195" s="23">
        <f>EXP(-LN(2)/2)*BR194+(1-EXP(-LN(2)/2))/(LN(2)/2)*BL195*BO195*VLOOKUP('Données projet'!$B$11,Paramètres!$A$1:$I$89,3,0)*0.475*44/12</f>
        <v>6.1665382617564018E-24</v>
      </c>
      <c r="BS195" s="24">
        <f t="shared" si="169"/>
        <v>0.10228627567414053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projet'!$B$12,Paramètres!$A$1:$I$89,3,0)*VLOOKUP('Données projet'!$B$12,Paramètres!$A$1:$I$89,5,0)</f>
        <v>-9.3109520094003535E-14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262.64209686767367</v>
      </c>
      <c r="CE195" s="62">
        <f t="shared" si="148"/>
        <v>381.0342365342517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0.23502677332067029</v>
      </c>
      <c r="CL195" s="23">
        <f>EXP(-LN(2)/25)*CL194+(1-EXP(-LN(2)/25))/(LN(2)/25)*Calculateur!CG195*Calculateur!CI195*VLOOKUP('Données projet'!$B$12,Paramètres!$A$1:$I$89,3,0)*0.475*44/12</f>
        <v>0.14607094969008524</v>
      </c>
      <c r="CM195" s="23">
        <f>EXP(-LN(2)/2)*CM194+(1-EXP(-LN(2)/2))/(LN(2)/2)*CG195*CJ195*VLOOKUP('Données projet'!$B$12,Paramètres!$A$1:$I$89,3,0)*0.475*44/12</f>
        <v>5.1169452277756132E-24</v>
      </c>
      <c r="CN195" s="24">
        <f t="shared" si="172"/>
        <v>0.38109772301075551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-8.3355189417488869E-14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250.11765444522138</v>
      </c>
      <c r="CZ195" s="62">
        <f t="shared" si="150"/>
        <v>241.42920565698913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0.10907322259170558</v>
      </c>
      <c r="DH195" s="23">
        <f>EXP(-LN(2)/2)*DH194+(1-EXP(-LN(2)/2))/(LN(2)/2)*DB195*DE195*VLOOKUP('Données projet'!$B$13,Paramètres!$A$1:$I$89,3,0)*0.475*44/12</f>
        <v>2.0742384076582398E-23</v>
      </c>
      <c r="DI195" s="24">
        <f t="shared" si="175"/>
        <v>0.10907322259170558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419.0448820879102</v>
      </c>
      <c r="T196" s="62">
        <f t="shared" si="142"/>
        <v>553.33038335026379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0.59729956298685405</v>
      </c>
      <c r="AA196" s="23">
        <f>EXP(-LN(2)/25)*AA195+(1-EXP(-LN(2)/25))/(LN(2)/25)*Calculateur!V196*Calculateur!X196*VLOOKUP('Données projet'!$B$9,Paramètres!$A$1:$I$89,3,0)*0.475*44/12</f>
        <v>0.25581525607910782</v>
      </c>
      <c r="AB196" s="23">
        <f>EXP(-LN(2)/2)*AB195+(1-EXP(-LN(2)/2))/(LN(2)/2)*V196*Y196*VLOOKUP('Données projet'!$B$9,Paramètres!$A$1:$I$89,3,0)*0.475*44/12</f>
        <v>5.2422127084663856E-24</v>
      </c>
      <c r="AC196" s="24">
        <f t="shared" si="163"/>
        <v>0.85311481906596187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1.738044375088066E-13</v>
      </c>
      <c r="AK196" s="14">
        <f t="shared" si="164"/>
        <v>2.4483293633950478E-12</v>
      </c>
      <c r="AL196" s="22">
        <f t="shared" si="165"/>
        <v>4.566883036574213E-12</v>
      </c>
      <c r="AM196" s="62">
        <f t="shared" ref="AM196:AM203" si="193">AL196+(AD196+AE196)*44/12</f>
        <v>290.20450434631306</v>
      </c>
      <c r="AN196" s="62">
        <f ca="1">AVERAGE(OFFSET($AM$3,0,0,'Données projet'!$E$10+1,1))-AVERAGE(OFFSET($H$3,0,0,'Données projet'!$E$10+1,1))</f>
        <v>341.62910675299065</v>
      </c>
      <c r="AO196" s="62">
        <f t="shared" si="144"/>
        <v>407.15938341104709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0.27874772873409676</v>
      </c>
      <c r="AW196" s="23">
        <f>EXP(-LN(2)/2)*AW195+(1-EXP(-LN(2)/2))/(LN(2)/2)*AQ196*AT196*VLOOKUP('Données projet'!$B$10,Paramètres!$A$1:$I$89,3,0)*0.475*44/12</f>
        <v>5.3420861413816905E-24</v>
      </c>
      <c r="AX196" s="23">
        <f t="shared" si="166"/>
        <v>0.27874772873409676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472.83070477639035</v>
      </c>
      <c r="BJ196" s="62">
        <f t="shared" si="146"/>
        <v>297.32483725004136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9.9489252086829696E-2</v>
      </c>
      <c r="BR196" s="23">
        <f>EXP(-LN(2)/2)*BR195+(1-EXP(-LN(2)/2))/(LN(2)/2)*BL196*BO196*VLOOKUP('Données projet'!$B$11,Paramètres!$A$1:$I$89,3,0)*0.475*44/12</f>
        <v>4.3604010213342571E-24</v>
      </c>
      <c r="BS196" s="24">
        <f t="shared" si="169"/>
        <v>9.9489252086829696E-2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projet'!$B$12,Paramètres!$A$1:$I$89,3,0)*VLOOKUP('Données projet'!$B$12,Paramètres!$A$1:$I$89,5,0)</f>
        <v>-9.3109520094003535E-14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262.64209686767367</v>
      </c>
      <c r="CE196" s="62">
        <f t="shared" si="148"/>
        <v>381.0342365342517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0.23041804164802882</v>
      </c>
      <c r="CL196" s="23">
        <f>EXP(-LN(2)/25)*CL195+(1-EXP(-LN(2)/25))/(LN(2)/25)*Calculateur!CG196*Calculateur!CI196*VLOOKUP('Données projet'!$B$12,Paramètres!$A$1:$I$89,3,0)*0.475*44/12</f>
        <v>0.14207663188927247</v>
      </c>
      <c r="CM196" s="23">
        <f>EXP(-LN(2)/2)*CM195+(1-EXP(-LN(2)/2))/(LN(2)/2)*CG196*CJ196*VLOOKUP('Données projet'!$B$12,Paramètres!$A$1:$I$89,3,0)*0.475*44/12</f>
        <v>3.6182266695202791E-24</v>
      </c>
      <c r="CN196" s="24">
        <f t="shared" si="172"/>
        <v>0.37249467353730126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-8.3355189417488869E-14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250.11765444522138</v>
      </c>
      <c r="CZ196" s="62">
        <f t="shared" si="150"/>
        <v>241.42920565698913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0.10609060958402391</v>
      </c>
      <c r="DH196" s="23">
        <f>EXP(-LN(2)/2)*DH195+(1-EXP(-LN(2)/2))/(LN(2)/2)*DB196*DE196*VLOOKUP('Données projet'!$B$13,Paramètres!$A$1:$I$89,3,0)*0.475*44/12</f>
        <v>1.4667080438527277E-23</v>
      </c>
      <c r="DI196" s="24">
        <f t="shared" si="175"/>
        <v>0.10609060958402391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419.0448820879102</v>
      </c>
      <c r="T197" s="62">
        <f t="shared" ref="T197:T203" si="204">$T$3</f>
        <v>553.33038335026379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0.58558688287344196</v>
      </c>
      <c r="AA197" s="23">
        <f>EXP(-LN(2)/25)*AA196+(1-EXP(-LN(2)/25))/(LN(2)/25)*Calculateur!V197*Calculateur!X197*VLOOKUP('Données projet'!$B$9,Paramètres!$A$1:$I$89,3,0)*0.475*44/12</f>
        <v>0.24881997444888498</v>
      </c>
      <c r="AB197" s="23">
        <f>EXP(-LN(2)/2)*AB196+(1-EXP(-LN(2)/2))/(LN(2)/2)*V197*Y197*VLOOKUP('Données projet'!$B$9,Paramètres!$A$1:$I$89,3,0)*0.475*44/12</f>
        <v>3.7068041545788791E-24</v>
      </c>
      <c r="AC197" s="24">
        <f t="shared" si="163"/>
        <v>0.83440685732232689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1.738044375088066E-13</v>
      </c>
      <c r="AK197" s="14">
        <f t="shared" si="164"/>
        <v>2.4483293633950478E-12</v>
      </c>
      <c r="AL197" s="22">
        <f t="shared" si="165"/>
        <v>4.566883036574213E-12</v>
      </c>
      <c r="AM197" s="62">
        <f t="shared" si="193"/>
        <v>290.25878253422428</v>
      </c>
      <c r="AN197" s="62">
        <f ca="1">AVERAGE(OFFSET($AM$3,0,0,'Données projet'!$E$10+1,1))-AVERAGE(OFFSET($H$3,0,0,'Données projet'!$E$10+1,1))</f>
        <v>341.62910675299065</v>
      </c>
      <c r="AO197" s="62">
        <f t="shared" ref="AO197:AO203" si="205">$AO$3</f>
        <v>407.15938341104709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0.27112535743315691</v>
      </c>
      <c r="AW197" s="23">
        <f>EXP(-LN(2)/2)*AW196+(1-EXP(-LN(2)/2))/(LN(2)/2)*AQ197*AT197*VLOOKUP('Données projet'!$B$10,Paramètres!$A$1:$I$89,3,0)*0.475*44/12</f>
        <v>3.7774253362536709E-24</v>
      </c>
      <c r="AX197" s="23">
        <f t="shared" si="166"/>
        <v>0.27112535743315691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472.83070477639035</v>
      </c>
      <c r="BJ197" s="62">
        <f t="shared" ref="BJ197:BJ203" si="206">$BJ$3</f>
        <v>297.32483725004136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9.6768713256602953E-2</v>
      </c>
      <c r="BR197" s="23">
        <f>EXP(-LN(2)/2)*BR196+(1-EXP(-LN(2)/2))/(LN(2)/2)*BL197*BO197*VLOOKUP('Données projet'!$B$11,Paramètres!$A$1:$I$89,3,0)*0.475*44/12</f>
        <v>3.0832691308782009E-24</v>
      </c>
      <c r="BS197" s="24">
        <f t="shared" si="169"/>
        <v>9.6768713256602953E-2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projet'!$B$12,Paramètres!$A$1:$I$89,3,0)*VLOOKUP('Données projet'!$B$12,Paramètres!$A$1:$I$89,5,0)</f>
        <v>-9.3109520094003535E-14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262.64209686767367</v>
      </c>
      <c r="CE197" s="62">
        <f t="shared" ref="CE197:CE203" si="207">$CE$3</f>
        <v>381.0342365342517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0.2258996843924391</v>
      </c>
      <c r="CL197" s="23">
        <f>EXP(-LN(2)/25)*CL196+(1-EXP(-LN(2)/25))/(LN(2)/25)*Calculateur!CG197*Calculateur!CI197*VLOOKUP('Données projet'!$B$12,Paramètres!$A$1:$I$89,3,0)*0.475*44/12</f>
        <v>0.13819153891877498</v>
      </c>
      <c r="CM197" s="23">
        <f>EXP(-LN(2)/2)*CM196+(1-EXP(-LN(2)/2))/(LN(2)/2)*CG197*CJ197*VLOOKUP('Données projet'!$B$12,Paramètres!$A$1:$I$89,3,0)*0.475*44/12</f>
        <v>2.5584726138878066E-24</v>
      </c>
      <c r="CN197" s="24">
        <f t="shared" si="172"/>
        <v>0.36409122331121407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-8.3355189417488869E-14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250.11765444522138</v>
      </c>
      <c r="CZ197" s="62">
        <f t="shared" ref="CZ197:CZ203" si="208">$CZ$3</f>
        <v>241.42920565698913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0.10318955628588609</v>
      </c>
      <c r="DH197" s="23">
        <f>EXP(-LN(2)/2)*DH196+(1-EXP(-LN(2)/2))/(LN(2)/2)*DB197*DE197*VLOOKUP('Données projet'!$B$13,Paramètres!$A$1:$I$89,3,0)*0.475*44/12</f>
        <v>1.0371192038291199E-23</v>
      </c>
      <c r="DI197" s="24">
        <f t="shared" si="175"/>
        <v>0.10318955628588609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419.0448820879102</v>
      </c>
      <c r="T198" s="62">
        <f t="shared" si="204"/>
        <v>553.33038335026379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0.57410388127302447</v>
      </c>
      <c r="AA198" s="23">
        <f>EXP(-LN(2)/25)*AA197+(1-EXP(-LN(2)/25))/(LN(2)/25)*Calculateur!V198*Calculateur!X198*VLOOKUP('Données projet'!$B$9,Paramètres!$A$1:$I$89,3,0)*0.475*44/12</f>
        <v>0.24201597916270645</v>
      </c>
      <c r="AB198" s="23">
        <f>EXP(-LN(2)/2)*AB197+(1-EXP(-LN(2)/2))/(LN(2)/2)*V198*Y198*VLOOKUP('Données projet'!$B$9,Paramètres!$A$1:$I$89,3,0)*0.475*44/12</f>
        <v>2.6211063542331928E-24</v>
      </c>
      <c r="AC198" s="24">
        <f t="shared" si="163"/>
        <v>0.81611986043573093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1.738044375088066E-13</v>
      </c>
      <c r="AK198" s="14">
        <f t="shared" si="164"/>
        <v>2.4483293633950478E-12</v>
      </c>
      <c r="AL198" s="22">
        <f t="shared" si="165"/>
        <v>4.566883036574213E-12</v>
      </c>
      <c r="AM198" s="62">
        <f t="shared" si="193"/>
        <v>290.31211911692304</v>
      </c>
      <c r="AN198" s="62">
        <f ca="1">AVERAGE(OFFSET($AM$3,0,0,'Données projet'!$E$10+1,1))-AVERAGE(OFFSET($H$3,0,0,'Données projet'!$E$10+1,1))</f>
        <v>341.62910675299065</v>
      </c>
      <c r="AO198" s="62">
        <f t="shared" si="205"/>
        <v>407.15938341104709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0.26371142027628436</v>
      </c>
      <c r="AW198" s="23">
        <f>EXP(-LN(2)/2)*AW197+(1-EXP(-LN(2)/2))/(LN(2)/2)*AQ198*AT198*VLOOKUP('Données projet'!$B$10,Paramètres!$A$1:$I$89,3,0)*0.475*44/12</f>
        <v>2.6710430706908452E-24</v>
      </c>
      <c r="AX198" s="23">
        <f t="shared" si="166"/>
        <v>0.26371142027628436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472.83070477639035</v>
      </c>
      <c r="BJ198" s="62">
        <f t="shared" si="206"/>
        <v>297.32483725004136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9.4122567703755683E-2</v>
      </c>
      <c r="BR198" s="23">
        <f>EXP(-LN(2)/2)*BR197+(1-EXP(-LN(2)/2))/(LN(2)/2)*BL198*BO198*VLOOKUP('Données projet'!$B$11,Paramètres!$A$1:$I$89,3,0)*0.475*44/12</f>
        <v>2.1802005106671286E-24</v>
      </c>
      <c r="BS198" s="24">
        <f t="shared" si="169"/>
        <v>9.4122567703755683E-2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projet'!$B$12,Paramètres!$A$1:$I$89,3,0)*VLOOKUP('Données projet'!$B$12,Paramètres!$A$1:$I$89,5,0)</f>
        <v>-9.3109520094003535E-14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262.64209686767367</v>
      </c>
      <c r="CE198" s="62">
        <f t="shared" si="207"/>
        <v>381.0342365342517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0.22146992936670568</v>
      </c>
      <c r="CL198" s="23">
        <f>EXP(-LN(2)/25)*CL197+(1-EXP(-LN(2)/25))/(LN(2)/25)*Calculateur!CG198*Calculateur!CI198*VLOOKUP('Données projet'!$B$12,Paramètres!$A$1:$I$89,3,0)*0.475*44/12</f>
        <v>0.13441268401986389</v>
      </c>
      <c r="CM198" s="23">
        <f>EXP(-LN(2)/2)*CM197+(1-EXP(-LN(2)/2))/(LN(2)/2)*CG198*CJ198*VLOOKUP('Données projet'!$B$12,Paramètres!$A$1:$I$89,3,0)*0.475*44/12</f>
        <v>1.8091133347601395E-24</v>
      </c>
      <c r="CN198" s="24">
        <f t="shared" si="172"/>
        <v>0.35588261338656957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-8.3355189417488869E-14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250.11765444522138</v>
      </c>
      <c r="CZ198" s="62">
        <f t="shared" si="208"/>
        <v>241.42920565698913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0.10036783244274562</v>
      </c>
      <c r="DH198" s="23">
        <f>EXP(-LN(2)/2)*DH197+(1-EXP(-LN(2)/2))/(LN(2)/2)*DB198*DE198*VLOOKUP('Données projet'!$B$13,Paramètres!$A$1:$I$89,3,0)*0.475*44/12</f>
        <v>7.3335402192636387E-24</v>
      </c>
      <c r="DI198" s="24">
        <f t="shared" si="175"/>
        <v>0.10036783244274562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419.0448820879102</v>
      </c>
      <c r="T199" s="62">
        <f t="shared" si="204"/>
        <v>553.33038335026379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0.56284605433005175</v>
      </c>
      <c r="AA199" s="23">
        <f>EXP(-LN(2)/25)*AA198+(1-EXP(-LN(2)/25))/(LN(2)/25)*Calculateur!V199*Calculateur!X199*VLOOKUP('Données projet'!$B$9,Paramètres!$A$1:$I$89,3,0)*0.475*44/12</f>
        <v>0.23539803948543503</v>
      </c>
      <c r="AB199" s="23">
        <f>EXP(-LN(2)/2)*AB198+(1-EXP(-LN(2)/2))/(LN(2)/2)*V199*Y199*VLOOKUP('Données projet'!$B$9,Paramètres!$A$1:$I$89,3,0)*0.475*44/12</f>
        <v>1.8534020772894396E-24</v>
      </c>
      <c r="AC199" s="24">
        <f t="shared" si="163"/>
        <v>0.79824409381548678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1.738044375088066E-13</v>
      </c>
      <c r="AK199" s="14">
        <f t="shared" si="164"/>
        <v>2.4483293633950478E-12</v>
      </c>
      <c r="AL199" s="22">
        <f t="shared" si="165"/>
        <v>4.566883036574213E-12</v>
      </c>
      <c r="AM199" s="62">
        <f t="shared" si="193"/>
        <v>290.36453042915474</v>
      </c>
      <c r="AN199" s="62">
        <f ca="1">AVERAGE(OFFSET($AM$3,0,0,'Données projet'!$E$10+1,1))-AVERAGE(OFFSET($H$3,0,0,'Données projet'!$E$10+1,1))</f>
        <v>341.62910675299065</v>
      </c>
      <c r="AO199" s="62">
        <f t="shared" si="205"/>
        <v>407.15938341104709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0.25650021762084851</v>
      </c>
      <c r="AW199" s="23">
        <f>EXP(-LN(2)/2)*AW198+(1-EXP(-LN(2)/2))/(LN(2)/2)*AQ199*AT199*VLOOKUP('Données projet'!$B$10,Paramètres!$A$1:$I$89,3,0)*0.475*44/12</f>
        <v>1.8887126681268355E-24</v>
      </c>
      <c r="AX199" s="23">
        <f t="shared" si="166"/>
        <v>0.25650021762084851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472.83070477639035</v>
      </c>
      <c r="BJ199" s="62">
        <f t="shared" si="206"/>
        <v>297.32483725004136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9.1548781140205773E-2</v>
      </c>
      <c r="BR199" s="23">
        <f>EXP(-LN(2)/2)*BR198+(1-EXP(-LN(2)/2))/(LN(2)/2)*BL199*BO199*VLOOKUP('Données projet'!$B$11,Paramètres!$A$1:$I$89,3,0)*0.475*44/12</f>
        <v>1.5416345654391005E-24</v>
      </c>
      <c r="BS199" s="24">
        <f t="shared" si="169"/>
        <v>9.1548781140205773E-2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projet'!$B$12,Paramètres!$A$1:$I$89,3,0)*VLOOKUP('Données projet'!$B$12,Paramètres!$A$1:$I$89,5,0)</f>
        <v>-9.3109520094003535E-14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262.64209686767367</v>
      </c>
      <c r="CE199" s="62">
        <f t="shared" si="207"/>
        <v>381.0342365342517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0.21712703913514311</v>
      </c>
      <c r="CL199" s="23">
        <f>EXP(-LN(2)/25)*CL198+(1-EXP(-LN(2)/25))/(LN(2)/25)*Calculateur!CG199*Calculateur!CI199*VLOOKUP('Données projet'!$B$12,Paramètres!$A$1:$I$89,3,0)*0.475*44/12</f>
        <v>0.13073716210688488</v>
      </c>
      <c r="CM199" s="23">
        <f>EXP(-LN(2)/2)*CM198+(1-EXP(-LN(2)/2))/(LN(2)/2)*CG199*CJ199*VLOOKUP('Données projet'!$B$12,Paramètres!$A$1:$I$89,3,0)*0.475*44/12</f>
        <v>1.2792363069439033E-24</v>
      </c>
      <c r="CN199" s="24">
        <f t="shared" si="172"/>
        <v>0.34786420124202799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-8.3355189417488869E-14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250.11765444522138</v>
      </c>
      <c r="CZ199" s="62">
        <f t="shared" si="208"/>
        <v>241.42920565698913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9.7623268786483822E-2</v>
      </c>
      <c r="DH199" s="23">
        <f>EXP(-LN(2)/2)*DH198+(1-EXP(-LN(2)/2))/(LN(2)/2)*DB199*DE199*VLOOKUP('Données projet'!$B$13,Paramètres!$A$1:$I$89,3,0)*0.475*44/12</f>
        <v>5.1855960191455996E-24</v>
      </c>
      <c r="DI199" s="24">
        <f t="shared" si="175"/>
        <v>9.7623268786483822E-2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419.0448820879102</v>
      </c>
      <c r="T200" s="62">
        <f t="shared" si="204"/>
        <v>553.33038335026379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0.5518089865068343</v>
      </c>
      <c r="AA200" s="23">
        <f>EXP(-LN(2)/25)*AA199+(1-EXP(-LN(2)/25))/(LN(2)/25)*Calculateur!V200*Calculateur!X200*VLOOKUP('Données projet'!$B$9,Paramètres!$A$1:$I$89,3,0)*0.475*44/12</f>
        <v>0.22896106771666092</v>
      </c>
      <c r="AB200" s="23">
        <f>EXP(-LN(2)/2)*AB199+(1-EXP(-LN(2)/2))/(LN(2)/2)*V200*Y200*VLOOKUP('Données projet'!$B$9,Paramètres!$A$1:$I$89,3,0)*0.475*44/12</f>
        <v>1.3105531771165964E-24</v>
      </c>
      <c r="AC200" s="24">
        <f t="shared" si="163"/>
        <v>0.78077005422349521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1.738044375088066E-13</v>
      </c>
      <c r="AK200" s="14">
        <f t="shared" si="164"/>
        <v>2.4483293633950478E-12</v>
      </c>
      <c r="AL200" s="22">
        <f t="shared" si="165"/>
        <v>4.566883036574213E-12</v>
      </c>
      <c r="AM200" s="62">
        <f t="shared" si="193"/>
        <v>290.41603252229334</v>
      </c>
      <c r="AN200" s="62">
        <f ca="1">AVERAGE(OFFSET($AM$3,0,0,'Données projet'!$E$10+1,1))-AVERAGE(OFFSET($H$3,0,0,'Données projet'!$E$10+1,1))</f>
        <v>341.62910675299065</v>
      </c>
      <c r="AO200" s="62">
        <f t="shared" si="205"/>
        <v>407.15938341104709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0.24948620568124621</v>
      </c>
      <c r="AW200" s="23">
        <f>EXP(-LN(2)/2)*AW199+(1-EXP(-LN(2)/2))/(LN(2)/2)*AQ200*AT200*VLOOKUP('Données projet'!$B$10,Paramètres!$A$1:$I$89,3,0)*0.475*44/12</f>
        <v>1.3355215353454226E-24</v>
      </c>
      <c r="AX200" s="23">
        <f t="shared" si="166"/>
        <v>0.24948620568124621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472.83070477639035</v>
      </c>
      <c r="BJ200" s="62">
        <f t="shared" si="206"/>
        <v>297.32483725004136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8.9045374905585686E-2</v>
      </c>
      <c r="BR200" s="23">
        <f>EXP(-LN(2)/2)*BR199+(1-EXP(-LN(2)/2))/(LN(2)/2)*BL200*BO200*VLOOKUP('Données projet'!$B$11,Paramètres!$A$1:$I$89,3,0)*0.475*44/12</f>
        <v>1.0901002553335643E-24</v>
      </c>
      <c r="BS200" s="24">
        <f t="shared" si="169"/>
        <v>8.9045374905585686E-2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projet'!$B$12,Paramètres!$A$1:$I$89,3,0)*VLOOKUP('Données projet'!$B$12,Paramètres!$A$1:$I$89,5,0)</f>
        <v>-9.3109520094003535E-14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262.64209686767367</v>
      </c>
      <c r="CE200" s="62">
        <f t="shared" si="207"/>
        <v>381.0342365342517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0.21286931033212</v>
      </c>
      <c r="CL200" s="23">
        <f>EXP(-LN(2)/25)*CL199+(1-EXP(-LN(2)/25))/(LN(2)/25)*Calculateur!CG200*Calculateur!CI200*VLOOKUP('Données projet'!$B$12,Paramètres!$A$1:$I$89,3,0)*0.475*44/12</f>
        <v>0.12716214753390356</v>
      </c>
      <c r="CM200" s="23">
        <f>EXP(-LN(2)/2)*CM199+(1-EXP(-LN(2)/2))/(LN(2)/2)*CG200*CJ200*VLOOKUP('Données projet'!$B$12,Paramètres!$A$1:$I$89,3,0)*0.475*44/12</f>
        <v>9.0455666738006976E-25</v>
      </c>
      <c r="CN200" s="24">
        <f t="shared" si="172"/>
        <v>0.34003145786602357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-8.3355189417488869E-14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250.11765444522138</v>
      </c>
      <c r="CZ200" s="62">
        <f t="shared" si="208"/>
        <v>241.42920565698913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9.4953755367732831E-2</v>
      </c>
      <c r="DH200" s="23">
        <f>EXP(-LN(2)/2)*DH199+(1-EXP(-LN(2)/2))/(LN(2)/2)*DB200*DE200*VLOOKUP('Données projet'!$B$13,Paramètres!$A$1:$I$89,3,0)*0.475*44/12</f>
        <v>3.6667701096318193E-24</v>
      </c>
      <c r="DI200" s="24">
        <f t="shared" si="175"/>
        <v>9.4953755367732831E-2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419.0448820879102</v>
      </c>
      <c r="T201" s="62">
        <f t="shared" si="204"/>
        <v>553.33038335026379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0.54098834885168345</v>
      </c>
      <c r="AA201" s="23">
        <f>EXP(-LN(2)/25)*AA200+(1-EXP(-LN(2)/25))/(LN(2)/25)*Calculateur!V201*Calculateur!X201*VLOOKUP('Données projet'!$B$9,Paramètres!$A$1:$I$89,3,0)*0.475*44/12</f>
        <v>0.22270011527940958</v>
      </c>
      <c r="AB201" s="23">
        <f>EXP(-LN(2)/2)*AB200+(1-EXP(-LN(2)/2))/(LN(2)/2)*V201*Y201*VLOOKUP('Données projet'!$B$9,Paramètres!$A$1:$I$89,3,0)*0.475*44/12</f>
        <v>9.2670103864471979E-25</v>
      </c>
      <c r="AC201" s="24">
        <f t="shared" si="163"/>
        <v>0.76368846413109304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1.738044375088066E-13</v>
      </c>
      <c r="AK201" s="14">
        <f t="shared" si="164"/>
        <v>2.4483293633950478E-12</v>
      </c>
      <c r="AL201" s="22">
        <f t="shared" si="165"/>
        <v>4.566883036574213E-12</v>
      </c>
      <c r="AM201" s="62">
        <f t="shared" si="193"/>
        <v>290.46664116925746</v>
      </c>
      <c r="AN201" s="62">
        <f ca="1">AVERAGE(OFFSET($AM$3,0,0,'Données projet'!$E$10+1,1))-AVERAGE(OFFSET($H$3,0,0,'Données projet'!$E$10+1,1))</f>
        <v>341.62910675299065</v>
      </c>
      <c r="AO201" s="62">
        <f t="shared" si="205"/>
        <v>407.15938341104709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0.24266399226698318</v>
      </c>
      <c r="AW201" s="23">
        <f>EXP(-LN(2)/2)*AW200+(1-EXP(-LN(2)/2))/(LN(2)/2)*AQ201*AT201*VLOOKUP('Données projet'!$B$10,Paramètres!$A$1:$I$89,3,0)*0.475*44/12</f>
        <v>9.4435633406341773E-25</v>
      </c>
      <c r="AX201" s="23">
        <f t="shared" si="166"/>
        <v>0.24266399226698318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472.83070477639035</v>
      </c>
      <c r="BJ201" s="62">
        <f t="shared" si="206"/>
        <v>297.32483725004136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8.661042444609969E-2</v>
      </c>
      <c r="BR201" s="23">
        <f>EXP(-LN(2)/2)*BR200+(1-EXP(-LN(2)/2))/(LN(2)/2)*BL201*BO201*VLOOKUP('Données projet'!$B$11,Paramètres!$A$1:$I$89,3,0)*0.475*44/12</f>
        <v>7.7081728271955023E-25</v>
      </c>
      <c r="BS201" s="24">
        <f t="shared" si="169"/>
        <v>8.661042444609969E-2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projet'!$B$12,Paramètres!$A$1:$I$89,3,0)*VLOOKUP('Données projet'!$B$12,Paramètres!$A$1:$I$89,5,0)</f>
        <v>-9.3109520094003535E-14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262.64209686767367</v>
      </c>
      <c r="CE201" s="62">
        <f t="shared" si="207"/>
        <v>381.0342365342517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0.20869507299396606</v>
      </c>
      <c r="CL201" s="23">
        <f>EXP(-LN(2)/25)*CL200+(1-EXP(-LN(2)/25))/(LN(2)/25)*Calculateur!CG201*Calculateur!CI201*VLOOKUP('Données projet'!$B$12,Paramètres!$A$1:$I$89,3,0)*0.475*44/12</f>
        <v>0.12368489192242227</v>
      </c>
      <c r="CM201" s="23">
        <f>EXP(-LN(2)/2)*CM200+(1-EXP(-LN(2)/2))/(LN(2)/2)*CG201*CJ201*VLOOKUP('Données projet'!$B$12,Paramètres!$A$1:$I$89,3,0)*0.475*44/12</f>
        <v>6.3961815347195165E-25</v>
      </c>
      <c r="CN201" s="24">
        <f t="shared" si="172"/>
        <v>0.33237996491638833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-8.3355189417488869E-14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250.11765444522138</v>
      </c>
      <c r="CZ201" s="62">
        <f t="shared" si="208"/>
        <v>241.42920565698913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9.2357239933801197E-2</v>
      </c>
      <c r="DH201" s="23">
        <f>EXP(-LN(2)/2)*DH200+(1-EXP(-LN(2)/2))/(LN(2)/2)*DB201*DE201*VLOOKUP('Données projet'!$B$13,Paramètres!$A$1:$I$89,3,0)*0.475*44/12</f>
        <v>2.5927980095727998E-24</v>
      </c>
      <c r="DI201" s="24">
        <f t="shared" si="175"/>
        <v>9.2357239933801197E-2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419.0448820879102</v>
      </c>
      <c r="T202" s="62">
        <f t="shared" si="204"/>
        <v>553.33038335026379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0.53037989730101287</v>
      </c>
      <c r="AA202" s="23">
        <f>EXP(-LN(2)/25)*AA201+(1-EXP(-LN(2)/25))/(LN(2)/25)*Calculateur!V202*Calculateur!X202*VLOOKUP('Données projet'!$B$9,Paramètres!$A$1:$I$89,3,0)*0.475*44/12</f>
        <v>0.21661036891580404</v>
      </c>
      <c r="AB202" s="23">
        <f>EXP(-LN(2)/2)*AB201+(1-EXP(-LN(2)/2))/(LN(2)/2)*V202*Y202*VLOOKUP('Données projet'!$B$9,Paramètres!$A$1:$I$89,3,0)*0.475*44/12</f>
        <v>6.552765885582982E-25</v>
      </c>
      <c r="AC202" s="24">
        <f t="shared" si="163"/>
        <v>0.74699026621681686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1.738044375088066E-13</v>
      </c>
      <c r="AK202" s="14">
        <f t="shared" si="164"/>
        <v>2.4483293633950478E-12</v>
      </c>
      <c r="AL202" s="22">
        <f t="shared" si="165"/>
        <v>4.566883036574213E-12</v>
      </c>
      <c r="AM202" s="62">
        <f t="shared" si="193"/>
        <v>290.51637186934067</v>
      </c>
      <c r="AN202" s="62">
        <f ca="1">AVERAGE(OFFSET($AM$3,0,0,'Données projet'!$E$10+1,1))-AVERAGE(OFFSET($H$3,0,0,'Données projet'!$E$10+1,1))</f>
        <v>341.62910675299065</v>
      </c>
      <c r="AO202" s="62">
        <f t="shared" si="205"/>
        <v>407.15938341104709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0.23602833263729778</v>
      </c>
      <c r="AW202" s="23">
        <f>EXP(-LN(2)/2)*AW201+(1-EXP(-LN(2)/2))/(LN(2)/2)*AQ202*AT202*VLOOKUP('Données projet'!$B$10,Paramètres!$A$1:$I$89,3,0)*0.475*44/12</f>
        <v>6.6776076767271131E-25</v>
      </c>
      <c r="AX202" s="23">
        <f t="shared" si="166"/>
        <v>0.23602833263729778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472.83070477639035</v>
      </c>
      <c r="BJ202" s="62">
        <f t="shared" si="206"/>
        <v>297.32483725004136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8.4242057834976819E-2</v>
      </c>
      <c r="BR202" s="23">
        <f>EXP(-LN(2)/2)*BR201+(1-EXP(-LN(2)/2))/(LN(2)/2)*BL202*BO202*VLOOKUP('Données projet'!$B$11,Paramètres!$A$1:$I$89,3,0)*0.475*44/12</f>
        <v>5.4505012766678214E-25</v>
      </c>
      <c r="BS202" s="24">
        <f t="shared" si="169"/>
        <v>8.4242057834976819E-2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projet'!$B$12,Paramètres!$A$1:$I$89,3,0)*VLOOKUP('Données projet'!$B$12,Paramètres!$A$1:$I$89,5,0)</f>
        <v>-9.3109520094003535E-14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262.64209686767367</v>
      </c>
      <c r="CE202" s="62">
        <f t="shared" si="207"/>
        <v>381.0342365342517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0.20460268990397992</v>
      </c>
      <c r="CL202" s="23">
        <f>EXP(-LN(2)/25)*CL201+(1-EXP(-LN(2)/25))/(LN(2)/25)*Calculateur!CG202*Calculateur!CI202*VLOOKUP('Données projet'!$B$12,Paramètres!$A$1:$I$89,3,0)*0.475*44/12</f>
        <v>0.12030272204849785</v>
      </c>
      <c r="CM202" s="23">
        <f>EXP(-LN(2)/2)*CM201+(1-EXP(-LN(2)/2))/(LN(2)/2)*CG202*CJ202*VLOOKUP('Données projet'!$B$12,Paramètres!$A$1:$I$89,3,0)*0.475*44/12</f>
        <v>4.5227833369003488E-25</v>
      </c>
      <c r="CN202" s="24">
        <f t="shared" si="172"/>
        <v>0.3249054119524778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-8.3355189417488869E-14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250.11765444522138</v>
      </c>
      <c r="CZ202" s="62">
        <f t="shared" si="208"/>
        <v>241.42920565698913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8.9831726350955238E-2</v>
      </c>
      <c r="DH202" s="23">
        <f>EXP(-LN(2)/2)*DH201+(1-EXP(-LN(2)/2))/(LN(2)/2)*DB202*DE202*VLOOKUP('Données projet'!$B$13,Paramètres!$A$1:$I$89,3,0)*0.475*44/12</f>
        <v>1.8333850548159097E-24</v>
      </c>
      <c r="DI202" s="24">
        <f t="shared" si="175"/>
        <v>8.9831726350955238E-2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419.0448820879102</v>
      </c>
      <c r="T203" s="62">
        <f t="shared" si="204"/>
        <v>553.33038335026379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0.51997947101473441</v>
      </c>
      <c r="AA203" s="23">
        <f>EXP(-LN(2)/25)*AA202+(1-EXP(-LN(2)/25))/(LN(2)/25)*Calculateur!V203*Calculateur!X203*VLOOKUP('Données projet'!$B$9,Paramètres!$A$1:$I$89,3,0)*0.475*44/12</f>
        <v>0.21068714698675714</v>
      </c>
      <c r="AB203" s="23">
        <f>EXP(-LN(2)/2)*AB202+(1-EXP(-LN(2)/2))/(LN(2)/2)*V203*Y203*VLOOKUP('Données projet'!$B$9,Paramètres!$A$1:$I$89,3,0)*0.475*44/12</f>
        <v>4.6335051932235989E-25</v>
      </c>
      <c r="AC203" s="24">
        <f t="shared" si="163"/>
        <v>0.73066661800149157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1.738044375088066E-13</v>
      </c>
      <c r="AK203" s="14">
        <f t="shared" si="164"/>
        <v>2.4483293633950478E-12</v>
      </c>
      <c r="AL203" s="22">
        <f t="shared" si="165"/>
        <v>4.566883036574213E-12</v>
      </c>
      <c r="AM203" s="62">
        <f t="shared" si="193"/>
        <v>290.56523985295865</v>
      </c>
      <c r="AN203" s="62">
        <f ca="1">AVERAGE(OFFSET($AM$3,0,0,'Données projet'!$E$10+1,1))-AVERAGE(OFFSET($H$3,0,0,'Données projet'!$E$10+1,1))</f>
        <v>341.62910675299065</v>
      </c>
      <c r="AO203" s="62">
        <f t="shared" si="205"/>
        <v>407.15938341104709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0.2295741254691403</v>
      </c>
      <c r="AW203" s="23">
        <f>EXP(-LN(2)/2)*AW202+(1-EXP(-LN(2)/2))/(LN(2)/2)*AQ203*AT203*VLOOKUP('Données projet'!$B$10,Paramètres!$A$1:$I$89,3,0)*0.475*44/12</f>
        <v>4.7217816703170886E-25</v>
      </c>
      <c r="AX203" s="23">
        <f t="shared" si="166"/>
        <v>0.2295741254691403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472.83070477639035</v>
      </c>
      <c r="BJ203" s="62">
        <f t="shared" si="206"/>
        <v>297.32483725004136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8.1938454333382094E-2</v>
      </c>
      <c r="BR203" s="23">
        <f>EXP(-LN(2)/2)*BR202+(1-EXP(-LN(2)/2))/(LN(2)/2)*BL203*BO203*VLOOKUP('Données projet'!$B$11,Paramètres!$A$1:$I$89,3,0)*0.475*44/12</f>
        <v>3.8540864135977511E-25</v>
      </c>
      <c r="BS203" s="24">
        <f t="shared" si="169"/>
        <v>8.1938454333382094E-2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projet'!$B$12,Paramètres!$A$1:$I$89,3,0)*VLOOKUP('Données projet'!$B$12,Paramètres!$A$1:$I$89,5,0)</f>
        <v>-9.3109520094003535E-14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262.64209686767367</v>
      </c>
      <c r="CE203" s="62">
        <f t="shared" si="207"/>
        <v>381.0342365342517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0.20059055595028119</v>
      </c>
      <c r="CL203" s="23">
        <f>EXP(-LN(2)/25)*CL202+(1-EXP(-LN(2)/25))/(LN(2)/25)*Calculateur!CG203*Calculateur!CI203*VLOOKUP('Données projet'!$B$12,Paramètres!$A$1:$I$89,3,0)*0.475*44/12</f>
        <v>0.11701303778763647</v>
      </c>
      <c r="CM203" s="23">
        <f>EXP(-LN(2)/2)*CM202+(1-EXP(-LN(2)/2))/(LN(2)/2)*CG203*CJ203*VLOOKUP('Données projet'!$B$12,Paramètres!$A$1:$I$89,3,0)*0.475*44/12</f>
        <v>3.1980907673597582E-25</v>
      </c>
      <c r="CN203" s="24">
        <f t="shared" si="172"/>
        <v>0.31760359373791769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-8.3355189417488869E-14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250.11765444522138</v>
      </c>
      <c r="CZ203" s="62">
        <f t="shared" si="208"/>
        <v>241.42920565698913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8.737527306984319E-2</v>
      </c>
      <c r="DH203" s="23">
        <f>EXP(-LN(2)/2)*DH202+(1-EXP(-LN(2)/2))/(LN(2)/2)*DB203*DE203*VLOOKUP('Données projet'!$B$13,Paramètres!$A$1:$I$89,3,0)*0.475*44/12</f>
        <v>1.2963990047863999E-24</v>
      </c>
      <c r="DI203" s="24">
        <f t="shared" si="175"/>
        <v>8.737527306984319E-2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1.3539956307764309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1.3467943429205997</v>
      </c>
      <c r="BA205" s="88">
        <f>EXP(LN('Données projet'!B88)/'Données projet'!A88)</f>
        <v>1.2392705892426346</v>
      </c>
      <c r="BV205" s="88">
        <f>EXP(LN('Données projet'!B114)/'Données projet'!A114)</f>
        <v>1.5180683844287584</v>
      </c>
      <c r="CQ205" s="88">
        <f>EXP(LN('Données projet'!B140)/'Données projet'!A140)</f>
        <v>1.1577536725165907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5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6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5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7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7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6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5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6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9" t="s">
        <v>191</v>
      </c>
      <c r="C2" s="320"/>
      <c r="D2" s="320"/>
      <c r="E2" s="320"/>
      <c r="F2" s="320"/>
      <c r="G2" s="32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8"/>
      <c r="C4" s="318"/>
      <c r="D4" s="318"/>
      <c r="E4" s="318"/>
      <c r="F4" s="318"/>
      <c r="G4" s="31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9" t="s">
        <v>271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2.98224</v>
      </c>
      <c r="C6" s="156">
        <f ca="1">IF(OR('Données projet'!B9="",'Données projet'!C9="",'Données projet'!C9=0%),0,Calculateur!S3)</f>
        <v>419.0448820879102</v>
      </c>
      <c r="D6" s="156">
        <f>IF(OR('Données projet'!B9="",'Données projet'!C9="",'Données projet'!C9=0%),0,Calculateur!T3)</f>
        <v>553.33038335026379</v>
      </c>
      <c r="E6" s="156">
        <f ca="1">MIN(C6,D6)</f>
        <v>419.0448820879102</v>
      </c>
      <c r="F6" s="156">
        <f ca="1">E6*B6</f>
        <v>1249.6924091578494</v>
      </c>
      <c r="G6" s="156">
        <f ca="1">F6*(100%-'Données projet'!$C$24)*(100%-'Données projet'!$C$25)*(100%-'Données projet'!$C$26)*(100%-'Données projet'!$C$27)</f>
        <v>1124.7231682420645</v>
      </c>
      <c r="H6" s="157">
        <f>IF(OR('Données projet'!B9="",'Données projet'!C9="",'Données projet'!C9=0%),0,AVERAGE(Calculateur!$AC$3:$AC$33)*B6)</f>
        <v>35.557838982372026</v>
      </c>
      <c r="I6" s="158">
        <f>H6*(100%-'Données projet'!$C$24)*(100%-'Données projet'!$C$25)*(100%-'Données projet'!$C$26)*(100%-'Données projet'!$C$27)</f>
        <v>32.002055084134824</v>
      </c>
      <c r="J6" s="159">
        <f>IF(OR('Données projet'!B9="",'Données projet'!C9="",'Données projet'!C9=0%),0,SUM(Calculateur!$V$3:$V$33)*VLOOKUP('Données projet'!$B$9,Paramètres!$A$1:$I$89,9,0)*B6)</f>
        <v>265.68000777600002</v>
      </c>
      <c r="K6" s="160">
        <f>J6*(100%-'Données projet'!$C$24)*(100%-'Données projet'!$C$25)*(100%-'Données projet'!$C$26)*(100%-'Données projet'!$C$27)</f>
        <v>239.11200699840003</v>
      </c>
      <c r="L6" s="161">
        <f ca="1">G6+I6+K6</f>
        <v>1395.8372303245992</v>
      </c>
      <c r="M6" s="25">
        <f ca="1">L6/B6</f>
        <v>468.04993237452356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0.24852000000000002</v>
      </c>
      <c r="C7" s="156">
        <f ca="1">IF(OR('Données projet'!B10="",'Données projet'!C10="",'Données projet'!C10=0%),0,Calculateur!AN3)</f>
        <v>341.62910675299065</v>
      </c>
      <c r="D7" s="156">
        <f>IF(OR('Données projet'!B10="",'Données projet'!C10="",'Données projet'!C10=0%),0,Calculateur!AO3)</f>
        <v>407.15938341104709</v>
      </c>
      <c r="E7" s="156">
        <f t="shared" ref="E7:E15" ca="1" si="0">MIN(C7,D7)</f>
        <v>341.62910675299065</v>
      </c>
      <c r="F7" s="156">
        <f t="shared" ref="F7:F15" ca="1" si="1">E7*B7</f>
        <v>84.901665610253247</v>
      </c>
      <c r="G7" s="156">
        <f ca="1">F7*(100%-'Données projet'!$C$24)*(100%-'Données projet'!$C$25)*(100%-'Données projet'!$C$26)*(100%-'Données projet'!$C$27)</f>
        <v>76.411499049227928</v>
      </c>
      <c r="H7" s="164">
        <f>IF(OR('Données projet'!B10="",'Données projet'!C10="",'Données projet'!C10=0%),0,AVERAGE(Calculateur!$AX$3:$AX$33)*B7)</f>
        <v>2.2066823573203265</v>
      </c>
      <c r="I7" s="158">
        <f>H7*(100%-'Données projet'!$C$24)*(100%-'Données projet'!$C$25)*(100%-'Données projet'!$C$26)*(100%-'Données projet'!$C$27)</f>
        <v>1.9860141215882938</v>
      </c>
      <c r="J7" s="159">
        <f>IF(OR('Données projet'!B10="",'Données projet'!C10="",'Données projet'!C10=0%),0,SUM(Calculateur!$AQ$3:$AQ$33)*VLOOKUP('Données projet'!$B$10,Paramètres!$A$1:$I$89,9,0)*B7)</f>
        <v>9.443760000000001</v>
      </c>
      <c r="K7" s="160">
        <f>J7*(100%-'Données projet'!$C$24)*(100%-'Données projet'!$C$25)*(100%-'Données projet'!$C$26)*(100%-'Données projet'!$C$27)</f>
        <v>8.4993840000000009</v>
      </c>
      <c r="L7" s="161">
        <f t="shared" ref="L7:L15" ca="1" si="2">G7+I7+K7</f>
        <v>86.896897170816231</v>
      </c>
      <c r="M7" s="25">
        <f ca="1">L7/B7</f>
        <v>349.6575614470313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0.40983000000000003</v>
      </c>
      <c r="C8" s="156">
        <f ca="1">IF(OR('Données projet'!B11="",'Données projet'!C11="",'Données projet'!C11=0%),0,Calculateur!BI3)</f>
        <v>472.83070477639035</v>
      </c>
      <c r="D8" s="156">
        <f>IF(OR('Données projet'!B11="",'Données projet'!C11="",'Données projet'!C11=0%),0,Calculateur!BJ3)</f>
        <v>297.32483725004136</v>
      </c>
      <c r="E8" s="156">
        <f t="shared" ca="1" si="0"/>
        <v>297.32483725004136</v>
      </c>
      <c r="F8" s="156">
        <f t="shared" ca="1" si="1"/>
        <v>121.85263805018445</v>
      </c>
      <c r="G8" s="156">
        <f ca="1">F8*(100%-'Données projet'!$C$24)*(100%-'Données projet'!$C$25)*(100%-'Données projet'!$C$26)*(100%-'Données projet'!$C$27)</f>
        <v>109.66737424516602</v>
      </c>
      <c r="H8" s="164">
        <f>IF(OR('Données projet'!B11="",'Données projet'!C11="",'Données projet'!C11=0%),0,AVERAGE(Calculateur!$BS$3:$BS$33)*B8)</f>
        <v>1.1647810177803379</v>
      </c>
      <c r="I8" s="158">
        <f>H8*(100%-'Données projet'!$C$24)*(100%-'Données projet'!$C$25)*(100%-'Données projet'!$C$26)*(100%-'Données projet'!$C$27)</f>
        <v>1.0483029160023041</v>
      </c>
      <c r="J8" s="159">
        <f>IF(OR('Données projet'!B11="",'Données projet'!C11="",'Données projet'!C11=0%),0,SUM(Calculateur!$BL$3:$BL$33)*VLOOKUP('Données projet'!$B$11,Paramètres!$A$1:$I$89,9,0)*B8)</f>
        <v>6.3523650000000007</v>
      </c>
      <c r="K8" s="160">
        <f>J8*(100%-'Données projet'!$C$24)*(100%-'Données projet'!$C$25)*(100%-'Données projet'!$C$26)*(100%-'Données projet'!$C$27)</f>
        <v>5.7171285000000012</v>
      </c>
      <c r="L8" s="161">
        <f t="shared" ca="1" si="2"/>
        <v>116.43280566116832</v>
      </c>
      <c r="M8" s="25">
        <f ca="1">L8/B8</f>
        <v>284.10025049695804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Mélèze hybride</v>
      </c>
      <c r="B9" s="163">
        <f>'Données projet'!D12</f>
        <v>1.49112</v>
      </c>
      <c r="C9" s="156">
        <f ca="1">IF(OR('Données projet'!B12="",'Données projet'!C12="",'Données projet'!C12=0%),0,Calculateur!CD3)</f>
        <v>262.64209686767367</v>
      </c>
      <c r="D9" s="156">
        <f>IF(OR('Données projet'!B12="",'Données projet'!C12="",'Données projet'!C12=0%),0,Calculateur!CE3)</f>
        <v>381.0342365342517</v>
      </c>
      <c r="E9" s="156">
        <f t="shared" ca="1" si="0"/>
        <v>262.64209686767367</v>
      </c>
      <c r="F9" s="156">
        <f t="shared" ca="1" si="1"/>
        <v>391.63088348132555</v>
      </c>
      <c r="G9" s="156">
        <f ca="1">F9*(100%-'Données projet'!$C$24)*(100%-'Données projet'!$C$25)*(100%-'Données projet'!$C$26)*(100%-'Données projet'!$C$27)</f>
        <v>352.46779513319302</v>
      </c>
      <c r="H9" s="164">
        <f>IF(OR('Données projet'!B12="",'Données projet'!C12="",'Données projet'!C12=0%),0,AVERAGE(Calculateur!$CN$3:$CN$33)*B9)</f>
        <v>16.142497595987098</v>
      </c>
      <c r="I9" s="158">
        <f>H9*(100%-'Données projet'!$C$24)*(100%-'Données projet'!$C$25)*(100%-'Données projet'!$C$26)*(100%-'Données projet'!$C$27)</f>
        <v>14.528247836388388</v>
      </c>
      <c r="J9" s="159">
        <f>IF(OR('Données projet'!B12="",'Données projet'!C12="",'Données projet'!C12=0%),0,SUM(Calculateur!$CG$3:$CG$33)*VLOOKUP('Données projet'!$B$12,Paramètres!$A$1:$I$89,9,0)*B9)</f>
        <v>119.90095919999999</v>
      </c>
      <c r="K9" s="160">
        <f>J9*(100%-'Données projet'!$C$24)*(100%-'Données projet'!$C$25)*(100%-'Données projet'!$C$26)*(100%-'Données projet'!$C$27)</f>
        <v>107.91086327999999</v>
      </c>
      <c r="L9" s="161">
        <f t="shared" ca="1" si="2"/>
        <v>474.90690624958143</v>
      </c>
      <c r="M9" s="25">
        <f ca="1">L9/B9</f>
        <v>318.49006535327902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Châtaignier</v>
      </c>
      <c r="B10" s="163">
        <f>'Données projet'!D13</f>
        <v>0.24852000000000002</v>
      </c>
      <c r="C10" s="156">
        <f ca="1">IF(OR('Données projet'!B13="",'Données projet'!C13="",'Données projet'!C13=0%),0,Calculateur!CY3)</f>
        <v>250.11765444522138</v>
      </c>
      <c r="D10" s="156">
        <f>IF(OR('Données projet'!B13="",'Données projet'!C13="",'Données projet'!C13=0%),0,Calculateur!CZ3)</f>
        <v>241.42920565698913</v>
      </c>
      <c r="E10" s="156">
        <f t="shared" ca="1" si="0"/>
        <v>241.42920565698913</v>
      </c>
      <c r="F10" s="156">
        <f t="shared" ca="1" si="1"/>
        <v>59.999986189874939</v>
      </c>
      <c r="G10" s="156">
        <f ca="1">F10*(100%-'Données projet'!$C$24)*(100%-'Données projet'!$C$25)*(100%-'Données projet'!$C$26)*(100%-'Données projet'!$C$27)</f>
        <v>53.999987570887448</v>
      </c>
      <c r="H10" s="164">
        <f>IF(OR('Données projet'!B13="",'Données projet'!C13="",'Données projet'!C13=0%),0,AVERAGE(Calculateur!$DI$3:$DI$33)*B10)</f>
        <v>0.42927244406181986</v>
      </c>
      <c r="I10" s="158">
        <f>H10*(100%-'Données projet'!$C$24)*(100%-'Données projet'!$C$25)*(100%-'Données projet'!$C$26)*(100%-'Données projet'!$C$27)</f>
        <v>0.38634519965563791</v>
      </c>
      <c r="J10" s="159">
        <f>IF(OR('Données projet'!B13="",'Données projet'!C13="",'Données projet'!C13=0%),0,SUM(Calculateur!$DB$3:$DB$33)*VLOOKUP('Données projet'!$B$13,Paramètres!$A$1:$I$89,9,0)*B10)</f>
        <v>3.9141900000000005</v>
      </c>
      <c r="K10" s="160">
        <f>J10*(100%-'Données projet'!$C$24)*(100%-'Données projet'!$C$25)*(100%-'Données projet'!$C$26)*(100%-'Données projet'!$C$27)</f>
        <v>3.5227710000000005</v>
      </c>
      <c r="L10" s="161">
        <f t="shared" ca="1" si="2"/>
        <v>57.909103770543084</v>
      </c>
      <c r="M10" s="25">
        <f ca="1">L10/B10</f>
        <v>233.01586902681103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1908.0775824894877</v>
      </c>
      <c r="G16" s="175">
        <f t="shared" ca="1" si="3"/>
        <v>1717.2698242405388</v>
      </c>
      <c r="H16" s="176">
        <f t="shared" si="3"/>
        <v>55.501072397521611</v>
      </c>
      <c r="I16" s="176">
        <f t="shared" si="3"/>
        <v>49.950965157769446</v>
      </c>
      <c r="J16" s="177">
        <f t="shared" si="3"/>
        <v>405.29128197600005</v>
      </c>
      <c r="K16" s="177">
        <f t="shared" si="3"/>
        <v>364.76215377839998</v>
      </c>
      <c r="L16" s="178">
        <f t="shared" ca="1" si="3"/>
        <v>2131.982943176708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Mélèze hybride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Châtaignier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7" zoomScale="90" zoomScaleNormal="90" workbookViewId="0">
      <selection activeCell="C31" sqref="C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9" t="s">
        <v>272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7915.6079269809743</v>
      </c>
      <c r="U10" s="190">
        <f>'Données projet'!D9</f>
        <v>2.98224</v>
      </c>
      <c r="V10" s="189">
        <f>U10*T10</f>
        <v>23606.24258415974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1639.0556540421335</v>
      </c>
      <c r="U11" s="190">
        <f>'Données projet'!D10</f>
        <v>0.24852000000000002</v>
      </c>
      <c r="V11" s="189">
        <f t="shared" ref="V11" si="0">U11*T11</f>
        <v>407.33811114255104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910.11277300185668</v>
      </c>
      <c r="U12" s="190">
        <f>'Données projet'!D11</f>
        <v>0.40983000000000003</v>
      </c>
      <c r="V12" s="189">
        <f t="shared" ref="V12:V19" si="1">U12*T12</f>
        <v>372.99151775935093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Mélèze hybride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3592.6546918222466</v>
      </c>
      <c r="U13" s="190">
        <f>'Données projet'!D12</f>
        <v>1.49112</v>
      </c>
      <c r="V13" s="189">
        <f t="shared" si="1"/>
        <v>5357.0792640699883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Châtaignier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668.38707872612667</v>
      </c>
      <c r="U14" s="190">
        <f>'Données projet'!D13</f>
        <v>0.24852000000000002</v>
      </c>
      <c r="V14" s="189">
        <f t="shared" si="1"/>
        <v>166.10755680501703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f>26404/5.37</f>
        <v>4916.9459962756055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1342/5.37</f>
        <v>249.90689013035382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2416/5.37</f>
        <v>449.90689013035382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f>1396/5.37</f>
        <v>259.96275605214151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-7429.1946126923904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74.819999999999993</v>
      </c>
      <c r="C24" s="206">
        <v>15</v>
      </c>
      <c r="D24" s="194">
        <f t="shared" ref="D24:D42" si="2">B24*C24</f>
        <v>1122.3</v>
      </c>
      <c r="E24" s="206"/>
      <c r="F24" s="264"/>
      <c r="H24" s="203">
        <v>4</v>
      </c>
      <c r="I24" s="204">
        <f>2470/5.37</f>
        <v>459.96275605214151</v>
      </c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19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f>2470/5.37</f>
        <v>459.96275605214151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8">
        <f ca="1">T23-T24</f>
        <v>-7429.1946126923904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23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24</v>
      </c>
      <c r="B27" s="193">
        <f>'Données projet'!D40</f>
        <v>51.39</v>
      </c>
      <c r="C27" s="206">
        <v>20</v>
      </c>
      <c r="D27" s="194">
        <f t="shared" si="2"/>
        <v>1027.8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26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28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30</v>
      </c>
      <c r="B30" s="193">
        <f>'Données projet'!D43</f>
        <v>80.97</v>
      </c>
      <c r="C30" s="206">
        <v>20</v>
      </c>
      <c r="D30" s="194">
        <f t="shared" si="2"/>
        <v>1619.4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32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34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36</v>
      </c>
      <c r="B33" s="193">
        <f>'Données projet'!D46</f>
        <v>85.88</v>
      </c>
      <c r="C33" s="206">
        <v>25</v>
      </c>
      <c r="D33" s="194">
        <f t="shared" si="2"/>
        <v>2147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38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40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42</v>
      </c>
      <c r="B36" s="193">
        <f>'Données projet'!D49</f>
        <v>91.25</v>
      </c>
      <c r="C36" s="206">
        <v>30</v>
      </c>
      <c r="D36" s="194">
        <f t="shared" si="2"/>
        <v>2737.5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44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46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48</v>
      </c>
      <c r="B39" s="193">
        <f>'Données projet'!D52</f>
        <v>101.34</v>
      </c>
      <c r="C39" s="206">
        <v>40</v>
      </c>
      <c r="D39" s="194">
        <f t="shared" si="2"/>
        <v>4053.6000000000004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50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52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54</v>
      </c>
      <c r="B42" s="193">
        <f>'Données projet'!D55</f>
        <v>707.75</v>
      </c>
      <c r="C42" s="206">
        <v>80</v>
      </c>
      <c r="D42" s="194">
        <f t="shared" si="2"/>
        <v>56620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21</v>
      </c>
      <c r="C54" s="204">
        <v>5</v>
      </c>
      <c r="D54" s="191">
        <f>B54*C54</f>
        <v>105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43</v>
      </c>
      <c r="C55" s="204">
        <v>7</v>
      </c>
      <c r="D55" s="191">
        <f t="shared" ref="D55:D73" si="4">B55*C55</f>
        <v>301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44</v>
      </c>
      <c r="C56" s="204">
        <v>9</v>
      </c>
      <c r="D56" s="191">
        <f t="shared" si="4"/>
        <v>396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44</v>
      </c>
      <c r="C57" s="204">
        <v>9</v>
      </c>
      <c r="D57" s="191">
        <f t="shared" si="4"/>
        <v>396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42</v>
      </c>
      <c r="C58" s="204">
        <v>9</v>
      </c>
      <c r="D58" s="191">
        <f t="shared" si="4"/>
        <v>378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39</v>
      </c>
      <c r="C59" s="204">
        <v>14</v>
      </c>
      <c r="D59" s="191">
        <f t="shared" si="4"/>
        <v>546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36</v>
      </c>
      <c r="C60" s="204">
        <v>14</v>
      </c>
      <c r="D60" s="191">
        <f t="shared" si="4"/>
        <v>504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33</v>
      </c>
      <c r="C61" s="204">
        <v>14</v>
      </c>
      <c r="D61" s="191">
        <f t="shared" si="4"/>
        <v>462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29</v>
      </c>
      <c r="C62" s="204">
        <v>20</v>
      </c>
      <c r="D62" s="191">
        <f t="shared" si="4"/>
        <v>580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26</v>
      </c>
      <c r="C63" s="204">
        <v>25</v>
      </c>
      <c r="D63" s="191">
        <f t="shared" si="4"/>
        <v>650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23</v>
      </c>
      <c r="C64" s="204">
        <v>30</v>
      </c>
      <c r="D64" s="191">
        <f t="shared" si="4"/>
        <v>690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249</v>
      </c>
      <c r="C65" s="204">
        <v>80</v>
      </c>
      <c r="D65" s="191">
        <f t="shared" si="4"/>
        <v>19920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>
        <v>20</v>
      </c>
      <c r="D94" s="191">
        <f t="shared" si="6"/>
        <v>560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04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04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04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04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04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04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04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04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Mélèze hybride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18</v>
      </c>
      <c r="C116" s="204">
        <v>12</v>
      </c>
      <c r="D116" s="191">
        <f>B116*C116</f>
        <v>216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41</v>
      </c>
      <c r="C117" s="204">
        <v>12</v>
      </c>
      <c r="D117" s="191">
        <f t="shared" ref="D117:D135" si="8">B117*C117</f>
        <v>492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47</v>
      </c>
      <c r="C118" s="204">
        <v>15</v>
      </c>
      <c r="D118" s="191">
        <f t="shared" si="8"/>
        <v>705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44</v>
      </c>
      <c r="C119" s="204">
        <v>17</v>
      </c>
      <c r="D119" s="191">
        <f t="shared" si="8"/>
        <v>748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37</v>
      </c>
      <c r="C120" s="204">
        <v>20</v>
      </c>
      <c r="D120" s="191">
        <f t="shared" si="8"/>
        <v>740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29</v>
      </c>
      <c r="C121" s="204">
        <v>25</v>
      </c>
      <c r="D121" s="191">
        <f t="shared" si="8"/>
        <v>725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22</v>
      </c>
      <c r="C122" s="204">
        <v>30</v>
      </c>
      <c r="D122" s="191">
        <f t="shared" si="8"/>
        <v>660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16</v>
      </c>
      <c r="C123" s="204">
        <v>45</v>
      </c>
      <c r="D123" s="191">
        <f t="shared" si="8"/>
        <v>720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315</v>
      </c>
      <c r="C124" s="204">
        <v>60</v>
      </c>
      <c r="D124" s="191">
        <f t="shared" si="8"/>
        <v>18900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Châtaignier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>
        <v>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21</v>
      </c>
      <c r="C148" s="204">
        <v>4</v>
      </c>
      <c r="D148" s="194">
        <f t="shared" ref="D148:D166" si="10">B148*C148</f>
        <v>84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21</v>
      </c>
      <c r="C149" s="204">
        <v>8</v>
      </c>
      <c r="D149" s="194">
        <f t="shared" si="10"/>
        <v>168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21</v>
      </c>
      <c r="C150" s="204">
        <v>10</v>
      </c>
      <c r="D150" s="194">
        <f t="shared" si="10"/>
        <v>210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21</v>
      </c>
      <c r="C151" s="204">
        <v>10</v>
      </c>
      <c r="D151" s="194">
        <f t="shared" si="10"/>
        <v>210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21</v>
      </c>
      <c r="C152" s="204">
        <v>10</v>
      </c>
      <c r="D152" s="194">
        <f t="shared" si="10"/>
        <v>210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18</v>
      </c>
      <c r="C153" s="204">
        <v>15</v>
      </c>
      <c r="D153" s="194">
        <f t="shared" si="10"/>
        <v>270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13</v>
      </c>
      <c r="C154" s="204">
        <v>15</v>
      </c>
      <c r="D154" s="194">
        <f t="shared" si="10"/>
        <v>195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11</v>
      </c>
      <c r="C155" s="204">
        <v>15</v>
      </c>
      <c r="D155" s="194">
        <f t="shared" si="10"/>
        <v>165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9</v>
      </c>
      <c r="C156" s="204">
        <v>20</v>
      </c>
      <c r="D156" s="194">
        <f t="shared" si="10"/>
        <v>180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8</v>
      </c>
      <c r="C157" s="204">
        <v>20</v>
      </c>
      <c r="D157" s="194">
        <f t="shared" si="10"/>
        <v>160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8</v>
      </c>
      <c r="C158" s="204">
        <v>30</v>
      </c>
      <c r="D158" s="194">
        <f t="shared" si="10"/>
        <v>240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7</v>
      </c>
      <c r="C159" s="204">
        <v>40</v>
      </c>
      <c r="D159" s="194">
        <f t="shared" si="10"/>
        <v>280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219</v>
      </c>
      <c r="C160" s="204">
        <v>50</v>
      </c>
      <c r="D160" s="194">
        <f t="shared" si="10"/>
        <v>10950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2024-11-25T09:47:08Z</dcterms:modified>
</cp:coreProperties>
</file>